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Materiál Žádanky" sheetId="420" r:id="rId8"/>
    <sheet name="Osobní náklady" sheetId="419" r:id="rId9"/>
    <sheet name="ON Data" sheetId="418" state="hidden" r:id="rId10"/>
    <sheet name="ZV Vykáz.-A" sheetId="344" r:id="rId11"/>
    <sheet name="ZV Vykáz.-A Lékaři" sheetId="429" r:id="rId12"/>
    <sheet name="ZV Vykáz.-A Detail" sheetId="345" r:id="rId13"/>
    <sheet name="ZV Vykáz.-H" sheetId="410" r:id="rId14"/>
    <sheet name="ZV Vykáz.-H Detail" sheetId="377" r:id="rId15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4" hidden="1">'Man Tab'!$A$5:$A$31</definedName>
    <definedName name="_xlnm._FilterDatabase" localSheetId="7" hidden="1">'Materiál Žádanky'!$A$4:$I$4</definedName>
    <definedName name="_xlnm._FilterDatabase" localSheetId="12" hidden="1">'ZV Vykáz.-A Detail'!$A$5:$Q$5</definedName>
    <definedName name="_xlnm._FilterDatabase" localSheetId="11" hidden="1">'ZV Vykáz.-A Lékaři'!$A$4:$A$5</definedName>
    <definedName name="_xlnm._FilterDatabase" localSheetId="14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G26" i="419" l="1"/>
  <c r="G25" i="419"/>
  <c r="C26" i="419"/>
  <c r="G28" i="419" l="1"/>
  <c r="G27" i="419"/>
  <c r="C25" i="419"/>
  <c r="G20" i="419"/>
  <c r="F20" i="419"/>
  <c r="G19" i="419"/>
  <c r="F19" i="419"/>
  <c r="G17" i="419"/>
  <c r="F17" i="419"/>
  <c r="G16" i="419"/>
  <c r="F16" i="419"/>
  <c r="G14" i="419"/>
  <c r="F14" i="419"/>
  <c r="G13" i="419"/>
  <c r="F13" i="419"/>
  <c r="G12" i="419"/>
  <c r="F12" i="419"/>
  <c r="G11" i="419"/>
  <c r="F11" i="419"/>
  <c r="AW3" i="418"/>
  <c r="AV3" i="418"/>
  <c r="AU3" i="418"/>
  <c r="AT3" i="418"/>
  <c r="AS3" i="418"/>
  <c r="AR3" i="418"/>
  <c r="AQ3" i="418"/>
  <c r="AP3" i="418"/>
  <c r="F18" i="419" l="1"/>
  <c r="G18" i="419"/>
  <c r="B25" i="419"/>
  <c r="C27" i="419" l="1"/>
  <c r="B26" i="419"/>
  <c r="B27" i="419" s="1"/>
  <c r="C28" i="419"/>
  <c r="A7" i="414"/>
  <c r="F3" i="344" l="1"/>
  <c r="D3" i="344"/>
  <c r="B3" i="344"/>
  <c r="E21" i="419" l="1"/>
  <c r="D21" i="419"/>
  <c r="C21" i="419"/>
  <c r="E20" i="419"/>
  <c r="D20" i="419"/>
  <c r="C20" i="419"/>
  <c r="E19" i="419"/>
  <c r="D19" i="419"/>
  <c r="C19" i="419"/>
  <c r="E17" i="419"/>
  <c r="D17" i="419"/>
  <c r="C17" i="419"/>
  <c r="E16" i="419"/>
  <c r="D16" i="419"/>
  <c r="C16" i="419"/>
  <c r="E14" i="419"/>
  <c r="D14" i="419"/>
  <c r="C14" i="419"/>
  <c r="E13" i="419"/>
  <c r="D13" i="419"/>
  <c r="C13" i="419"/>
  <c r="E12" i="419"/>
  <c r="D12" i="419"/>
  <c r="C12" i="419"/>
  <c r="E11" i="419"/>
  <c r="D11" i="419"/>
  <c r="C11" i="419"/>
  <c r="C18" i="419" l="1"/>
  <c r="D18" i="419"/>
  <c r="C23" i="419"/>
  <c r="D23" i="419"/>
  <c r="E23" i="419"/>
  <c r="E18" i="419"/>
  <c r="C22" i="419"/>
  <c r="D22" i="419"/>
  <c r="E22" i="419"/>
  <c r="M3" i="418"/>
  <c r="B21" i="419" l="1"/>
  <c r="B22" i="419" l="1"/>
  <c r="A17" i="383"/>
  <c r="G3" i="429"/>
  <c r="F3" i="429"/>
  <c r="E3" i="429"/>
  <c r="D3" i="429"/>
  <c r="C3" i="429"/>
  <c r="B3" i="429"/>
  <c r="C11" i="340" l="1"/>
  <c r="A12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G6" i="419" l="1"/>
  <c r="F6" i="419"/>
  <c r="E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5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7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6" i="414" s="1"/>
  <c r="C11" i="339"/>
  <c r="H11" i="339" l="1"/>
  <c r="G11" i="339"/>
  <c r="A17" i="414"/>
  <c r="A16" i="414"/>
  <c r="A11" i="414"/>
  <c r="A12" i="414"/>
  <c r="A4" i="414"/>
  <c r="A6" i="339" l="1"/>
  <c r="A5" i="339"/>
  <c r="D4" i="414"/>
  <c r="C12" i="414"/>
  <c r="C15" i="414"/>
  <c r="D15" i="414"/>
  <c r="D12" i="414"/>
  <c r="C11" i="414" l="1"/>
  <c r="C7" i="414"/>
  <c r="E17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C18" i="414"/>
  <c r="D18" i="414"/>
  <c r="F13" i="339" l="1"/>
  <c r="E13" i="339"/>
  <c r="E15" i="339" s="1"/>
  <c r="H12" i="339"/>
  <c r="G12" i="339"/>
  <c r="A4" i="383"/>
  <c r="A20" i="383"/>
  <c r="A19" i="383"/>
  <c r="A18" i="383"/>
  <c r="A16" i="383"/>
  <c r="A13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4" i="414"/>
  <c r="H13" i="339" l="1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18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<sst xmlns="http://schemas.openxmlformats.org/spreadsheetml/2006/main" count="1026" uniqueCount="416">
  <si>
    <t>NS</t>
  </si>
  <si>
    <t>Účet</t>
  </si>
  <si>
    <t>%</t>
  </si>
  <si>
    <t>Celkem</t>
  </si>
  <si>
    <t>Klinika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</si>
  <si>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</si>
  <si>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</si>
  <si>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</si>
  <si>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</si>
  <si>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</si>
  <si>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</si>
  <si>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</si>
  <si>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</si>
  <si>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</si>
  <si>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</si>
  <si>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</si>
  <si>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</si>
  <si>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</si>
  <si>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</si>
  <si>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</si>
  <si>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</si>
  <si>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</si>
  <si>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</si>
  <si>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</si>
  <si>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</si>
  <si>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</si>
  <si>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</si>
  <si>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</si>
  <si>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</si>
  <si>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</si>
  <si>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</si>
  <si>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</si>
  <si>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</si>
  <si>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</si>
  <si>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</si>
  <si>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</si>
  <si>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</si>
  <si>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</si>
  <si>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</si>
  <si>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</si>
  <si>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</si>
  <si>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</si>
  <si>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</si>
  <si>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</si>
  <si>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</si>
  <si>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</si>
  <si>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</si>
  <si>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</si>
  <si>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</si>
  <si>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</si>
  <si>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</si>
  <si>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</si>
  <si>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</si>
  <si>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</si>
  <si>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</si>
  <si>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</si>
  <si>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</si>
  <si>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</si>
  <si>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</si>
  <si>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</si>
  <si>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</si>
  <si>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</si>
  <si>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</si>
  <si>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</si>
  <si>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</si>
  <si>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</si>
  <si>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</si>
  <si>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</si>
  <si>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</si>
  <si>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</si>
  <si>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</si>
  <si>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</si>
  <si>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</si>
  <si>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</si>
  <si>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</si>
  <si>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</si>
  <si>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</si>
  <si>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</si>
  <si>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</si>
  <si>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</si>
  <si>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</si>
  <si>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</si>
  <si>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</si>
  <si>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</si>
  <si>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</si>
  <si>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</si>
  <si>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</si>
  <si>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</si>
  <si>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</si>
  <si>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</si>
  <si>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</si>
  <si>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</si>
  <si>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Materiál Žádanky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</si>
  <si>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</si>
  <si>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</si>
  <si>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</si>
  <si>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</si>
  <si>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</si>
  <si>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</si>
  <si>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</si>
  <si>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</si>
  <si>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</si>
  <si>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</si>
  <si>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</si>
  <si>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</si>
  <si>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</si>
  <si>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</si>
  <si>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</si>
  <si>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</si>
  <si>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</si>
  <si>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</si>
  <si>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</si>
  <si>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</si>
  <si>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</si>
  <si>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</si>
  <si>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</si>
  <si>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</si>
  <si>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</si>
  <si>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</si>
  <si>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</si>
  <si>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</si>
  <si>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</si>
  <si>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</si>
  <si>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</si>
  <si>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</si>
  <si>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</si>
  <si>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</si>
  <si>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</si>
  <si>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</si>
  <si>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</si>
  <si>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</si>
  <si>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</si>
  <si>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</si>
  <si>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</si>
  <si>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</si>
  <si>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</si>
  <si>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</si>
  <si>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</si>
  <si>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</si>
  <si>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</si>
  <si>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</si>
  <si>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</si>
  <si>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</si>
  <si>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</si>
  <si>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</si>
  <si>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</si>
  <si>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</si>
  <si>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</si>
  <si>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</si>
  <si>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</si>
  <si>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</si>
  <si>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</si>
  <si>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</si>
  <si>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</si>
  <si>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</si>
  <si>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</si>
  <si>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psychologové</t>
  </si>
  <si>
    <t>Pracoviště/účet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</si>
  <si>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</si>
  <si>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</si>
  <si>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</si>
  <si>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</si>
  <si>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</si>
  <si>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všeobecné sestry pod dohl.</t>
  </si>
  <si>
    <t>kliničtí psychologové spec.</t>
  </si>
  <si>
    <t>kliničtí psychologové spec. a zvl.odb.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</si>
  <si>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</si>
  <si>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</si>
  <si>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</si>
  <si>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</si>
  <si>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</si>
  <si>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</si>
  <si>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</si>
  <si>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</si>
  <si>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</si>
  <si>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</si>
  <si>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</si>
  <si>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</si>
  <si>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</si>
  <si>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</si>
  <si>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</si>
  <si>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</si>
  <si>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</si>
  <si>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</si>
  <si>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</si>
  <si>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</si>
  <si>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</si>
  <si>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</si>
  <si>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</si>
  <si>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</si>
  <si>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Oddělení klinické psychologie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</si>
  <si>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</si>
  <si>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</si>
  <si>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</si>
  <si>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</si>
  <si>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</si>
  <si>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</si>
  <si>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 (LEK)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</si>
  <si>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</si>
  <si>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</si>
  <si>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</si>
  <si>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</si>
  <si>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</si>
  <si>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</si>
  <si>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</si>
  <si>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</si>
  <si>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</si>
  <si>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</si>
  <si>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</si>
  <si>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</si>
  <si>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</si>
  <si>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</si>
  <si>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</si>
  <si>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</si>
  <si>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</si>
  <si>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</si>
  <si>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51102022     opravy - Úsek inf.systémů</t>
  </si>
  <si>
    <t>--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</si>
  <si>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</si>
  <si>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</si>
  <si>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</si>
  <si>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</si>
  <si>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</si>
  <si>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</si>
  <si>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</si>
  <si>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</si>
  <si>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</si>
  <si>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</si>
  <si>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</si>
  <si>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51806005     odpad (spalovna)</t>
  </si>
  <si>
    <t>51808     Revize a smluvní servisy majetku</t>
  </si>
  <si>
    <t>51808007     revize, sml.servis - energetik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</si>
  <si>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</si>
  <si>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</si>
  <si>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</si>
  <si>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</si>
  <si>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</si>
  <si>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</si>
  <si>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</si>
  <si>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</si>
  <si>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</si>
  <si>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</si>
  <si>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</si>
  <si>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</si>
  <si>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</si>
  <si>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</si>
  <si>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</si>
  <si>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</si>
  <si>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</si>
  <si>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</si>
  <si>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</si>
  <si>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</si>
  <si>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</si>
  <si>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</si>
  <si>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</si>
  <si>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</si>
  <si>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55110005     odpisy DHM - ostatní z odpisů</t>
  </si>
  <si>
    <t>55110013     odpisy DHM - budovy z dotací</t>
  </si>
  <si>
    <t>558     Náklady z drobného dlouhodobého majetku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</si>
  <si>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</si>
  <si>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</si>
  <si>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</si>
  <si>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</si>
  <si>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</si>
  <si>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</si>
  <si>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</si>
  <si>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</si>
  <si>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</si>
  <si>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</si>
  <si>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</si>
  <si>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</si>
  <si>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</si>
  <si>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</si>
  <si>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</si>
  <si>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</si>
  <si>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</si>
  <si>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</si>
  <si>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</si>
  <si>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</si>
  <si>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</si>
  <si>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</si>
  <si>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</si>
  <si>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</si>
  <si>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</si>
  <si>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</si>
  <si>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</si>
  <si>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</si>
  <si>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</si>
  <si>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</si>
  <si>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</si>
  <si>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</si>
  <si>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</si>
  <si>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79903003     výkony dopravy - nákladní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</si>
  <si>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</si>
  <si>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</si>
  <si>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</si>
  <si>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</si>
  <si>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</si>
  <si>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</si>
  <si>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39</t>
  </si>
  <si>
    <t>Oddělení klinické psychologie</t>
  </si>
  <si>
    <t/>
  </si>
  <si>
    <t>Oddělení klinické psychologie Celkem</t>
  </si>
  <si>
    <t>SumaKL</t>
  </si>
  <si>
    <t>3921</t>
  </si>
  <si>
    <t>ambulance - odborná poradna</t>
  </si>
  <si>
    <t>ambulance - odborná poradna Celkem</t>
  </si>
  <si>
    <t>SumaNS</t>
  </si>
  <si>
    <t>mezeraNS</t>
  </si>
  <si>
    <t>50115050     obvazový materiál (Z502)</t>
  </si>
  <si>
    <t>50115060     ZPr - ostatní (Z503)</t>
  </si>
  <si>
    <t>ON Data</t>
  </si>
  <si>
    <t>901 - Pracoviště klinické psychologie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</si>
  <si>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</si>
  <si>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</si>
  <si>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</si>
  <si>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</si>
  <si>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</si>
  <si>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Dařílková Naděžda</t>
  </si>
  <si>
    <t>Dlabačová Marie</t>
  </si>
  <si>
    <t>Halířová Monika</t>
  </si>
  <si>
    <t>Hradilová Michaela</t>
  </si>
  <si>
    <t>Hubáčková Lia</t>
  </si>
  <si>
    <t>Kolářová Jana</t>
  </si>
  <si>
    <t>Kreiselová Silvie</t>
  </si>
  <si>
    <t>Kubíček Zdenek</t>
  </si>
  <si>
    <t>Machová Karolína</t>
  </si>
  <si>
    <t>Škrobánková Alexandra</t>
  </si>
  <si>
    <t>Šmídová Magdaléna</t>
  </si>
  <si>
    <t>Štecková Tereza</t>
  </si>
  <si>
    <t>Tenglerová Petra</t>
  </si>
  <si>
    <t>Zdravotní výkony vykázané na pracovišti v rámci ambulantní péče dle lékařů *</t>
  </si>
  <si>
    <t>901</t>
  </si>
  <si>
    <t>V</t>
  </si>
  <si>
    <t>09511</t>
  </si>
  <si>
    <t>MINIMÁLNÍ KONTAKT LÉKAŘE S PACIENTEM</t>
  </si>
  <si>
    <t>35050</t>
  </si>
  <si>
    <t xml:space="preserve">TELEFONICKÁ KONZULTACE PSYCHIATRA NEBO KLINICKÉHO </t>
  </si>
  <si>
    <t>35520</t>
  </si>
  <si>
    <t>PSYCHOTERAPIE INDIVIDUÁLNÍ SYSTEMATICKÁ, PROVÁDĚNÁ</t>
  </si>
  <si>
    <t>35650</t>
  </si>
  <si>
    <t>RODINNÁ SYSTEMATICKÁ PSYCHOTERAPIE Á 30 MINUT</t>
  </si>
  <si>
    <t>37115</t>
  </si>
  <si>
    <t>KRIZOVÁ INTERVENCE(Á 30 MINUT)</t>
  </si>
  <si>
    <t>09547</t>
  </si>
  <si>
    <t>REGULAČNÍ POPLATEK -- POJIŠTĚNEC OD ÚHRADY POPLATK</t>
  </si>
  <si>
    <t>09543</t>
  </si>
  <si>
    <t>Signalni kod</t>
  </si>
  <si>
    <t>37022</t>
  </si>
  <si>
    <t>CÍLENÉ PSYCHOLOGICKÉ VYŠETŘENÍ (Á 60 MINUT)</t>
  </si>
  <si>
    <t>37062</t>
  </si>
  <si>
    <t>CÍLENÉ PEDOPSYCHOLOGICKÉ VYŠETŘENÍ (Á 60 MINUT)</t>
  </si>
  <si>
    <t>37063</t>
  </si>
  <si>
    <t>KONTROLNÍ PEDOPSYCHOLOGICKÉ VYŠETŘENÍ (Á 30 MINUT)</t>
  </si>
  <si>
    <t>37061</t>
  </si>
  <si>
    <t>KOMPLEXNÍ PEDOPSYCHOLOGICKÉ VYŠETŘENÍ (Á 60 MINUT)</t>
  </si>
  <si>
    <t>37021</t>
  </si>
  <si>
    <t>KOMPLEXNÍ PSYCHOLOGICKÉ VYŠETŘENÍ (Á 60 MINUT)</t>
  </si>
  <si>
    <t>37023</t>
  </si>
  <si>
    <t>KONTROLNÍ PSYCHOLOGICKÉ VYŠETŘENÍ (Á 30 MINUT)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</si>
  <si>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</si>
  <si>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</si>
  <si>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</si>
  <si>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</si>
  <si>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</si>
  <si>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</si>
  <si>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</si>
  <si>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</si>
  <si>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</si>
  <si>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</si>
  <si>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</si>
  <si>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</si>
  <si>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</si>
  <si>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</si>
  <si>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</si>
  <si>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</si>
  <si>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</si>
  <si>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</si>
  <si>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</si>
  <si>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</si>
  <si>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</si>
  <si>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</si>
  <si>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</si>
  <si>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</si>
  <si>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</si>
  <si>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</si>
  <si>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</si>
  <si>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</si>
  <si>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</si>
  <si>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</si>
  <si>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</si>
  <si>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</si>
  <si>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</si>
  <si>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</si>
  <si>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</si>
  <si>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</si>
  <si>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</si>
  <si>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</si>
  <si>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</si>
  <si>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</si>
  <si>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</si>
  <si>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</si>
  <si>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</si>
  <si>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</si>
  <si>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</si>
  <si>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</si>
  <si>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37125</t>
  </si>
  <si>
    <t>EMERGENTNÍ PSYCHOTERAPIE Á 60 MINUT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</si>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</sst>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31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1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1" fontId="28" fillId="3" borderId="26" xfId="80" applyNumberFormat="1" applyFont="1" applyFill="1" applyBorder="1"/>
    <xf numFmtId="171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2" fillId="0" borderId="35" xfId="0" applyFont="1" applyFill="1" applyBorder="1" applyAlignment="1"/>
    <xf numFmtId="0" fontId="41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164" fontId="3" fillId="0" borderId="54" xfId="53" applyNumberFormat="1" applyFont="1" applyFill="1" applyBorder="1"/>
    <xf numFmtId="9" fontId="3" fillId="0" borderId="54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9" xfId="0" applyFont="1" applyFill="1" applyBorder="1" applyAlignment="1"/>
    <xf numFmtId="0" fontId="3" fillId="2" borderId="52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0" fontId="31" fillId="2" borderId="41" xfId="0" applyFont="1" applyFill="1" applyBorder="1" applyAlignment="1">
      <alignment horizontal="center"/>
    </xf>
    <xf numFmtId="3" fontId="3" fillId="0" borderId="53" xfId="53" applyNumberFormat="1" applyFont="1" applyFill="1" applyBorder="1"/>
    <xf numFmtId="3" fontId="3" fillId="0" borderId="54" xfId="53" applyNumberFormat="1" applyFont="1" applyFill="1" applyBorder="1"/>
    <xf numFmtId="3" fontId="3" fillId="0" borderId="55" xfId="53" applyNumberFormat="1" applyFont="1" applyFill="1" applyBorder="1"/>
    <xf numFmtId="0" fontId="31" fillId="2" borderId="41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7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6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5" fillId="4" borderId="32" xfId="1" applyFont="1" applyFill="1" applyBorder="1"/>
    <xf numFmtId="0" fontId="45" fillId="4" borderId="16" xfId="1" applyFont="1" applyFill="1" applyBorder="1"/>
    <xf numFmtId="0" fontId="45" fillId="3" borderId="17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45" fillId="3" borderId="7" xfId="1" applyFont="1" applyFill="1" applyBorder="1"/>
    <xf numFmtId="0" fontId="45" fillId="3" borderId="3" xfId="1" applyFont="1" applyFill="1" applyBorder="1"/>
    <xf numFmtId="0" fontId="45" fillId="6" borderId="3" xfId="1" applyFont="1" applyFill="1" applyBorder="1"/>
    <xf numFmtId="0" fontId="45" fillId="6" borderId="47" xfId="1" applyFont="1" applyFill="1" applyBorder="1"/>
    <xf numFmtId="0" fontId="45" fillId="2" borderId="3" xfId="1" applyFont="1" applyFill="1" applyBorder="1"/>
    <xf numFmtId="0" fontId="45" fillId="4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5" xfId="0" applyNumberFormat="1" applyFont="1" applyFill="1" applyBorder="1"/>
    <xf numFmtId="9" fontId="39" fillId="2" borderId="48" xfId="0" applyNumberFormat="1" applyFont="1" applyFill="1" applyBorder="1"/>
    <xf numFmtId="0" fontId="49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6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5" fillId="2" borderId="33" xfId="1" applyFont="1" applyFill="1" applyBorder="1" applyAlignment="1">
      <alignment horizontal="left" indent="2"/>
    </xf>
    <xf numFmtId="0" fontId="49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9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9" fillId="4" borderId="46" xfId="1" applyFont="1" applyFill="1" applyBorder="1" applyAlignment="1">
      <alignment horizontal="left"/>
    </xf>
    <xf numFmtId="0" fontId="45" fillId="4" borderId="33" xfId="1" applyFont="1" applyFill="1" applyBorder="1" applyAlignment="1">
      <alignment horizontal="left" indent="2"/>
    </xf>
    <xf numFmtId="0" fontId="49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0" applyFont="1" applyFill="1"/>
    <xf numFmtId="0" fontId="50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0" fontId="39" fillId="2" borderId="25" xfId="0" applyFont="1" applyFill="1" applyBorder="1" applyAlignment="1">
      <alignment horizontal="right"/>
    </xf>
    <xf numFmtId="169" fontId="39" fillId="0" borderId="18" xfId="0" applyNumberFormat="1" applyFont="1" applyFill="1" applyBorder="1" applyAlignment="1"/>
    <xf numFmtId="169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43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1" xfId="0" applyNumberFormat="1" applyFont="1" applyFill="1" applyBorder="1" applyAlignment="1"/>
    <xf numFmtId="9" fontId="32" fillId="0" borderId="41" xfId="0" applyNumberFormat="1" applyFont="1" applyFill="1" applyBorder="1" applyAlignment="1"/>
    <xf numFmtId="3" fontId="0" fillId="0" borderId="0" xfId="0" applyNumberFormat="1"/>
    <xf numFmtId="3" fontId="0" fillId="7" borderId="57" xfId="0" applyNumberFormat="1" applyFont="1" applyFill="1" applyBorder="1"/>
    <xf numFmtId="3" fontId="52" fillId="8" borderId="58" xfId="0" applyNumberFormat="1" applyFont="1" applyFill="1" applyBorder="1"/>
    <xf numFmtId="3" fontId="52" fillId="8" borderId="57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39" fillId="2" borderId="61" xfId="0" applyFont="1" applyFill="1" applyBorder="1" applyAlignment="1">
      <alignment horizontal="center" vertical="center"/>
    </xf>
    <xf numFmtId="0" fontId="54" fillId="2" borderId="64" xfId="0" applyFont="1" applyFill="1" applyBorder="1" applyAlignment="1">
      <alignment horizontal="center" vertical="center" wrapText="1"/>
    </xf>
    <xf numFmtId="0" fontId="39" fillId="2" borderId="66" xfId="0" applyFont="1" applyFill="1" applyBorder="1" applyAlignment="1"/>
    <xf numFmtId="0" fontId="39" fillId="2" borderId="68" xfId="0" applyFont="1" applyFill="1" applyBorder="1" applyAlignment="1">
      <alignment horizontal="left" indent="1"/>
    </xf>
    <xf numFmtId="0" fontId="39" fillId="2" borderId="73" xfId="0" applyFont="1" applyFill="1" applyBorder="1" applyAlignment="1">
      <alignment horizontal="left" indent="1"/>
    </xf>
    <xf numFmtId="0" fontId="39" fillId="4" borderId="66" xfId="0" applyFont="1" applyFill="1" applyBorder="1" applyAlignment="1"/>
    <xf numFmtId="0" fontId="39" fillId="4" borderId="68" xfId="0" applyFont="1" applyFill="1" applyBorder="1" applyAlignment="1">
      <alignment horizontal="left" indent="1"/>
    </xf>
    <xf numFmtId="0" fontId="39" fillId="4" borderId="76" xfId="0" applyFont="1" applyFill="1" applyBorder="1" applyAlignment="1">
      <alignment horizontal="left" indent="1"/>
    </xf>
    <xf numFmtId="0" fontId="32" fillId="2" borderId="68" xfId="0" quotePrefix="1" applyFont="1" applyFill="1" applyBorder="1" applyAlignment="1">
      <alignment horizontal="left" indent="2"/>
    </xf>
    <xf numFmtId="0" fontId="32" fillId="2" borderId="73" xfId="0" quotePrefix="1" applyFont="1" applyFill="1" applyBorder="1" applyAlignment="1">
      <alignment horizontal="left" indent="2"/>
    </xf>
    <xf numFmtId="0" fontId="39" fillId="2" borderId="66" xfId="0" applyFont="1" applyFill="1" applyBorder="1" applyAlignment="1">
      <alignment horizontal="left" indent="1"/>
    </xf>
    <xf numFmtId="0" fontId="39" fillId="2" borderId="76" xfId="0" applyFont="1" applyFill="1" applyBorder="1" applyAlignment="1">
      <alignment horizontal="left" indent="1"/>
    </xf>
    <xf numFmtId="0" fontId="39" fillId="4" borderId="73" xfId="0" applyFont="1" applyFill="1" applyBorder="1" applyAlignment="1">
      <alignment horizontal="left" indent="1"/>
    </xf>
    <xf numFmtId="0" fontId="32" fillId="0" borderId="81" xfId="0" applyFont="1" applyBorder="1"/>
    <xf numFmtId="3" fontId="32" fillId="0" borderId="81" xfId="0" applyNumberFormat="1" applyFont="1" applyBorder="1"/>
    <xf numFmtId="0" fontId="39" fillId="4" borderId="59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0" xfId="0" applyNumberFormat="1" applyFont="1" applyFill="1" applyBorder="1" applyAlignment="1">
      <alignment horizontal="center" vertical="center"/>
    </xf>
    <xf numFmtId="3" fontId="54" fillId="2" borderId="78" xfId="0" applyNumberFormat="1" applyFont="1" applyFill="1" applyBorder="1" applyAlignment="1">
      <alignment horizontal="center" vertical="center" wrapText="1"/>
    </xf>
    <xf numFmtId="173" fontId="39" fillId="4" borderId="67" xfId="0" applyNumberFormat="1" applyFont="1" applyFill="1" applyBorder="1" applyAlignment="1"/>
    <xf numFmtId="173" fontId="39" fillId="4" borderId="61" xfId="0" applyNumberFormat="1" applyFont="1" applyFill="1" applyBorder="1" applyAlignment="1"/>
    <xf numFmtId="173" fontId="39" fillId="0" borderId="69" xfId="0" applyNumberFormat="1" applyFont="1" applyBorder="1"/>
    <xf numFmtId="173" fontId="32" fillId="0" borderId="71" xfId="0" applyNumberFormat="1" applyFont="1" applyBorder="1"/>
    <xf numFmtId="173" fontId="39" fillId="0" borderId="77" xfId="0" applyNumberFormat="1" applyFont="1" applyBorder="1"/>
    <xf numFmtId="173" fontId="32" fillId="0" borderId="64" xfId="0" applyNumberFormat="1" applyFont="1" applyBorder="1"/>
    <xf numFmtId="173" fontId="39" fillId="2" borderId="79" xfId="0" applyNumberFormat="1" applyFont="1" applyFill="1" applyBorder="1" applyAlignment="1"/>
    <xf numFmtId="173" fontId="39" fillId="2" borderId="61" xfId="0" applyNumberFormat="1" applyFont="1" applyFill="1" applyBorder="1" applyAlignment="1"/>
    <xf numFmtId="173" fontId="39" fillId="0" borderId="74" xfId="0" applyNumberFormat="1" applyFont="1" applyBorder="1"/>
    <xf numFmtId="173" fontId="32" fillId="0" borderId="75" xfId="0" applyNumberFormat="1" applyFont="1" applyBorder="1"/>
    <xf numFmtId="173" fontId="39" fillId="0" borderId="67" xfId="0" applyNumberFormat="1" applyFont="1" applyBorder="1"/>
    <xf numFmtId="173" fontId="32" fillId="0" borderId="61" xfId="0" applyNumberFormat="1" applyFont="1" applyBorder="1"/>
    <xf numFmtId="174" fontId="39" fillId="2" borderId="67" xfId="0" applyNumberFormat="1" applyFont="1" applyFill="1" applyBorder="1" applyAlignment="1"/>
    <xf numFmtId="174" fontId="32" fillId="2" borderId="61" xfId="0" applyNumberFormat="1" applyFont="1" applyFill="1" applyBorder="1" applyAlignment="1"/>
    <xf numFmtId="174" fontId="39" fillId="0" borderId="69" xfId="0" applyNumberFormat="1" applyFont="1" applyBorder="1"/>
    <xf numFmtId="174" fontId="32" fillId="0" borderId="71" xfId="0" applyNumberFormat="1" applyFont="1" applyBorder="1"/>
    <xf numFmtId="174" fontId="39" fillId="0" borderId="74" xfId="0" applyNumberFormat="1" applyFont="1" applyBorder="1"/>
    <xf numFmtId="174" fontId="32" fillId="0" borderId="75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3" fontId="39" fillId="4" borderId="67" xfId="0" applyNumberFormat="1" applyFont="1" applyFill="1" applyBorder="1" applyAlignment="1">
      <alignment horizontal="center"/>
    </xf>
    <xf numFmtId="175" fontId="39" fillId="0" borderId="74" xfId="0" applyNumberFormat="1" applyFont="1" applyBorder="1"/>
    <xf numFmtId="0" fontId="31" fillId="2" borderId="87" xfId="74" applyFont="1" applyFill="1" applyBorder="1" applyAlignment="1">
      <alignment horizontal="center"/>
    </xf>
    <xf numFmtId="0" fontId="31" fillId="2" borderId="62" xfId="80" applyFont="1" applyFill="1" applyBorder="1" applyAlignment="1">
      <alignment horizontal="center"/>
    </xf>
    <xf numFmtId="0" fontId="31" fillId="2" borderId="63" xfId="80" applyFont="1" applyFill="1" applyBorder="1" applyAlignment="1">
      <alignment horizontal="center"/>
    </xf>
    <xf numFmtId="0" fontId="31" fillId="2" borderId="64" xfId="80" applyFont="1" applyFill="1" applyBorder="1" applyAlignment="1">
      <alignment horizontal="center"/>
    </xf>
    <xf numFmtId="0" fontId="31" fillId="2" borderId="65" xfId="80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0" fontId="25" fillId="2" borderId="33" xfId="1" applyFill="1" applyBorder="1" applyAlignment="1">
      <alignment horizontal="left" indent="4"/>
    </xf>
    <xf numFmtId="0" fontId="32" fillId="0" borderId="81" xfId="0" applyFont="1" applyFill="1" applyBorder="1" applyAlignment="1"/>
    <xf numFmtId="3" fontId="39" fillId="0" borderId="18" xfId="0" applyNumberFormat="1" applyFont="1" applyFill="1" applyBorder="1" applyAlignment="1"/>
    <xf numFmtId="3" fontId="39" fillId="0" borderId="26" xfId="0" applyNumberFormat="1" applyFont="1" applyFill="1" applyBorder="1" applyAlignment="1"/>
    <xf numFmtId="169" fontId="39" fillId="0" borderId="19" xfId="0" applyNumberFormat="1" applyFont="1" applyFill="1" applyBorder="1" applyAlignment="1"/>
    <xf numFmtId="9" fontId="39" fillId="0" borderId="69" xfId="0" applyNumberFormat="1" applyFont="1" applyBorder="1"/>
    <xf numFmtId="9" fontId="32" fillId="0" borderId="71" xfId="0" applyNumberFormat="1" applyFont="1" applyBorder="1"/>
    <xf numFmtId="0" fontId="40" fillId="0" borderId="81" xfId="0" applyFont="1" applyFill="1" applyBorder="1" applyAlignment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39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31" fillId="2" borderId="56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7" xfId="80" applyFont="1" applyFill="1" applyBorder="1" applyAlignment="1">
      <alignment horizontal="center"/>
    </xf>
    <xf numFmtId="0" fontId="31" fillId="2" borderId="85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86" xfId="80" applyFont="1" applyFill="1" applyBorder="1" applyAlignment="1">
      <alignment horizontal="center"/>
    </xf>
    <xf numFmtId="0" fontId="31" fillId="2" borderId="77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6" fontId="39" fillId="2" borderId="60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48" xfId="0" applyFont="1" applyFill="1" applyBorder="1" applyAlignment="1">
      <alignment vertical="center"/>
    </xf>
    <xf numFmtId="3" fontId="31" fillId="2" borderId="50" xfId="26" applyNumberFormat="1" applyFont="1" applyFill="1" applyBorder="1" applyAlignment="1">
      <alignment horizontal="center"/>
    </xf>
    <xf numFmtId="3" fontId="31" fillId="2" borderId="41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81" xfId="26" applyNumberFormat="1" applyFont="1" applyFill="1" applyBorder="1" applyAlignment="1">
      <alignment horizontal="center"/>
    </xf>
    <xf numFmtId="3" fontId="31" fillId="2" borderId="60" xfId="26" applyNumberFormat="1" applyFont="1" applyFill="1" applyBorder="1" applyAlignment="1">
      <alignment horizontal="center"/>
    </xf>
    <xf numFmtId="3" fontId="31" fillId="2" borderId="42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 wrapText="1"/>
    </xf>
    <xf numFmtId="0" fontId="31" fillId="2" borderId="29" xfId="0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0" xfId="0" quotePrefix="1" applyFont="1" applyFill="1" applyBorder="1" applyAlignment="1">
      <alignment horizontal="center"/>
    </xf>
    <xf numFmtId="0" fontId="31" fillId="2" borderId="42" xfId="0" applyFont="1" applyFill="1" applyBorder="1" applyAlignment="1">
      <alignment horizontal="center"/>
    </xf>
    <xf numFmtId="9" fontId="43" fillId="2" borderId="42" xfId="0" applyNumberFormat="1" applyFont="1" applyFill="1" applyBorder="1" applyAlignment="1">
      <alignment horizontal="center" vertical="top"/>
    </xf>
    <xf numFmtId="0" fontId="31" fillId="2" borderId="59" xfId="0" applyNumberFormat="1" applyFont="1" applyFill="1" applyBorder="1" applyAlignment="1">
      <alignment horizontal="center" vertical="top"/>
    </xf>
    <xf numFmtId="0" fontId="31" fillId="2" borderId="59" xfId="0" applyFont="1" applyFill="1" applyBorder="1" applyAlignment="1">
      <alignment horizontal="center" vertical="top" wrapText="1"/>
    </xf>
    <xf numFmtId="0" fontId="31" fillId="2" borderId="50" xfId="0" quotePrefix="1" applyNumberFormat="1" applyFont="1" applyFill="1" applyBorder="1" applyAlignment="1">
      <alignment horizontal="center"/>
    </xf>
    <xf numFmtId="0" fontId="31" fillId="2" borderId="42" xfId="0" applyNumberFormat="1" applyFont="1" applyFill="1" applyBorder="1" applyAlignment="1">
      <alignment horizontal="center"/>
    </xf>
    <xf numFmtId="49" fontId="31" fillId="2" borderId="29" xfId="0" applyNumberFormat="1" applyFont="1" applyFill="1" applyBorder="1" applyAlignment="1">
      <alignment horizontal="center" vertical="top"/>
    </xf>
    <xf numFmtId="0" fontId="43" fillId="2" borderId="42" xfId="0" applyNumberFormat="1" applyFont="1" applyFill="1" applyBorder="1" applyAlignment="1">
      <alignment horizontal="center" vertical="top"/>
    </xf>
    <xf numFmtId="3" fontId="33" fillId="9" borderId="90" xfId="0" applyNumberFormat="1" applyFont="1" applyFill="1" applyBorder="1" applyAlignment="1">
      <alignment horizontal="right" vertical="top"/>
    </xf>
    <xf numFmtId="3" fontId="33" fillId="9" borderId="91" xfId="0" applyNumberFormat="1" applyFont="1" applyFill="1" applyBorder="1" applyAlignment="1">
      <alignment horizontal="right" vertical="top"/>
    </xf>
    <xf numFmtId="176" fontId="33" fillId="9" borderId="92" xfId="0" applyNumberFormat="1" applyFont="1" applyFill="1" applyBorder="1" applyAlignment="1">
      <alignment horizontal="right" vertical="top"/>
    </xf>
    <xf numFmtId="3" fontId="33" fillId="0" borderId="90" xfId="0" applyNumberFormat="1" applyFont="1" applyBorder="1" applyAlignment="1">
      <alignment horizontal="right" vertical="top"/>
    </xf>
    <xf numFmtId="176" fontId="33" fillId="9" borderId="93" xfId="0" applyNumberFormat="1" applyFont="1" applyFill="1" applyBorder="1" applyAlignment="1">
      <alignment horizontal="right" vertical="top"/>
    </xf>
    <xf numFmtId="3" fontId="35" fillId="9" borderId="95" xfId="0" applyNumberFormat="1" applyFont="1" applyFill="1" applyBorder="1" applyAlignment="1">
      <alignment horizontal="right" vertical="top"/>
    </xf>
    <xf numFmtId="3" fontId="35" fillId="9" borderId="96" xfId="0" applyNumberFormat="1" applyFont="1" applyFill="1" applyBorder="1" applyAlignment="1">
      <alignment horizontal="right" vertical="top"/>
    </xf>
    <xf numFmtId="176" fontId="35" fillId="9" borderId="97" xfId="0" applyNumberFormat="1" applyFont="1" applyFill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176" fontId="35" fillId="9" borderId="98" xfId="0" applyNumberFormat="1" applyFont="1" applyFill="1" applyBorder="1" applyAlignment="1">
      <alignment horizontal="right" vertical="top"/>
    </xf>
    <xf numFmtId="0" fontId="35" fillId="9" borderId="98" xfId="0" applyFont="1" applyFill="1" applyBorder="1" applyAlignment="1">
      <alignment horizontal="right" vertical="top"/>
    </xf>
    <xf numFmtId="0" fontId="33" fillId="9" borderId="93" xfId="0" applyFont="1" applyFill="1" applyBorder="1" applyAlignment="1">
      <alignment horizontal="right" vertical="top"/>
    </xf>
    <xf numFmtId="0" fontId="33" fillId="9" borderId="92" xfId="0" applyFont="1" applyFill="1" applyBorder="1" applyAlignment="1">
      <alignment horizontal="right" vertical="top"/>
    </xf>
    <xf numFmtId="0" fontId="35" fillId="9" borderId="97" xfId="0" applyFont="1" applyFill="1" applyBorder="1" applyAlignment="1">
      <alignment horizontal="right" vertical="top"/>
    </xf>
    <xf numFmtId="3" fontId="35" fillId="0" borderId="99" xfId="0" applyNumberFormat="1" applyFont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176" fontId="35" fillId="9" borderId="102" xfId="0" applyNumberFormat="1" applyFont="1" applyFill="1" applyBorder="1" applyAlignment="1">
      <alignment horizontal="right" vertical="top"/>
    </xf>
    <xf numFmtId="0" fontId="37" fillId="10" borderId="89" xfId="0" applyFont="1" applyFill="1" applyBorder="1" applyAlignment="1">
      <alignment vertical="top"/>
    </xf>
    <xf numFmtId="0" fontId="37" fillId="10" borderId="89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4"/>
    </xf>
    <xf numFmtId="0" fontId="38" fillId="10" borderId="94" xfId="0" applyFont="1" applyFill="1" applyBorder="1" applyAlignment="1">
      <alignment vertical="top" indent="6"/>
    </xf>
    <xf numFmtId="0" fontId="37" fillId="10" borderId="89" xfId="0" applyFont="1" applyFill="1" applyBorder="1" applyAlignment="1">
      <alignment vertical="top" indent="8"/>
    </xf>
    <xf numFmtId="0" fontId="38" fillId="10" borderId="94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6"/>
    </xf>
    <xf numFmtId="0" fontId="38" fillId="10" borderId="94" xfId="0" applyFont="1" applyFill="1" applyBorder="1" applyAlignment="1">
      <alignment vertical="top" indent="4"/>
    </xf>
    <xf numFmtId="0" fontId="32" fillId="10" borderId="89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0" fontId="0" fillId="0" borderId="103" xfId="0" applyBorder="1" applyAlignment="1">
      <alignment horizontal="center"/>
    </xf>
    <xf numFmtId="0" fontId="0" fillId="0" borderId="104" xfId="0" applyBorder="1" applyAlignment="1">
      <alignment horizontal="center"/>
    </xf>
    <xf numFmtId="0" fontId="0" fillId="0" borderId="105" xfId="0" applyBorder="1" applyAlignment="1">
      <alignment horizontal="right"/>
    </xf>
    <xf numFmtId="0" fontId="0" fillId="0" borderId="106" xfId="0" applyBorder="1" applyAlignment="1">
      <alignment horizontal="right"/>
    </xf>
    <xf numFmtId="0" fontId="0" fillId="0" borderId="105" xfId="0" applyBorder="1" applyAlignment="1">
      <alignment horizontal="right" wrapText="1"/>
    </xf>
    <xf numFmtId="0" fontId="0" fillId="0" borderId="106" xfId="0" applyBorder="1" applyAlignment="1">
      <alignment horizontal="right" wrapText="1"/>
    </xf>
    <xf numFmtId="0" fontId="0" fillId="0" borderId="107" xfId="0" applyBorder="1" applyAlignment="1">
      <alignment horizontal="right"/>
    </xf>
    <xf numFmtId="0" fontId="0" fillId="0" borderId="108" xfId="0" applyBorder="1" applyAlignment="1">
      <alignment horizontal="right"/>
    </xf>
    <xf numFmtId="0" fontId="39" fillId="2" borderId="84" xfId="0" applyFont="1" applyFill="1" applyBorder="1" applyAlignment="1">
      <alignment horizontal="center" vertical="center"/>
    </xf>
    <xf numFmtId="0" fontId="54" fillId="2" borderId="83" xfId="0" applyFont="1" applyFill="1" applyBorder="1" applyAlignment="1">
      <alignment horizontal="center" vertical="center" wrapText="1"/>
    </xf>
    <xf numFmtId="174" fontId="32" fillId="2" borderId="84" xfId="0" applyNumberFormat="1" applyFont="1" applyFill="1" applyBorder="1" applyAlignment="1"/>
    <xf numFmtId="174" fontId="32" fillId="0" borderId="82" xfId="0" applyNumberFormat="1" applyFont="1" applyBorder="1"/>
    <xf numFmtId="174" fontId="32" fillId="0" borderId="110" xfId="0" applyNumberFormat="1" applyFont="1" applyBorder="1"/>
    <xf numFmtId="173" fontId="39" fillId="4" borderId="84" xfId="0" applyNumberFormat="1" applyFont="1" applyFill="1" applyBorder="1" applyAlignment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2" borderId="84" xfId="0" applyNumberFormat="1" applyFont="1" applyFill="1" applyBorder="1" applyAlignment="1"/>
    <xf numFmtId="173" fontId="32" fillId="0" borderId="110" xfId="0" applyNumberFormat="1" applyFont="1" applyBorder="1"/>
    <xf numFmtId="173" fontId="32" fillId="0" borderId="84" xfId="0" applyNumberFormat="1" applyFont="1" applyBorder="1"/>
    <xf numFmtId="173" fontId="39" fillId="4" borderId="111" xfId="0" applyNumberFormat="1" applyFont="1" applyFill="1" applyBorder="1" applyAlignment="1">
      <alignment horizontal="center"/>
    </xf>
    <xf numFmtId="173" fontId="32" fillId="0" borderId="112" xfId="0" applyNumberFormat="1" applyFont="1" applyBorder="1" applyAlignment="1">
      <alignment horizontal="right"/>
    </xf>
    <xf numFmtId="175" fontId="32" fillId="0" borderId="112" xfId="0" applyNumberFormat="1" applyFont="1" applyBorder="1" applyAlignment="1">
      <alignment horizontal="right"/>
    </xf>
    <xf numFmtId="173" fontId="32" fillId="0" borderId="113" xfId="0" applyNumberFormat="1" applyFont="1" applyBorder="1" applyAlignment="1">
      <alignment horizontal="right"/>
    </xf>
    <xf numFmtId="0" fontId="0" fillId="0" borderId="109" xfId="0" applyBorder="1"/>
    <xf numFmtId="173" fontId="39" fillId="4" borderId="32" xfId="0" applyNumberFormat="1" applyFont="1" applyFill="1" applyBorder="1" applyAlignment="1">
      <alignment horizontal="center"/>
    </xf>
    <xf numFmtId="173" fontId="32" fillId="0" borderId="68" xfId="0" applyNumberFormat="1" applyFont="1" applyBorder="1" applyAlignment="1">
      <alignment horizontal="right"/>
    </xf>
    <xf numFmtId="173" fontId="32" fillId="0" borderId="68" xfId="0" applyNumberFormat="1" applyFont="1" applyBorder="1" applyAlignment="1">
      <alignment horizontal="right" wrapText="1"/>
    </xf>
    <xf numFmtId="175" fontId="32" fillId="0" borderId="68" xfId="0" applyNumberFormat="1" applyFont="1" applyBorder="1" applyAlignment="1">
      <alignment horizontal="right"/>
    </xf>
    <xf numFmtId="173" fontId="32" fillId="0" borderId="76" xfId="0" applyNumberFormat="1" applyFont="1" applyBorder="1" applyAlignment="1">
      <alignment horizontal="right"/>
    </xf>
    <xf numFmtId="0" fontId="32" fillId="2" borderId="51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0" fontId="31" fillId="2" borderId="15" xfId="26" applyNumberFormat="1" applyFont="1" applyFill="1" applyBorder="1" applyAlignment="1">
      <alignment horizontal="right"/>
    </xf>
    <xf numFmtId="169" fontId="32" fillId="0" borderId="26" xfId="0" applyNumberFormat="1" applyFont="1" applyFill="1" applyBorder="1"/>
    <xf numFmtId="0" fontId="32" fillId="0" borderId="26" xfId="0" applyFont="1" applyFill="1" applyBorder="1"/>
    <xf numFmtId="0" fontId="39" fillId="0" borderId="18" xfId="0" applyFont="1" applyFill="1" applyBorder="1"/>
    <xf numFmtId="0" fontId="58" fillId="0" borderId="0" xfId="0" applyFont="1" applyFill="1"/>
    <xf numFmtId="0" fontId="59" fillId="0" borderId="0" xfId="0" applyFont="1" applyFill="1"/>
    <xf numFmtId="0" fontId="32" fillId="0" borderId="23" xfId="0" applyFont="1" applyFill="1" applyBorder="1"/>
    <xf numFmtId="3" fontId="32" fillId="0" borderId="61" xfId="0" applyNumberFormat="1" applyFont="1" applyFill="1" applyBorder="1"/>
    <xf numFmtId="169" fontId="32" fillId="0" borderId="61" xfId="0" applyNumberFormat="1" applyFont="1" applyFill="1" applyBorder="1"/>
    <xf numFmtId="169" fontId="32" fillId="0" borderId="62" xfId="0" applyNumberFormat="1" applyFont="1" applyFill="1" applyBorder="1"/>
    <xf numFmtId="0" fontId="32" fillId="0" borderId="70" xfId="0" applyFont="1" applyFill="1" applyBorder="1"/>
    <xf numFmtId="3" fontId="32" fillId="0" borderId="71" xfId="0" applyNumberFormat="1" applyFont="1" applyFill="1" applyBorder="1"/>
    <xf numFmtId="169" fontId="32" fillId="0" borderId="71" xfId="0" applyNumberFormat="1" applyFont="1" applyFill="1" applyBorder="1"/>
    <xf numFmtId="169" fontId="32" fillId="0" borderId="72" xfId="0" applyNumberFormat="1" applyFont="1" applyFill="1" applyBorder="1"/>
    <xf numFmtId="0" fontId="32" fillId="0" borderId="63" xfId="0" applyFont="1" applyFill="1" applyBorder="1"/>
    <xf numFmtId="3" fontId="32" fillId="0" borderId="64" xfId="0" applyNumberFormat="1" applyFont="1" applyFill="1" applyBorder="1"/>
    <xf numFmtId="169" fontId="32" fillId="0" borderId="64" xfId="0" applyNumberFormat="1" applyFont="1" applyFill="1" applyBorder="1"/>
    <xf numFmtId="169" fontId="32" fillId="0" borderId="65" xfId="0" applyNumberFormat="1" applyFont="1" applyFill="1" applyBorder="1"/>
    <xf numFmtId="0" fontId="39" fillId="0" borderId="23" xfId="0" applyFont="1" applyFill="1" applyBorder="1"/>
    <xf numFmtId="0" fontId="39" fillId="0" borderId="70" xfId="0" applyFont="1" applyFill="1" applyBorder="1"/>
    <xf numFmtId="0" fontId="39" fillId="0" borderId="63" xfId="0" applyFont="1" applyFill="1" applyBorder="1"/>
    <xf numFmtId="0" fontId="32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0" fillId="0" borderId="30" xfId="0" applyNumberFormat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3" fontId="31" fillId="2" borderId="14" xfId="0" applyNumberFormat="1" applyFont="1" applyFill="1" applyBorder="1" applyAlignment="1">
      <alignment horizontal="left"/>
    </xf>
    <xf numFmtId="3" fontId="31" fillId="2" borderId="15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  <xf numFmtId="0" fontId="32" fillId="0" borderId="61" xfId="0" applyFont="1" applyFill="1" applyBorder="1"/>
    <xf numFmtId="9" fontId="32" fillId="0" borderId="61" xfId="0" applyNumberFormat="1" applyFont="1" applyFill="1" applyBorder="1"/>
    <xf numFmtId="3" fontId="32" fillId="0" borderId="62" xfId="0" applyNumberFormat="1" applyFont="1" applyFill="1" applyBorder="1"/>
    <xf numFmtId="0" fontId="32" fillId="0" borderId="71" xfId="0" applyFont="1" applyFill="1" applyBorder="1"/>
    <xf numFmtId="9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2" fillId="0" borderId="64" xfId="0" applyFont="1" applyFill="1" applyBorder="1"/>
    <xf numFmtId="9" fontId="32" fillId="0" borderId="64" xfId="0" applyNumberFormat="1" applyFont="1" applyFill="1" applyBorder="1"/>
    <xf numFmtId="3" fontId="32" fillId="0" borderId="65" xfId="0" applyNumberFormat="1" applyFont="1" applyFill="1" applyBorder="1"/>
    <xf numFmtId="9" fontId="32" fillId="0" borderId="62" xfId="0" applyNumberFormat="1" applyFont="1" applyFill="1" applyBorder="1"/>
    <xf numFmtId="9" fontId="32" fillId="0" borderId="72" xfId="0" applyNumberFormat="1" applyFont="1" applyFill="1" applyBorder="1"/>
    <xf numFmtId="9" fontId="32" fillId="0" borderId="65" xfId="0" applyNumberFormat="1" applyFont="1" applyFill="1" applyBorder="1"/>
    <xf numFmtId="49" fontId="31" fillId="2" borderId="30" xfId="0" applyNumberFormat="1" applyFont="1" applyFill="1" applyBorder="1" applyAlignment="1">
      <alignment horizontal="center" vertical="top"/>
    </xf>
    <xf numFmtId="0" fontId="31" fillId="2" borderId="14" xfId="0" applyNumberFormat="1" applyFont="1" applyFill="1" applyBorder="1" applyAlignment="1">
      <alignment horizontal="left"/>
    </xf>
    <xf numFmtId="0" fontId="31" fillId="2" borderId="15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5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51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0.73907345627480969</c:v>
                </c:pt>
                <c:pt idx="1">
                  <c:v>0.70259883623489106</c:v>
                </c:pt>
                <c:pt idx="2">
                  <c:v>0.71772551236292381</c:v>
                </c:pt>
                <c:pt idx="3">
                  <c:v>0.6801690592795635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065248"/>
        <c:axId val="121906688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0.59668557227546903</c:v>
                </c:pt>
                <c:pt idx="1">
                  <c:v>0.59668557227546903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9063072"/>
        <c:axId val="1219063616"/>
      </c:scatterChart>
      <c:catAx>
        <c:axId val="1219065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19066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90668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19065248"/>
        <c:crosses val="autoZero"/>
        <c:crossBetween val="between"/>
      </c:valAx>
      <c:valAx>
        <c:axId val="12190630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19063616"/>
        <c:crosses val="max"/>
        <c:crossBetween val="midCat"/>
      </c:valAx>
      <c:valAx>
        <c:axId val="121906361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1906307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2" bestFit="1" customWidth="1"/>
    <col min="2" max="2" width="102.21875" style="102" bestFit="1" customWidth="1"/>
    <col min="3" max="3" width="16.109375" style="42" hidden="1" customWidth="1"/>
    <col min="4" max="16384" width="8.88671875" style="102"/>
  </cols>
  <sheetData>
    <row r="1" spans="1:3" ht="18.600000000000001" customHeight="1" thickBot="1" x14ac:dyDescent="0.4">
      <c r="A1" s="262" t="s">
        <v>85</v>
      </c>
      <c r="B1" s="262"/>
    </row>
    <row r="2" spans="1:3" ht="14.4" customHeight="1" thickBot="1" x14ac:dyDescent="0.35">
      <c r="A2" s="194" t="s">
        <v>190</v>
      </c>
      <c r="B2" s="41"/>
    </row>
    <row r="3" spans="1:3" ht="14.4" customHeight="1" thickBot="1" x14ac:dyDescent="0.35">
      <c r="A3" s="258" t="s">
        <v>106</v>
      </c>
      <c r="B3" s="259"/>
    </row>
    <row r="4" spans="1:3" ht="14.4" customHeight="1" x14ac:dyDescent="0.3">
      <c r="A4" s="114" t="str">
        <f t="shared" ref="A4:A8" si="0">HYPERLINK("#'"&amp;C4&amp;"'!A1",C4)</f>
        <v>Motivace</v>
      </c>
      <c r="B4" s="63" t="s">
        <v>94</v>
      </c>
      <c r="C4" s="42" t="s">
        <v>95</v>
      </c>
    </row>
    <row r="5" spans="1:3" ht="14.4" customHeight="1" x14ac:dyDescent="0.3">
      <c r="A5" s="115" t="str">
        <f t="shared" si="0"/>
        <v>HI</v>
      </c>
      <c r="B5" s="64" t="s">
        <v>103</v>
      </c>
      <c r="C5" s="42" t="s">
        <v>88</v>
      </c>
    </row>
    <row r="6" spans="1:3" ht="14.4" customHeight="1" x14ac:dyDescent="0.3">
      <c r="A6" s="116" t="str">
        <f t="shared" si="0"/>
        <v>HI Graf</v>
      </c>
      <c r="B6" s="65" t="s">
        <v>81</v>
      </c>
      <c r="C6" s="42" t="s">
        <v>89</v>
      </c>
    </row>
    <row r="7" spans="1:3" ht="14.4" customHeight="1" x14ac:dyDescent="0.3">
      <c r="A7" s="116" t="str">
        <f t="shared" si="0"/>
        <v>Man Tab</v>
      </c>
      <c r="B7" s="65" t="s">
        <v>192</v>
      </c>
      <c r="C7" s="42" t="s">
        <v>90</v>
      </c>
    </row>
    <row r="8" spans="1:3" ht="14.4" customHeight="1" thickBot="1" x14ac:dyDescent="0.35">
      <c r="A8" s="117" t="str">
        <f t="shared" si="0"/>
        <v>HV</v>
      </c>
      <c r="B8" s="66" t="s">
        <v>38</v>
      </c>
      <c r="C8" s="42" t="s">
        <v>43</v>
      </c>
    </row>
    <row r="9" spans="1:3" ht="14.4" customHeight="1" thickBot="1" x14ac:dyDescent="0.35">
      <c r="A9" s="67"/>
      <c r="B9" s="67"/>
    </row>
    <row r="10" spans="1:3" ht="14.4" customHeight="1" thickBot="1" x14ac:dyDescent="0.35">
      <c r="A10" s="260" t="s">
        <v>86</v>
      </c>
      <c r="B10" s="259"/>
    </row>
    <row r="11" spans="1:3" ht="14.4" customHeight="1" x14ac:dyDescent="0.3">
      <c r="A11" s="118" t="str">
        <f t="shared" ref="A11" si="1">HYPERLINK("#'"&amp;C11&amp;"'!A1",C11)</f>
        <v>Léky Žádanky</v>
      </c>
      <c r="B11" s="64" t="s">
        <v>104</v>
      </c>
      <c r="C11" s="42" t="s">
        <v>91</v>
      </c>
    </row>
    <row r="12" spans="1:3" ht="14.4" customHeight="1" x14ac:dyDescent="0.3">
      <c r="A12" s="118" t="str">
        <f t="shared" ref="A12" si="2">HYPERLINK("#'"&amp;C12&amp;"'!A1",C12)</f>
        <v>Materiál Žádanky</v>
      </c>
      <c r="B12" s="65" t="s">
        <v>105</v>
      </c>
      <c r="C12" s="42" t="s">
        <v>92</v>
      </c>
    </row>
    <row r="13" spans="1:3" ht="14.4" customHeight="1" thickBot="1" x14ac:dyDescent="0.35">
      <c r="A13" s="118" t="str">
        <f t="shared" ref="A13" si="3">HYPERLINK("#'"&amp;C13&amp;"'!A1",C13)</f>
        <v>Osobní náklady</v>
      </c>
      <c r="B13" s="65" t="s">
        <v>83</v>
      </c>
      <c r="C13" s="42" t="s">
        <v>93</v>
      </c>
    </row>
    <row r="14" spans="1:3" ht="14.4" customHeight="1" thickBot="1" x14ac:dyDescent="0.35">
      <c r="A14" s="68"/>
      <c r="B14" s="68"/>
    </row>
    <row r="15" spans="1:3" ht="14.4" customHeight="1" thickBot="1" x14ac:dyDescent="0.35">
      <c r="A15" s="261" t="s">
        <v>87</v>
      </c>
      <c r="B15" s="259"/>
    </row>
    <row r="16" spans="1:3" ht="14.4" customHeight="1" x14ac:dyDescent="0.3">
      <c r="A16" s="119" t="str">
        <f t="shared" ref="A16:A20" si="4">HYPERLINK("#'"&amp;C16&amp;"'!A1",C16)</f>
        <v>ZV Vykáz.-A</v>
      </c>
      <c r="B16" s="64" t="s">
        <v>313</v>
      </c>
      <c r="C16" s="42" t="s">
        <v>96</v>
      </c>
    </row>
    <row r="17" spans="1:3" ht="14.4" customHeight="1" x14ac:dyDescent="0.3">
      <c r="A17" s="116" t="str">
        <f t="shared" ref="A17" si="5">HYPERLINK("#'"&amp;C17&amp;"'!A1",C17)</f>
        <v>ZV Vykáz.-A Lékaři</v>
      </c>
      <c r="B17" s="65" t="s">
        <v>331</v>
      </c>
      <c r="C17" s="42" t="s">
        <v>160</v>
      </c>
    </row>
    <row r="18" spans="1:3" ht="14.4" customHeight="1" x14ac:dyDescent="0.3">
      <c r="A18" s="116" t="str">
        <f t="shared" si="4"/>
        <v>ZV Vykáz.-A Detail</v>
      </c>
      <c r="B18" s="65" t="s">
        <v>360</v>
      </c>
      <c r="C18" s="42" t="s">
        <v>97</v>
      </c>
    </row>
    <row r="19" spans="1:3" ht="14.4" customHeight="1" x14ac:dyDescent="0.3">
      <c r="A19" s="116" t="str">
        <f t="shared" si="4"/>
        <v>ZV Vykáz.-H</v>
      </c>
      <c r="B19" s="65" t="s">
        <v>100</v>
      </c>
      <c r="C19" s="42" t="s">
        <v>98</v>
      </c>
    </row>
    <row r="20" spans="1:3" ht="14.4" customHeight="1" x14ac:dyDescent="0.3">
      <c r="A20" s="116" t="str">
        <f t="shared" si="4"/>
        <v>ZV Vykáz.-H Detail</v>
      </c>
      <c r="B20" s="65" t="s">
        <v>415</v>
      </c>
      <c r="C20" s="42" t="s">
        <v>99</v>
      </c>
    </row>
  </sheetData>
  <mergeCells count="4">
    <mergeCell ref="A3:B3"/>
    <mergeCell ref="A10:B10"/>
    <mergeCell ref="A15:B1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4"/>
  <sheetViews>
    <sheetView showGridLines="0" showRowColHeaders="0" workbookViewId="0"/>
  </sheetViews>
  <sheetFormatPr defaultRowHeight="14.4" x14ac:dyDescent="0.3"/>
  <cols>
    <col min="1" max="16384" width="8.88671875" style="190"/>
  </cols>
  <sheetData>
    <row r="1" spans="1:49" x14ac:dyDescent="0.3">
      <c r="A1" s="190" t="s">
        <v>311</v>
      </c>
    </row>
    <row r="2" spans="1:49" x14ac:dyDescent="0.3">
      <c r="A2" s="194" t="s">
        <v>190</v>
      </c>
    </row>
    <row r="3" spans="1:49" x14ac:dyDescent="0.3">
      <c r="A3" s="190" t="s">
        <v>119</v>
      </c>
      <c r="B3" s="213">
        <v>2016</v>
      </c>
      <c r="D3" s="191">
        <f>MAX(D5:D1048576)</f>
        <v>4</v>
      </c>
      <c r="F3" s="191">
        <f>SUMIF($E5:$E1048576,"&lt;10",F5:F1048576)</f>
        <v>1795468.9</v>
      </c>
      <c r="G3" s="191">
        <f t="shared" ref="G3:AW3" si="0">SUMIF($E5:$E1048576,"&lt;10",G5:G1048576)</f>
        <v>0</v>
      </c>
      <c r="H3" s="191">
        <f t="shared" si="0"/>
        <v>0</v>
      </c>
      <c r="I3" s="191">
        <f t="shared" si="0"/>
        <v>0</v>
      </c>
      <c r="J3" s="191">
        <f t="shared" si="0"/>
        <v>0</v>
      </c>
      <c r="K3" s="191">
        <f t="shared" si="0"/>
        <v>0</v>
      </c>
      <c r="L3" s="191">
        <f t="shared" si="0"/>
        <v>0</v>
      </c>
      <c r="M3" s="191">
        <f t="shared" si="0"/>
        <v>0</v>
      </c>
      <c r="N3" s="191">
        <f t="shared" si="0"/>
        <v>0</v>
      </c>
      <c r="O3" s="191">
        <f t="shared" si="0"/>
        <v>0</v>
      </c>
      <c r="P3" s="191">
        <f t="shared" si="0"/>
        <v>0</v>
      </c>
      <c r="Q3" s="191">
        <f t="shared" si="0"/>
        <v>0</v>
      </c>
      <c r="R3" s="191">
        <f t="shared" si="0"/>
        <v>0</v>
      </c>
      <c r="S3" s="191">
        <f t="shared" si="0"/>
        <v>0</v>
      </c>
      <c r="T3" s="191">
        <f t="shared" si="0"/>
        <v>0</v>
      </c>
      <c r="U3" s="191">
        <f t="shared" si="0"/>
        <v>0</v>
      </c>
      <c r="V3" s="191">
        <f t="shared" si="0"/>
        <v>0</v>
      </c>
      <c r="W3" s="191">
        <f t="shared" si="0"/>
        <v>0</v>
      </c>
      <c r="X3" s="191">
        <f t="shared" si="0"/>
        <v>0</v>
      </c>
      <c r="Y3" s="191">
        <f t="shared" si="0"/>
        <v>0</v>
      </c>
      <c r="Z3" s="191">
        <f t="shared" si="0"/>
        <v>0</v>
      </c>
      <c r="AA3" s="191">
        <f t="shared" si="0"/>
        <v>0</v>
      </c>
      <c r="AB3" s="191">
        <f t="shared" si="0"/>
        <v>0</v>
      </c>
      <c r="AC3" s="191">
        <f t="shared" si="0"/>
        <v>0</v>
      </c>
      <c r="AD3" s="191">
        <f t="shared" si="0"/>
        <v>0</v>
      </c>
      <c r="AE3" s="191">
        <f t="shared" si="0"/>
        <v>1211629.5</v>
      </c>
      <c r="AF3" s="191">
        <f t="shared" si="0"/>
        <v>220103</v>
      </c>
      <c r="AG3" s="191">
        <f t="shared" si="0"/>
        <v>0</v>
      </c>
      <c r="AH3" s="191">
        <f t="shared" si="0"/>
        <v>0</v>
      </c>
      <c r="AI3" s="191">
        <f t="shared" si="0"/>
        <v>0</v>
      </c>
      <c r="AJ3" s="191">
        <f t="shared" si="0"/>
        <v>0</v>
      </c>
      <c r="AK3" s="191">
        <f t="shared" si="0"/>
        <v>0</v>
      </c>
      <c r="AL3" s="191">
        <f t="shared" si="0"/>
        <v>0</v>
      </c>
      <c r="AM3" s="191">
        <f t="shared" si="0"/>
        <v>0</v>
      </c>
      <c r="AN3" s="191">
        <f t="shared" si="0"/>
        <v>0</v>
      </c>
      <c r="AO3" s="191">
        <f t="shared" si="0"/>
        <v>0</v>
      </c>
      <c r="AP3" s="191">
        <f t="shared" si="0"/>
        <v>0</v>
      </c>
      <c r="AQ3" s="191">
        <f t="shared" si="0"/>
        <v>0</v>
      </c>
      <c r="AR3" s="191">
        <f t="shared" si="0"/>
        <v>0</v>
      </c>
      <c r="AS3" s="191">
        <f t="shared" si="0"/>
        <v>277323.40000000002</v>
      </c>
      <c r="AT3" s="191">
        <f t="shared" si="0"/>
        <v>0</v>
      </c>
      <c r="AU3" s="191">
        <f t="shared" si="0"/>
        <v>0</v>
      </c>
      <c r="AV3" s="191">
        <f t="shared" si="0"/>
        <v>0</v>
      </c>
      <c r="AW3" s="191">
        <f t="shared" si="0"/>
        <v>86413</v>
      </c>
    </row>
    <row r="4" spans="1:49" x14ac:dyDescent="0.3">
      <c r="A4" s="190" t="s">
        <v>120</v>
      </c>
      <c r="B4" s="213">
        <v>1</v>
      </c>
      <c r="C4" s="192" t="s">
        <v>4</v>
      </c>
      <c r="D4" s="193" t="s">
        <v>44</v>
      </c>
      <c r="E4" s="193" t="s">
        <v>118</v>
      </c>
      <c r="F4" s="193" t="s">
        <v>3</v>
      </c>
      <c r="G4" s="193">
        <v>0</v>
      </c>
      <c r="H4" s="193">
        <v>25</v>
      </c>
      <c r="I4" s="193">
        <v>99</v>
      </c>
      <c r="J4" s="193">
        <v>100</v>
      </c>
      <c r="K4" s="193">
        <v>101</v>
      </c>
      <c r="L4" s="193">
        <v>102</v>
      </c>
      <c r="M4" s="193">
        <v>103</v>
      </c>
      <c r="N4" s="193">
        <v>203</v>
      </c>
      <c r="O4" s="193">
        <v>302</v>
      </c>
      <c r="P4" s="193">
        <v>303</v>
      </c>
      <c r="Q4" s="193">
        <v>304</v>
      </c>
      <c r="R4" s="193">
        <v>305</v>
      </c>
      <c r="S4" s="193">
        <v>306</v>
      </c>
      <c r="T4" s="193">
        <v>407</v>
      </c>
      <c r="U4" s="193">
        <v>408</v>
      </c>
      <c r="V4" s="193">
        <v>409</v>
      </c>
      <c r="W4" s="193">
        <v>410</v>
      </c>
      <c r="X4" s="193">
        <v>415</v>
      </c>
      <c r="Y4" s="193">
        <v>416</v>
      </c>
      <c r="Z4" s="193">
        <v>418</v>
      </c>
      <c r="AA4" s="193">
        <v>419</v>
      </c>
      <c r="AB4" s="193">
        <v>420</v>
      </c>
      <c r="AC4" s="193">
        <v>421</v>
      </c>
      <c r="AD4" s="193">
        <v>520</v>
      </c>
      <c r="AE4" s="193">
        <v>521</v>
      </c>
      <c r="AF4" s="193">
        <v>522</v>
      </c>
      <c r="AG4" s="193">
        <v>523</v>
      </c>
      <c r="AH4" s="193">
        <v>524</v>
      </c>
      <c r="AI4" s="193">
        <v>525</v>
      </c>
      <c r="AJ4" s="193">
        <v>526</v>
      </c>
      <c r="AK4" s="193">
        <v>527</v>
      </c>
      <c r="AL4" s="193">
        <v>528</v>
      </c>
      <c r="AM4" s="193">
        <v>629</v>
      </c>
      <c r="AN4" s="193">
        <v>630</v>
      </c>
      <c r="AO4" s="193">
        <v>636</v>
      </c>
      <c r="AP4" s="193">
        <v>637</v>
      </c>
      <c r="AQ4" s="193">
        <v>640</v>
      </c>
      <c r="AR4" s="193">
        <v>642</v>
      </c>
      <c r="AS4" s="193">
        <v>743</v>
      </c>
      <c r="AT4" s="193">
        <v>745</v>
      </c>
      <c r="AU4" s="193">
        <v>746</v>
      </c>
      <c r="AV4" s="193">
        <v>747</v>
      </c>
      <c r="AW4" s="193">
        <v>930</v>
      </c>
    </row>
    <row r="5" spans="1:49" x14ac:dyDescent="0.3">
      <c r="A5" s="190" t="s">
        <v>121</v>
      </c>
      <c r="B5" s="213">
        <v>2</v>
      </c>
      <c r="C5" s="190">
        <v>39</v>
      </c>
      <c r="D5" s="190">
        <v>1</v>
      </c>
      <c r="E5" s="190">
        <v>1</v>
      </c>
      <c r="F5" s="190">
        <v>13.6</v>
      </c>
      <c r="G5" s="190">
        <v>0</v>
      </c>
      <c r="H5" s="190">
        <v>0</v>
      </c>
      <c r="I5" s="190">
        <v>0</v>
      </c>
      <c r="J5" s="190">
        <v>0</v>
      </c>
      <c r="K5" s="190">
        <v>0</v>
      </c>
      <c r="L5" s="190">
        <v>0</v>
      </c>
      <c r="M5" s="190">
        <v>0</v>
      </c>
      <c r="N5" s="190">
        <v>0</v>
      </c>
      <c r="O5" s="190">
        <v>0</v>
      </c>
      <c r="P5" s="190">
        <v>0</v>
      </c>
      <c r="Q5" s="190">
        <v>0</v>
      </c>
      <c r="R5" s="190">
        <v>0</v>
      </c>
      <c r="S5" s="190">
        <v>0</v>
      </c>
      <c r="T5" s="190">
        <v>0</v>
      </c>
      <c r="U5" s="190">
        <v>0</v>
      </c>
      <c r="V5" s="190">
        <v>0</v>
      </c>
      <c r="W5" s="190">
        <v>0</v>
      </c>
      <c r="X5" s="190">
        <v>0</v>
      </c>
      <c r="Y5" s="190">
        <v>0</v>
      </c>
      <c r="Z5" s="190">
        <v>0</v>
      </c>
      <c r="AA5" s="190">
        <v>0</v>
      </c>
      <c r="AB5" s="190">
        <v>0</v>
      </c>
      <c r="AC5" s="190">
        <v>0</v>
      </c>
      <c r="AD5" s="190">
        <v>0</v>
      </c>
      <c r="AE5" s="190">
        <v>9</v>
      </c>
      <c r="AF5" s="190">
        <v>1</v>
      </c>
      <c r="AG5" s="190">
        <v>0</v>
      </c>
      <c r="AH5" s="190">
        <v>0</v>
      </c>
      <c r="AI5" s="190">
        <v>0</v>
      </c>
      <c r="AJ5" s="190">
        <v>0</v>
      </c>
      <c r="AK5" s="190">
        <v>0</v>
      </c>
      <c r="AL5" s="190">
        <v>0</v>
      </c>
      <c r="AM5" s="190">
        <v>0</v>
      </c>
      <c r="AN5" s="190">
        <v>0</v>
      </c>
      <c r="AO5" s="190">
        <v>0</v>
      </c>
      <c r="AP5" s="190">
        <v>0</v>
      </c>
      <c r="AQ5" s="190">
        <v>0</v>
      </c>
      <c r="AR5" s="190">
        <v>0</v>
      </c>
      <c r="AS5" s="190">
        <v>2.6</v>
      </c>
      <c r="AT5" s="190">
        <v>0</v>
      </c>
      <c r="AU5" s="190">
        <v>0</v>
      </c>
      <c r="AV5" s="190">
        <v>0</v>
      </c>
      <c r="AW5" s="190">
        <v>1</v>
      </c>
    </row>
    <row r="6" spans="1:49" x14ac:dyDescent="0.3">
      <c r="A6" s="190" t="s">
        <v>122</v>
      </c>
      <c r="B6" s="213">
        <v>3</v>
      </c>
      <c r="C6" s="190">
        <v>39</v>
      </c>
      <c r="D6" s="190">
        <v>1</v>
      </c>
      <c r="E6" s="190">
        <v>2</v>
      </c>
      <c r="F6" s="190">
        <v>2152</v>
      </c>
      <c r="G6" s="190">
        <v>0</v>
      </c>
      <c r="H6" s="190">
        <v>0</v>
      </c>
      <c r="I6" s="190">
        <v>0</v>
      </c>
      <c r="J6" s="190">
        <v>0</v>
      </c>
      <c r="K6" s="190">
        <v>0</v>
      </c>
      <c r="L6" s="190">
        <v>0</v>
      </c>
      <c r="M6" s="190">
        <v>0</v>
      </c>
      <c r="N6" s="190">
        <v>0</v>
      </c>
      <c r="O6" s="190">
        <v>0</v>
      </c>
      <c r="P6" s="190">
        <v>0</v>
      </c>
      <c r="Q6" s="190">
        <v>0</v>
      </c>
      <c r="R6" s="190">
        <v>0</v>
      </c>
      <c r="S6" s="190">
        <v>0</v>
      </c>
      <c r="T6" s="190">
        <v>0</v>
      </c>
      <c r="U6" s="190">
        <v>0</v>
      </c>
      <c r="V6" s="190">
        <v>0</v>
      </c>
      <c r="W6" s="190">
        <v>0</v>
      </c>
      <c r="X6" s="190">
        <v>0</v>
      </c>
      <c r="Y6" s="190">
        <v>0</v>
      </c>
      <c r="Z6" s="190">
        <v>0</v>
      </c>
      <c r="AA6" s="190">
        <v>0</v>
      </c>
      <c r="AB6" s="190">
        <v>0</v>
      </c>
      <c r="AC6" s="190">
        <v>0</v>
      </c>
      <c r="AD6" s="190">
        <v>0</v>
      </c>
      <c r="AE6" s="190">
        <v>1416</v>
      </c>
      <c r="AF6" s="190">
        <v>148</v>
      </c>
      <c r="AG6" s="190">
        <v>0</v>
      </c>
      <c r="AH6" s="190">
        <v>0</v>
      </c>
      <c r="AI6" s="190">
        <v>0</v>
      </c>
      <c r="AJ6" s="190">
        <v>0</v>
      </c>
      <c r="AK6" s="190">
        <v>0</v>
      </c>
      <c r="AL6" s="190">
        <v>0</v>
      </c>
      <c r="AM6" s="190">
        <v>0</v>
      </c>
      <c r="AN6" s="190">
        <v>0</v>
      </c>
      <c r="AO6" s="190">
        <v>0</v>
      </c>
      <c r="AP6" s="190">
        <v>0</v>
      </c>
      <c r="AQ6" s="190">
        <v>0</v>
      </c>
      <c r="AR6" s="190">
        <v>0</v>
      </c>
      <c r="AS6" s="190">
        <v>412</v>
      </c>
      <c r="AT6" s="190">
        <v>0</v>
      </c>
      <c r="AU6" s="190">
        <v>0</v>
      </c>
      <c r="AV6" s="190">
        <v>0</v>
      </c>
      <c r="AW6" s="190">
        <v>176</v>
      </c>
    </row>
    <row r="7" spans="1:49" x14ac:dyDescent="0.3">
      <c r="A7" s="190" t="s">
        <v>123</v>
      </c>
      <c r="B7" s="213">
        <v>4</v>
      </c>
      <c r="C7" s="190">
        <v>39</v>
      </c>
      <c r="D7" s="190">
        <v>1</v>
      </c>
      <c r="E7" s="190">
        <v>6</v>
      </c>
      <c r="F7" s="190">
        <v>453860</v>
      </c>
      <c r="G7" s="190">
        <v>0</v>
      </c>
      <c r="H7" s="190">
        <v>0</v>
      </c>
      <c r="I7" s="190">
        <v>0</v>
      </c>
      <c r="J7" s="190">
        <v>0</v>
      </c>
      <c r="K7" s="190">
        <v>0</v>
      </c>
      <c r="L7" s="190">
        <v>0</v>
      </c>
      <c r="M7" s="190">
        <v>0</v>
      </c>
      <c r="N7" s="190">
        <v>0</v>
      </c>
      <c r="O7" s="190">
        <v>0</v>
      </c>
      <c r="P7" s="190">
        <v>0</v>
      </c>
      <c r="Q7" s="190">
        <v>0</v>
      </c>
      <c r="R7" s="190">
        <v>0</v>
      </c>
      <c r="S7" s="190">
        <v>0</v>
      </c>
      <c r="T7" s="190">
        <v>0</v>
      </c>
      <c r="U7" s="190">
        <v>0</v>
      </c>
      <c r="V7" s="190">
        <v>0</v>
      </c>
      <c r="W7" s="190">
        <v>0</v>
      </c>
      <c r="X7" s="190">
        <v>0</v>
      </c>
      <c r="Y7" s="190">
        <v>0</v>
      </c>
      <c r="Z7" s="190">
        <v>0</v>
      </c>
      <c r="AA7" s="190">
        <v>0</v>
      </c>
      <c r="AB7" s="190">
        <v>0</v>
      </c>
      <c r="AC7" s="190">
        <v>0</v>
      </c>
      <c r="AD7" s="190">
        <v>0</v>
      </c>
      <c r="AE7" s="190">
        <v>299085</v>
      </c>
      <c r="AF7" s="190">
        <v>55626</v>
      </c>
      <c r="AG7" s="190">
        <v>0</v>
      </c>
      <c r="AH7" s="190">
        <v>0</v>
      </c>
      <c r="AI7" s="190">
        <v>0</v>
      </c>
      <c r="AJ7" s="190">
        <v>0</v>
      </c>
      <c r="AK7" s="190">
        <v>0</v>
      </c>
      <c r="AL7" s="190">
        <v>0</v>
      </c>
      <c r="AM7" s="190">
        <v>0</v>
      </c>
      <c r="AN7" s="190">
        <v>0</v>
      </c>
      <c r="AO7" s="190">
        <v>0</v>
      </c>
      <c r="AP7" s="190">
        <v>0</v>
      </c>
      <c r="AQ7" s="190">
        <v>0</v>
      </c>
      <c r="AR7" s="190">
        <v>0</v>
      </c>
      <c r="AS7" s="190">
        <v>74511</v>
      </c>
      <c r="AT7" s="190">
        <v>0</v>
      </c>
      <c r="AU7" s="190">
        <v>0</v>
      </c>
      <c r="AV7" s="190">
        <v>0</v>
      </c>
      <c r="AW7" s="190">
        <v>24638</v>
      </c>
    </row>
    <row r="8" spans="1:49" x14ac:dyDescent="0.3">
      <c r="A8" s="190" t="s">
        <v>124</v>
      </c>
      <c r="B8" s="213">
        <v>5</v>
      </c>
      <c r="C8" s="190">
        <v>39</v>
      </c>
      <c r="D8" s="190">
        <v>1</v>
      </c>
      <c r="E8" s="190">
        <v>9</v>
      </c>
      <c r="F8" s="190">
        <v>6920</v>
      </c>
      <c r="G8" s="190">
        <v>0</v>
      </c>
      <c r="H8" s="190">
        <v>0</v>
      </c>
      <c r="I8" s="190">
        <v>0</v>
      </c>
      <c r="J8" s="190">
        <v>0</v>
      </c>
      <c r="K8" s="190">
        <v>0</v>
      </c>
      <c r="L8" s="190">
        <v>0</v>
      </c>
      <c r="M8" s="190">
        <v>0</v>
      </c>
      <c r="N8" s="190">
        <v>0</v>
      </c>
      <c r="O8" s="190">
        <v>0</v>
      </c>
      <c r="P8" s="190">
        <v>0</v>
      </c>
      <c r="Q8" s="190">
        <v>0</v>
      </c>
      <c r="R8" s="190">
        <v>0</v>
      </c>
      <c r="S8" s="190">
        <v>0</v>
      </c>
      <c r="T8" s="190">
        <v>0</v>
      </c>
      <c r="U8" s="190">
        <v>0</v>
      </c>
      <c r="V8" s="190">
        <v>0</v>
      </c>
      <c r="W8" s="190">
        <v>0</v>
      </c>
      <c r="X8" s="190">
        <v>0</v>
      </c>
      <c r="Y8" s="190">
        <v>0</v>
      </c>
      <c r="Z8" s="190">
        <v>0</v>
      </c>
      <c r="AA8" s="190">
        <v>0</v>
      </c>
      <c r="AB8" s="190">
        <v>0</v>
      </c>
      <c r="AC8" s="190">
        <v>0</v>
      </c>
      <c r="AD8" s="190">
        <v>0</v>
      </c>
      <c r="AE8" s="190">
        <v>5695</v>
      </c>
      <c r="AF8" s="190">
        <v>1225</v>
      </c>
      <c r="AG8" s="190">
        <v>0</v>
      </c>
      <c r="AH8" s="190">
        <v>0</v>
      </c>
      <c r="AI8" s="190">
        <v>0</v>
      </c>
      <c r="AJ8" s="190">
        <v>0</v>
      </c>
      <c r="AK8" s="190">
        <v>0</v>
      </c>
      <c r="AL8" s="190">
        <v>0</v>
      </c>
      <c r="AM8" s="190">
        <v>0</v>
      </c>
      <c r="AN8" s="190">
        <v>0</v>
      </c>
      <c r="AO8" s="190">
        <v>0</v>
      </c>
      <c r="AP8" s="190">
        <v>0</v>
      </c>
      <c r="AQ8" s="190">
        <v>0</v>
      </c>
      <c r="AR8" s="190">
        <v>0</v>
      </c>
      <c r="AS8" s="190">
        <v>0</v>
      </c>
      <c r="AT8" s="190">
        <v>0</v>
      </c>
      <c r="AU8" s="190">
        <v>0</v>
      </c>
      <c r="AV8" s="190">
        <v>0</v>
      </c>
      <c r="AW8" s="190">
        <v>0</v>
      </c>
    </row>
    <row r="9" spans="1:49" x14ac:dyDescent="0.3">
      <c r="A9" s="190" t="s">
        <v>125</v>
      </c>
      <c r="B9" s="213">
        <v>6</v>
      </c>
      <c r="C9" s="190">
        <v>39</v>
      </c>
      <c r="D9" s="190">
        <v>1</v>
      </c>
      <c r="E9" s="190">
        <v>11</v>
      </c>
      <c r="F9" s="190">
        <v>2500</v>
      </c>
      <c r="G9" s="190">
        <v>0</v>
      </c>
      <c r="H9" s="190">
        <v>0</v>
      </c>
      <c r="I9" s="190">
        <v>0</v>
      </c>
      <c r="J9" s="190">
        <v>0</v>
      </c>
      <c r="K9" s="190">
        <v>0</v>
      </c>
      <c r="L9" s="190">
        <v>0</v>
      </c>
      <c r="M9" s="190">
        <v>0</v>
      </c>
      <c r="N9" s="190">
        <v>0</v>
      </c>
      <c r="O9" s="190">
        <v>2500</v>
      </c>
      <c r="P9" s="190">
        <v>0</v>
      </c>
      <c r="Q9" s="190">
        <v>0</v>
      </c>
      <c r="R9" s="190">
        <v>0</v>
      </c>
      <c r="S9" s="190">
        <v>0</v>
      </c>
      <c r="T9" s="190">
        <v>0</v>
      </c>
      <c r="U9" s="190">
        <v>0</v>
      </c>
      <c r="V9" s="190">
        <v>0</v>
      </c>
      <c r="W9" s="190">
        <v>0</v>
      </c>
      <c r="X9" s="190">
        <v>0</v>
      </c>
      <c r="Y9" s="190">
        <v>0</v>
      </c>
      <c r="Z9" s="190">
        <v>0</v>
      </c>
      <c r="AA9" s="190">
        <v>0</v>
      </c>
      <c r="AB9" s="190">
        <v>0</v>
      </c>
      <c r="AC9" s="190">
        <v>0</v>
      </c>
      <c r="AD9" s="190">
        <v>0</v>
      </c>
      <c r="AE9" s="190">
        <v>0</v>
      </c>
      <c r="AF9" s="190">
        <v>0</v>
      </c>
      <c r="AG9" s="190">
        <v>0</v>
      </c>
      <c r="AH9" s="190">
        <v>0</v>
      </c>
      <c r="AI9" s="190">
        <v>0</v>
      </c>
      <c r="AJ9" s="190">
        <v>0</v>
      </c>
      <c r="AK9" s="190">
        <v>0</v>
      </c>
      <c r="AL9" s="190">
        <v>0</v>
      </c>
      <c r="AM9" s="190">
        <v>0</v>
      </c>
      <c r="AN9" s="190">
        <v>0</v>
      </c>
      <c r="AO9" s="190">
        <v>0</v>
      </c>
      <c r="AP9" s="190">
        <v>0</v>
      </c>
      <c r="AQ9" s="190">
        <v>0</v>
      </c>
      <c r="AR9" s="190">
        <v>0</v>
      </c>
      <c r="AS9" s="190">
        <v>0</v>
      </c>
      <c r="AT9" s="190">
        <v>0</v>
      </c>
      <c r="AU9" s="190">
        <v>0</v>
      </c>
      <c r="AV9" s="190">
        <v>0</v>
      </c>
      <c r="AW9" s="190">
        <v>0</v>
      </c>
    </row>
    <row r="10" spans="1:49" x14ac:dyDescent="0.3">
      <c r="A10" s="190" t="s">
        <v>126</v>
      </c>
      <c r="B10" s="213">
        <v>7</v>
      </c>
      <c r="C10" s="190">
        <v>39</v>
      </c>
      <c r="D10" s="190">
        <v>2</v>
      </c>
      <c r="E10" s="190">
        <v>1</v>
      </c>
      <c r="F10" s="190">
        <v>13.6</v>
      </c>
      <c r="G10" s="190">
        <v>0</v>
      </c>
      <c r="H10" s="190">
        <v>0</v>
      </c>
      <c r="I10" s="190">
        <v>0</v>
      </c>
      <c r="J10" s="190">
        <v>0</v>
      </c>
      <c r="K10" s="190">
        <v>0</v>
      </c>
      <c r="L10" s="190">
        <v>0</v>
      </c>
      <c r="M10" s="190">
        <v>0</v>
      </c>
      <c r="N10" s="190">
        <v>0</v>
      </c>
      <c r="O10" s="190">
        <v>0</v>
      </c>
      <c r="P10" s="190">
        <v>0</v>
      </c>
      <c r="Q10" s="190">
        <v>0</v>
      </c>
      <c r="R10" s="190">
        <v>0</v>
      </c>
      <c r="S10" s="190">
        <v>0</v>
      </c>
      <c r="T10" s="190">
        <v>0</v>
      </c>
      <c r="U10" s="190">
        <v>0</v>
      </c>
      <c r="V10" s="190">
        <v>0</v>
      </c>
      <c r="W10" s="190">
        <v>0</v>
      </c>
      <c r="X10" s="190">
        <v>0</v>
      </c>
      <c r="Y10" s="190">
        <v>0</v>
      </c>
      <c r="Z10" s="190">
        <v>0</v>
      </c>
      <c r="AA10" s="190">
        <v>0</v>
      </c>
      <c r="AB10" s="190">
        <v>0</v>
      </c>
      <c r="AC10" s="190">
        <v>0</v>
      </c>
      <c r="AD10" s="190">
        <v>0</v>
      </c>
      <c r="AE10" s="190">
        <v>9</v>
      </c>
      <c r="AF10" s="190">
        <v>1</v>
      </c>
      <c r="AG10" s="190">
        <v>0</v>
      </c>
      <c r="AH10" s="190">
        <v>0</v>
      </c>
      <c r="AI10" s="190">
        <v>0</v>
      </c>
      <c r="AJ10" s="190">
        <v>0</v>
      </c>
      <c r="AK10" s="190">
        <v>0</v>
      </c>
      <c r="AL10" s="190">
        <v>0</v>
      </c>
      <c r="AM10" s="190">
        <v>0</v>
      </c>
      <c r="AN10" s="190">
        <v>0</v>
      </c>
      <c r="AO10" s="190">
        <v>0</v>
      </c>
      <c r="AP10" s="190">
        <v>0</v>
      </c>
      <c r="AQ10" s="190">
        <v>0</v>
      </c>
      <c r="AR10" s="190">
        <v>0</v>
      </c>
      <c r="AS10" s="190">
        <v>2.6</v>
      </c>
      <c r="AT10" s="190">
        <v>0</v>
      </c>
      <c r="AU10" s="190">
        <v>0</v>
      </c>
      <c r="AV10" s="190">
        <v>0</v>
      </c>
      <c r="AW10" s="190">
        <v>1</v>
      </c>
    </row>
    <row r="11" spans="1:49" x14ac:dyDescent="0.3">
      <c r="A11" s="190" t="s">
        <v>127</v>
      </c>
      <c r="B11" s="213">
        <v>8</v>
      </c>
      <c r="C11" s="190">
        <v>39</v>
      </c>
      <c r="D11" s="190">
        <v>2</v>
      </c>
      <c r="E11" s="190">
        <v>2</v>
      </c>
      <c r="F11" s="190">
        <v>2086</v>
      </c>
      <c r="G11" s="190">
        <v>0</v>
      </c>
      <c r="H11" s="190">
        <v>0</v>
      </c>
      <c r="I11" s="190">
        <v>0</v>
      </c>
      <c r="J11" s="190">
        <v>0</v>
      </c>
      <c r="K11" s="190">
        <v>0</v>
      </c>
      <c r="L11" s="190">
        <v>0</v>
      </c>
      <c r="M11" s="190">
        <v>0</v>
      </c>
      <c r="N11" s="190">
        <v>0</v>
      </c>
      <c r="O11" s="190">
        <v>0</v>
      </c>
      <c r="P11" s="190">
        <v>0</v>
      </c>
      <c r="Q11" s="190">
        <v>0</v>
      </c>
      <c r="R11" s="190">
        <v>0</v>
      </c>
      <c r="S11" s="190">
        <v>0</v>
      </c>
      <c r="T11" s="190">
        <v>0</v>
      </c>
      <c r="U11" s="190">
        <v>0</v>
      </c>
      <c r="V11" s="190">
        <v>0</v>
      </c>
      <c r="W11" s="190">
        <v>0</v>
      </c>
      <c r="X11" s="190">
        <v>0</v>
      </c>
      <c r="Y11" s="190">
        <v>0</v>
      </c>
      <c r="Z11" s="190">
        <v>0</v>
      </c>
      <c r="AA11" s="190">
        <v>0</v>
      </c>
      <c r="AB11" s="190">
        <v>0</v>
      </c>
      <c r="AC11" s="190">
        <v>0</v>
      </c>
      <c r="AD11" s="190">
        <v>0</v>
      </c>
      <c r="AE11" s="190">
        <v>1343</v>
      </c>
      <c r="AF11" s="190">
        <v>168</v>
      </c>
      <c r="AG11" s="190">
        <v>0</v>
      </c>
      <c r="AH11" s="190">
        <v>0</v>
      </c>
      <c r="AI11" s="190">
        <v>0</v>
      </c>
      <c r="AJ11" s="190">
        <v>0</v>
      </c>
      <c r="AK11" s="190">
        <v>0</v>
      </c>
      <c r="AL11" s="190">
        <v>0</v>
      </c>
      <c r="AM11" s="190">
        <v>0</v>
      </c>
      <c r="AN11" s="190">
        <v>0</v>
      </c>
      <c r="AO11" s="190">
        <v>0</v>
      </c>
      <c r="AP11" s="190">
        <v>0</v>
      </c>
      <c r="AQ11" s="190">
        <v>0</v>
      </c>
      <c r="AR11" s="190">
        <v>0</v>
      </c>
      <c r="AS11" s="190">
        <v>407</v>
      </c>
      <c r="AT11" s="190">
        <v>0</v>
      </c>
      <c r="AU11" s="190">
        <v>0</v>
      </c>
      <c r="AV11" s="190">
        <v>0</v>
      </c>
      <c r="AW11" s="190">
        <v>168</v>
      </c>
    </row>
    <row r="12" spans="1:49" x14ac:dyDescent="0.3">
      <c r="A12" s="190" t="s">
        <v>128</v>
      </c>
      <c r="B12" s="213">
        <v>9</v>
      </c>
      <c r="C12" s="190">
        <v>39</v>
      </c>
      <c r="D12" s="190">
        <v>2</v>
      </c>
      <c r="E12" s="190">
        <v>6</v>
      </c>
      <c r="F12" s="190">
        <v>445110</v>
      </c>
      <c r="G12" s="190">
        <v>0</v>
      </c>
      <c r="H12" s="190">
        <v>0</v>
      </c>
      <c r="I12" s="190">
        <v>0</v>
      </c>
      <c r="J12" s="190">
        <v>0</v>
      </c>
      <c r="K12" s="190">
        <v>0</v>
      </c>
      <c r="L12" s="190">
        <v>0</v>
      </c>
      <c r="M12" s="190">
        <v>0</v>
      </c>
      <c r="N12" s="190">
        <v>0</v>
      </c>
      <c r="O12" s="190">
        <v>0</v>
      </c>
      <c r="P12" s="190">
        <v>0</v>
      </c>
      <c r="Q12" s="190">
        <v>0</v>
      </c>
      <c r="R12" s="190">
        <v>0</v>
      </c>
      <c r="S12" s="190">
        <v>0</v>
      </c>
      <c r="T12" s="190">
        <v>0</v>
      </c>
      <c r="U12" s="190">
        <v>0</v>
      </c>
      <c r="V12" s="190">
        <v>0</v>
      </c>
      <c r="W12" s="190">
        <v>0</v>
      </c>
      <c r="X12" s="190">
        <v>0</v>
      </c>
      <c r="Y12" s="190">
        <v>0</v>
      </c>
      <c r="Z12" s="190">
        <v>0</v>
      </c>
      <c r="AA12" s="190">
        <v>0</v>
      </c>
      <c r="AB12" s="190">
        <v>0</v>
      </c>
      <c r="AC12" s="190">
        <v>0</v>
      </c>
      <c r="AD12" s="190">
        <v>0</v>
      </c>
      <c r="AE12" s="190">
        <v>296594</v>
      </c>
      <c r="AF12" s="190">
        <v>53800</v>
      </c>
      <c r="AG12" s="190">
        <v>0</v>
      </c>
      <c r="AH12" s="190">
        <v>0</v>
      </c>
      <c r="AI12" s="190">
        <v>0</v>
      </c>
      <c r="AJ12" s="190">
        <v>0</v>
      </c>
      <c r="AK12" s="190">
        <v>0</v>
      </c>
      <c r="AL12" s="190">
        <v>0</v>
      </c>
      <c r="AM12" s="190">
        <v>0</v>
      </c>
      <c r="AN12" s="190">
        <v>0</v>
      </c>
      <c r="AO12" s="190">
        <v>0</v>
      </c>
      <c r="AP12" s="190">
        <v>0</v>
      </c>
      <c r="AQ12" s="190">
        <v>0</v>
      </c>
      <c r="AR12" s="190">
        <v>0</v>
      </c>
      <c r="AS12" s="190">
        <v>74546</v>
      </c>
      <c r="AT12" s="190">
        <v>0</v>
      </c>
      <c r="AU12" s="190">
        <v>0</v>
      </c>
      <c r="AV12" s="190">
        <v>0</v>
      </c>
      <c r="AW12" s="190">
        <v>20170</v>
      </c>
    </row>
    <row r="13" spans="1:49" x14ac:dyDescent="0.3">
      <c r="A13" s="190" t="s">
        <v>129</v>
      </c>
      <c r="B13" s="213">
        <v>10</v>
      </c>
      <c r="C13" s="190">
        <v>39</v>
      </c>
      <c r="D13" s="190">
        <v>2</v>
      </c>
      <c r="E13" s="190">
        <v>11</v>
      </c>
      <c r="F13" s="190">
        <v>2500</v>
      </c>
      <c r="G13" s="190">
        <v>0</v>
      </c>
      <c r="H13" s="190">
        <v>0</v>
      </c>
      <c r="I13" s="190">
        <v>0</v>
      </c>
      <c r="J13" s="190">
        <v>0</v>
      </c>
      <c r="K13" s="190">
        <v>0</v>
      </c>
      <c r="L13" s="190">
        <v>0</v>
      </c>
      <c r="M13" s="190">
        <v>0</v>
      </c>
      <c r="N13" s="190">
        <v>0</v>
      </c>
      <c r="O13" s="190">
        <v>2500</v>
      </c>
      <c r="P13" s="190">
        <v>0</v>
      </c>
      <c r="Q13" s="190">
        <v>0</v>
      </c>
      <c r="R13" s="190">
        <v>0</v>
      </c>
      <c r="S13" s="190">
        <v>0</v>
      </c>
      <c r="T13" s="190">
        <v>0</v>
      </c>
      <c r="U13" s="190">
        <v>0</v>
      </c>
      <c r="V13" s="190">
        <v>0</v>
      </c>
      <c r="W13" s="190">
        <v>0</v>
      </c>
      <c r="X13" s="190">
        <v>0</v>
      </c>
      <c r="Y13" s="190">
        <v>0</v>
      </c>
      <c r="Z13" s="190">
        <v>0</v>
      </c>
      <c r="AA13" s="190">
        <v>0</v>
      </c>
      <c r="AB13" s="190">
        <v>0</v>
      </c>
      <c r="AC13" s="190">
        <v>0</v>
      </c>
      <c r="AD13" s="190">
        <v>0</v>
      </c>
      <c r="AE13" s="190">
        <v>0</v>
      </c>
      <c r="AF13" s="190">
        <v>0</v>
      </c>
      <c r="AG13" s="190">
        <v>0</v>
      </c>
      <c r="AH13" s="190">
        <v>0</v>
      </c>
      <c r="AI13" s="190">
        <v>0</v>
      </c>
      <c r="AJ13" s="190">
        <v>0</v>
      </c>
      <c r="AK13" s="190">
        <v>0</v>
      </c>
      <c r="AL13" s="190">
        <v>0</v>
      </c>
      <c r="AM13" s="190">
        <v>0</v>
      </c>
      <c r="AN13" s="190">
        <v>0</v>
      </c>
      <c r="AO13" s="190">
        <v>0</v>
      </c>
      <c r="AP13" s="190">
        <v>0</v>
      </c>
      <c r="AQ13" s="190">
        <v>0</v>
      </c>
      <c r="AR13" s="190">
        <v>0</v>
      </c>
      <c r="AS13" s="190">
        <v>0</v>
      </c>
      <c r="AT13" s="190">
        <v>0</v>
      </c>
      <c r="AU13" s="190">
        <v>0</v>
      </c>
      <c r="AV13" s="190">
        <v>0</v>
      </c>
      <c r="AW13" s="190">
        <v>0</v>
      </c>
    </row>
    <row r="14" spans="1:49" x14ac:dyDescent="0.3">
      <c r="A14" s="190" t="s">
        <v>130</v>
      </c>
      <c r="B14" s="213">
        <v>11</v>
      </c>
      <c r="C14" s="190">
        <v>39</v>
      </c>
      <c r="D14" s="190">
        <v>3</v>
      </c>
      <c r="E14" s="190">
        <v>1</v>
      </c>
      <c r="F14" s="190">
        <v>13.6</v>
      </c>
      <c r="G14" s="190">
        <v>0</v>
      </c>
      <c r="H14" s="190">
        <v>0</v>
      </c>
      <c r="I14" s="190">
        <v>0</v>
      </c>
      <c r="J14" s="190">
        <v>0</v>
      </c>
      <c r="K14" s="190">
        <v>0</v>
      </c>
      <c r="L14" s="190">
        <v>0</v>
      </c>
      <c r="M14" s="190">
        <v>0</v>
      </c>
      <c r="N14" s="190">
        <v>0</v>
      </c>
      <c r="O14" s="190">
        <v>0</v>
      </c>
      <c r="P14" s="190">
        <v>0</v>
      </c>
      <c r="Q14" s="190">
        <v>0</v>
      </c>
      <c r="R14" s="190">
        <v>0</v>
      </c>
      <c r="S14" s="190">
        <v>0</v>
      </c>
      <c r="T14" s="190">
        <v>0</v>
      </c>
      <c r="U14" s="190">
        <v>0</v>
      </c>
      <c r="V14" s="190">
        <v>0</v>
      </c>
      <c r="W14" s="190">
        <v>0</v>
      </c>
      <c r="X14" s="190">
        <v>0</v>
      </c>
      <c r="Y14" s="190">
        <v>0</v>
      </c>
      <c r="Z14" s="190">
        <v>0</v>
      </c>
      <c r="AA14" s="190">
        <v>0</v>
      </c>
      <c r="AB14" s="190">
        <v>0</v>
      </c>
      <c r="AC14" s="190">
        <v>0</v>
      </c>
      <c r="AD14" s="190">
        <v>0</v>
      </c>
      <c r="AE14" s="190">
        <v>9</v>
      </c>
      <c r="AF14" s="190">
        <v>1</v>
      </c>
      <c r="AG14" s="190">
        <v>0</v>
      </c>
      <c r="AH14" s="190">
        <v>0</v>
      </c>
      <c r="AI14" s="190">
        <v>0</v>
      </c>
      <c r="AJ14" s="190">
        <v>0</v>
      </c>
      <c r="AK14" s="190">
        <v>0</v>
      </c>
      <c r="AL14" s="190">
        <v>0</v>
      </c>
      <c r="AM14" s="190">
        <v>0</v>
      </c>
      <c r="AN14" s="190">
        <v>0</v>
      </c>
      <c r="AO14" s="190">
        <v>0</v>
      </c>
      <c r="AP14" s="190">
        <v>0</v>
      </c>
      <c r="AQ14" s="190">
        <v>0</v>
      </c>
      <c r="AR14" s="190">
        <v>0</v>
      </c>
      <c r="AS14" s="190">
        <v>2.6</v>
      </c>
      <c r="AT14" s="190">
        <v>0</v>
      </c>
      <c r="AU14" s="190">
        <v>0</v>
      </c>
      <c r="AV14" s="190">
        <v>0</v>
      </c>
      <c r="AW14" s="190">
        <v>1</v>
      </c>
    </row>
    <row r="15" spans="1:49" x14ac:dyDescent="0.3">
      <c r="A15" s="190" t="s">
        <v>131</v>
      </c>
      <c r="B15" s="213">
        <v>12</v>
      </c>
      <c r="C15" s="190">
        <v>39</v>
      </c>
      <c r="D15" s="190">
        <v>3</v>
      </c>
      <c r="E15" s="190">
        <v>2</v>
      </c>
      <c r="F15" s="190">
        <v>2414.5</v>
      </c>
      <c r="G15" s="190">
        <v>0</v>
      </c>
      <c r="H15" s="190">
        <v>0</v>
      </c>
      <c r="I15" s="190">
        <v>0</v>
      </c>
      <c r="J15" s="190">
        <v>0</v>
      </c>
      <c r="K15" s="190">
        <v>0</v>
      </c>
      <c r="L15" s="190">
        <v>0</v>
      </c>
      <c r="M15" s="190">
        <v>0</v>
      </c>
      <c r="N15" s="190">
        <v>0</v>
      </c>
      <c r="O15" s="190">
        <v>0</v>
      </c>
      <c r="P15" s="190">
        <v>0</v>
      </c>
      <c r="Q15" s="190">
        <v>0</v>
      </c>
      <c r="R15" s="190">
        <v>0</v>
      </c>
      <c r="S15" s="190">
        <v>0</v>
      </c>
      <c r="T15" s="190">
        <v>0</v>
      </c>
      <c r="U15" s="190">
        <v>0</v>
      </c>
      <c r="V15" s="190">
        <v>0</v>
      </c>
      <c r="W15" s="190">
        <v>0</v>
      </c>
      <c r="X15" s="190">
        <v>0</v>
      </c>
      <c r="Y15" s="190">
        <v>0</v>
      </c>
      <c r="Z15" s="190">
        <v>0</v>
      </c>
      <c r="AA15" s="190">
        <v>0</v>
      </c>
      <c r="AB15" s="190">
        <v>0</v>
      </c>
      <c r="AC15" s="190">
        <v>0</v>
      </c>
      <c r="AD15" s="190">
        <v>0</v>
      </c>
      <c r="AE15" s="190">
        <v>1583.5</v>
      </c>
      <c r="AF15" s="190">
        <v>176</v>
      </c>
      <c r="AG15" s="190">
        <v>0</v>
      </c>
      <c r="AH15" s="190">
        <v>0</v>
      </c>
      <c r="AI15" s="190">
        <v>0</v>
      </c>
      <c r="AJ15" s="190">
        <v>0</v>
      </c>
      <c r="AK15" s="190">
        <v>0</v>
      </c>
      <c r="AL15" s="190">
        <v>0</v>
      </c>
      <c r="AM15" s="190">
        <v>0</v>
      </c>
      <c r="AN15" s="190">
        <v>0</v>
      </c>
      <c r="AO15" s="190">
        <v>0</v>
      </c>
      <c r="AP15" s="190">
        <v>0</v>
      </c>
      <c r="AQ15" s="190">
        <v>0</v>
      </c>
      <c r="AR15" s="190">
        <v>0</v>
      </c>
      <c r="AS15" s="190">
        <v>479</v>
      </c>
      <c r="AT15" s="190">
        <v>0</v>
      </c>
      <c r="AU15" s="190">
        <v>0</v>
      </c>
      <c r="AV15" s="190">
        <v>0</v>
      </c>
      <c r="AW15" s="190">
        <v>176</v>
      </c>
    </row>
    <row r="16" spans="1:49" x14ac:dyDescent="0.3">
      <c r="A16" s="190" t="s">
        <v>119</v>
      </c>
      <c r="B16" s="213">
        <v>2016</v>
      </c>
      <c r="C16" s="190">
        <v>39</v>
      </c>
      <c r="D16" s="190">
        <v>3</v>
      </c>
      <c r="E16" s="190">
        <v>6</v>
      </c>
      <c r="F16" s="190">
        <v>443170</v>
      </c>
      <c r="G16" s="190">
        <v>0</v>
      </c>
      <c r="H16" s="190">
        <v>0</v>
      </c>
      <c r="I16" s="190">
        <v>0</v>
      </c>
      <c r="J16" s="190">
        <v>0</v>
      </c>
      <c r="K16" s="190">
        <v>0</v>
      </c>
      <c r="L16" s="190">
        <v>0</v>
      </c>
      <c r="M16" s="190">
        <v>0</v>
      </c>
      <c r="N16" s="190">
        <v>0</v>
      </c>
      <c r="O16" s="190">
        <v>0</v>
      </c>
      <c r="P16" s="190">
        <v>0</v>
      </c>
      <c r="Q16" s="190">
        <v>0</v>
      </c>
      <c r="R16" s="190">
        <v>0</v>
      </c>
      <c r="S16" s="190">
        <v>0</v>
      </c>
      <c r="T16" s="190">
        <v>0</v>
      </c>
      <c r="U16" s="190">
        <v>0</v>
      </c>
      <c r="V16" s="190">
        <v>0</v>
      </c>
      <c r="W16" s="190">
        <v>0</v>
      </c>
      <c r="X16" s="190">
        <v>0</v>
      </c>
      <c r="Y16" s="190">
        <v>0</v>
      </c>
      <c r="Z16" s="190">
        <v>0</v>
      </c>
      <c r="AA16" s="190">
        <v>0</v>
      </c>
      <c r="AB16" s="190">
        <v>0</v>
      </c>
      <c r="AC16" s="190">
        <v>0</v>
      </c>
      <c r="AD16" s="190">
        <v>0</v>
      </c>
      <c r="AE16" s="190">
        <v>294344</v>
      </c>
      <c r="AF16" s="190">
        <v>54263</v>
      </c>
      <c r="AG16" s="190">
        <v>0</v>
      </c>
      <c r="AH16" s="190">
        <v>0</v>
      </c>
      <c r="AI16" s="190">
        <v>0</v>
      </c>
      <c r="AJ16" s="190">
        <v>0</v>
      </c>
      <c r="AK16" s="190">
        <v>0</v>
      </c>
      <c r="AL16" s="190">
        <v>0</v>
      </c>
      <c r="AM16" s="190">
        <v>0</v>
      </c>
      <c r="AN16" s="190">
        <v>0</v>
      </c>
      <c r="AO16" s="190">
        <v>0</v>
      </c>
      <c r="AP16" s="190">
        <v>0</v>
      </c>
      <c r="AQ16" s="190">
        <v>0</v>
      </c>
      <c r="AR16" s="190">
        <v>0</v>
      </c>
      <c r="AS16" s="190">
        <v>74320</v>
      </c>
      <c r="AT16" s="190">
        <v>0</v>
      </c>
      <c r="AU16" s="190">
        <v>0</v>
      </c>
      <c r="AV16" s="190">
        <v>0</v>
      </c>
      <c r="AW16" s="190">
        <v>20243</v>
      </c>
    </row>
    <row r="17" spans="3:49" x14ac:dyDescent="0.3">
      <c r="C17" s="190">
        <v>39</v>
      </c>
      <c r="D17" s="190">
        <v>3</v>
      </c>
      <c r="E17" s="190">
        <v>10</v>
      </c>
      <c r="F17" s="190">
        <v>1100</v>
      </c>
      <c r="G17" s="190">
        <v>0</v>
      </c>
      <c r="H17" s="190">
        <v>0</v>
      </c>
      <c r="I17" s="190">
        <v>0</v>
      </c>
      <c r="J17" s="190">
        <v>0</v>
      </c>
      <c r="K17" s="190">
        <v>0</v>
      </c>
      <c r="L17" s="190">
        <v>0</v>
      </c>
      <c r="M17" s="190">
        <v>0</v>
      </c>
      <c r="N17" s="190">
        <v>0</v>
      </c>
      <c r="O17" s="190">
        <v>1100</v>
      </c>
      <c r="P17" s="190">
        <v>0</v>
      </c>
      <c r="Q17" s="190">
        <v>0</v>
      </c>
      <c r="R17" s="190">
        <v>0</v>
      </c>
      <c r="S17" s="190">
        <v>0</v>
      </c>
      <c r="T17" s="190">
        <v>0</v>
      </c>
      <c r="U17" s="190">
        <v>0</v>
      </c>
      <c r="V17" s="190">
        <v>0</v>
      </c>
      <c r="W17" s="190">
        <v>0</v>
      </c>
      <c r="X17" s="190">
        <v>0</v>
      </c>
      <c r="Y17" s="190">
        <v>0</v>
      </c>
      <c r="Z17" s="190">
        <v>0</v>
      </c>
      <c r="AA17" s="190">
        <v>0</v>
      </c>
      <c r="AB17" s="190">
        <v>0</v>
      </c>
      <c r="AC17" s="190">
        <v>0</v>
      </c>
      <c r="AD17" s="190">
        <v>0</v>
      </c>
      <c r="AE17" s="190">
        <v>0</v>
      </c>
      <c r="AF17" s="190">
        <v>0</v>
      </c>
      <c r="AG17" s="190">
        <v>0</v>
      </c>
      <c r="AH17" s="190">
        <v>0</v>
      </c>
      <c r="AI17" s="190">
        <v>0</v>
      </c>
      <c r="AJ17" s="190">
        <v>0</v>
      </c>
      <c r="AK17" s="190">
        <v>0</v>
      </c>
      <c r="AL17" s="190">
        <v>0</v>
      </c>
      <c r="AM17" s="190">
        <v>0</v>
      </c>
      <c r="AN17" s="190">
        <v>0</v>
      </c>
      <c r="AO17" s="190">
        <v>0</v>
      </c>
      <c r="AP17" s="190">
        <v>0</v>
      </c>
      <c r="AQ17" s="190">
        <v>0</v>
      </c>
      <c r="AR17" s="190">
        <v>0</v>
      </c>
      <c r="AS17" s="190">
        <v>0</v>
      </c>
      <c r="AT17" s="190">
        <v>0</v>
      </c>
      <c r="AU17" s="190">
        <v>0</v>
      </c>
      <c r="AV17" s="190">
        <v>0</v>
      </c>
      <c r="AW17" s="190">
        <v>0</v>
      </c>
    </row>
    <row r="18" spans="3:49" x14ac:dyDescent="0.3">
      <c r="C18" s="190">
        <v>39</v>
      </c>
      <c r="D18" s="190">
        <v>3</v>
      </c>
      <c r="E18" s="190">
        <v>11</v>
      </c>
      <c r="F18" s="190">
        <v>2500</v>
      </c>
      <c r="G18" s="190">
        <v>0</v>
      </c>
      <c r="H18" s="190">
        <v>0</v>
      </c>
      <c r="I18" s="190">
        <v>0</v>
      </c>
      <c r="J18" s="190">
        <v>0</v>
      </c>
      <c r="K18" s="190">
        <v>0</v>
      </c>
      <c r="L18" s="190">
        <v>0</v>
      </c>
      <c r="M18" s="190">
        <v>0</v>
      </c>
      <c r="N18" s="190">
        <v>0</v>
      </c>
      <c r="O18" s="190">
        <v>2500</v>
      </c>
      <c r="P18" s="190">
        <v>0</v>
      </c>
      <c r="Q18" s="190">
        <v>0</v>
      </c>
      <c r="R18" s="190">
        <v>0</v>
      </c>
      <c r="S18" s="190">
        <v>0</v>
      </c>
      <c r="T18" s="190">
        <v>0</v>
      </c>
      <c r="U18" s="190">
        <v>0</v>
      </c>
      <c r="V18" s="190">
        <v>0</v>
      </c>
      <c r="W18" s="190">
        <v>0</v>
      </c>
      <c r="X18" s="190">
        <v>0</v>
      </c>
      <c r="Y18" s="190">
        <v>0</v>
      </c>
      <c r="Z18" s="190">
        <v>0</v>
      </c>
      <c r="AA18" s="190">
        <v>0</v>
      </c>
      <c r="AB18" s="190">
        <v>0</v>
      </c>
      <c r="AC18" s="190">
        <v>0</v>
      </c>
      <c r="AD18" s="190">
        <v>0</v>
      </c>
      <c r="AE18" s="190">
        <v>0</v>
      </c>
      <c r="AF18" s="190">
        <v>0</v>
      </c>
      <c r="AG18" s="190">
        <v>0</v>
      </c>
      <c r="AH18" s="190">
        <v>0</v>
      </c>
      <c r="AI18" s="190">
        <v>0</v>
      </c>
      <c r="AJ18" s="190">
        <v>0</v>
      </c>
      <c r="AK18" s="190">
        <v>0</v>
      </c>
      <c r="AL18" s="190">
        <v>0</v>
      </c>
      <c r="AM18" s="190">
        <v>0</v>
      </c>
      <c r="AN18" s="190">
        <v>0</v>
      </c>
      <c r="AO18" s="190">
        <v>0</v>
      </c>
      <c r="AP18" s="190">
        <v>0</v>
      </c>
      <c r="AQ18" s="190">
        <v>0</v>
      </c>
      <c r="AR18" s="190">
        <v>0</v>
      </c>
      <c r="AS18" s="190">
        <v>0</v>
      </c>
      <c r="AT18" s="190">
        <v>0</v>
      </c>
      <c r="AU18" s="190">
        <v>0</v>
      </c>
      <c r="AV18" s="190">
        <v>0</v>
      </c>
      <c r="AW18" s="190">
        <v>0</v>
      </c>
    </row>
    <row r="19" spans="3:49" x14ac:dyDescent="0.3">
      <c r="C19" s="190">
        <v>39</v>
      </c>
      <c r="D19" s="190">
        <v>4</v>
      </c>
      <c r="E19" s="190">
        <v>1</v>
      </c>
      <c r="F19" s="190">
        <v>13.6</v>
      </c>
      <c r="G19" s="190">
        <v>0</v>
      </c>
      <c r="H19" s="190">
        <v>0</v>
      </c>
      <c r="I19" s="190">
        <v>0</v>
      </c>
      <c r="J19" s="190">
        <v>0</v>
      </c>
      <c r="K19" s="190">
        <v>0</v>
      </c>
      <c r="L19" s="190">
        <v>0</v>
      </c>
      <c r="M19" s="190">
        <v>0</v>
      </c>
      <c r="N19" s="190">
        <v>0</v>
      </c>
      <c r="O19" s="190">
        <v>0</v>
      </c>
      <c r="P19" s="190">
        <v>0</v>
      </c>
      <c r="Q19" s="190">
        <v>0</v>
      </c>
      <c r="R19" s="190">
        <v>0</v>
      </c>
      <c r="S19" s="190">
        <v>0</v>
      </c>
      <c r="T19" s="190">
        <v>0</v>
      </c>
      <c r="U19" s="190">
        <v>0</v>
      </c>
      <c r="V19" s="190">
        <v>0</v>
      </c>
      <c r="W19" s="190">
        <v>0</v>
      </c>
      <c r="X19" s="190">
        <v>0</v>
      </c>
      <c r="Y19" s="190">
        <v>0</v>
      </c>
      <c r="Z19" s="190">
        <v>0</v>
      </c>
      <c r="AA19" s="190">
        <v>0</v>
      </c>
      <c r="AB19" s="190">
        <v>0</v>
      </c>
      <c r="AC19" s="190">
        <v>0</v>
      </c>
      <c r="AD19" s="190">
        <v>0</v>
      </c>
      <c r="AE19" s="190">
        <v>9</v>
      </c>
      <c r="AF19" s="190">
        <v>1</v>
      </c>
      <c r="AG19" s="190">
        <v>0</v>
      </c>
      <c r="AH19" s="190">
        <v>0</v>
      </c>
      <c r="AI19" s="190">
        <v>0</v>
      </c>
      <c r="AJ19" s="190">
        <v>0</v>
      </c>
      <c r="AK19" s="190">
        <v>0</v>
      </c>
      <c r="AL19" s="190">
        <v>0</v>
      </c>
      <c r="AM19" s="190">
        <v>0</v>
      </c>
      <c r="AN19" s="190">
        <v>0</v>
      </c>
      <c r="AO19" s="190">
        <v>0</v>
      </c>
      <c r="AP19" s="190">
        <v>0</v>
      </c>
      <c r="AQ19" s="190">
        <v>0</v>
      </c>
      <c r="AR19" s="190">
        <v>0</v>
      </c>
      <c r="AS19" s="190">
        <v>2.6</v>
      </c>
      <c r="AT19" s="190">
        <v>0</v>
      </c>
      <c r="AU19" s="190">
        <v>0</v>
      </c>
      <c r="AV19" s="190">
        <v>0</v>
      </c>
      <c r="AW19" s="190">
        <v>1</v>
      </c>
    </row>
    <row r="20" spans="3:49" x14ac:dyDescent="0.3">
      <c r="C20" s="190">
        <v>39</v>
      </c>
      <c r="D20" s="190">
        <v>4</v>
      </c>
      <c r="E20" s="190">
        <v>2</v>
      </c>
      <c r="F20" s="190">
        <v>1838</v>
      </c>
      <c r="G20" s="190">
        <v>0</v>
      </c>
      <c r="H20" s="190">
        <v>0</v>
      </c>
      <c r="I20" s="190">
        <v>0</v>
      </c>
      <c r="J20" s="190">
        <v>0</v>
      </c>
      <c r="K20" s="190">
        <v>0</v>
      </c>
      <c r="L20" s="190">
        <v>0</v>
      </c>
      <c r="M20" s="190">
        <v>0</v>
      </c>
      <c r="N20" s="190">
        <v>0</v>
      </c>
      <c r="O20" s="190">
        <v>0</v>
      </c>
      <c r="P20" s="190">
        <v>0</v>
      </c>
      <c r="Q20" s="190">
        <v>0</v>
      </c>
      <c r="R20" s="190">
        <v>0</v>
      </c>
      <c r="S20" s="190">
        <v>0</v>
      </c>
      <c r="T20" s="190">
        <v>0</v>
      </c>
      <c r="U20" s="190">
        <v>0</v>
      </c>
      <c r="V20" s="190">
        <v>0</v>
      </c>
      <c r="W20" s="190">
        <v>0</v>
      </c>
      <c r="X20" s="190">
        <v>0</v>
      </c>
      <c r="Y20" s="190">
        <v>0</v>
      </c>
      <c r="Z20" s="190">
        <v>0</v>
      </c>
      <c r="AA20" s="190">
        <v>0</v>
      </c>
      <c r="AB20" s="190">
        <v>0</v>
      </c>
      <c r="AC20" s="190">
        <v>0</v>
      </c>
      <c r="AD20" s="190">
        <v>0</v>
      </c>
      <c r="AE20" s="190">
        <v>1276</v>
      </c>
      <c r="AF20" s="190">
        <v>140</v>
      </c>
      <c r="AG20" s="190">
        <v>0</v>
      </c>
      <c r="AH20" s="190">
        <v>0</v>
      </c>
      <c r="AI20" s="190">
        <v>0</v>
      </c>
      <c r="AJ20" s="190">
        <v>0</v>
      </c>
      <c r="AK20" s="190">
        <v>0</v>
      </c>
      <c r="AL20" s="190">
        <v>0</v>
      </c>
      <c r="AM20" s="190">
        <v>0</v>
      </c>
      <c r="AN20" s="190">
        <v>0</v>
      </c>
      <c r="AO20" s="190">
        <v>0</v>
      </c>
      <c r="AP20" s="190">
        <v>0</v>
      </c>
      <c r="AQ20" s="190">
        <v>0</v>
      </c>
      <c r="AR20" s="190">
        <v>0</v>
      </c>
      <c r="AS20" s="190">
        <v>254</v>
      </c>
      <c r="AT20" s="190">
        <v>0</v>
      </c>
      <c r="AU20" s="190">
        <v>0</v>
      </c>
      <c r="AV20" s="190">
        <v>0</v>
      </c>
      <c r="AW20" s="190">
        <v>168</v>
      </c>
    </row>
    <row r="21" spans="3:49" x14ac:dyDescent="0.3">
      <c r="C21" s="190">
        <v>39</v>
      </c>
      <c r="D21" s="190">
        <v>4</v>
      </c>
      <c r="E21" s="190">
        <v>6</v>
      </c>
      <c r="F21" s="190">
        <v>427120</v>
      </c>
      <c r="G21" s="190">
        <v>0</v>
      </c>
      <c r="H21" s="190">
        <v>0</v>
      </c>
      <c r="I21" s="190">
        <v>0</v>
      </c>
      <c r="J21" s="190">
        <v>0</v>
      </c>
      <c r="K21" s="190">
        <v>0</v>
      </c>
      <c r="L21" s="190">
        <v>0</v>
      </c>
      <c r="M21" s="190">
        <v>0</v>
      </c>
      <c r="N21" s="190">
        <v>0</v>
      </c>
      <c r="O21" s="190">
        <v>0</v>
      </c>
      <c r="P21" s="190">
        <v>0</v>
      </c>
      <c r="Q21" s="190">
        <v>0</v>
      </c>
      <c r="R21" s="190">
        <v>0</v>
      </c>
      <c r="S21" s="190">
        <v>0</v>
      </c>
      <c r="T21" s="190">
        <v>0</v>
      </c>
      <c r="U21" s="190">
        <v>0</v>
      </c>
      <c r="V21" s="190">
        <v>0</v>
      </c>
      <c r="W21" s="190">
        <v>0</v>
      </c>
      <c r="X21" s="190">
        <v>0</v>
      </c>
      <c r="Y21" s="190">
        <v>0</v>
      </c>
      <c r="Z21" s="190">
        <v>0</v>
      </c>
      <c r="AA21" s="190">
        <v>0</v>
      </c>
      <c r="AB21" s="190">
        <v>0</v>
      </c>
      <c r="AC21" s="190">
        <v>0</v>
      </c>
      <c r="AD21" s="190">
        <v>0</v>
      </c>
      <c r="AE21" s="190">
        <v>299513</v>
      </c>
      <c r="AF21" s="190">
        <v>54553</v>
      </c>
      <c r="AG21" s="190">
        <v>0</v>
      </c>
      <c r="AH21" s="190">
        <v>0</v>
      </c>
      <c r="AI21" s="190">
        <v>0</v>
      </c>
      <c r="AJ21" s="190">
        <v>0</v>
      </c>
      <c r="AK21" s="190">
        <v>0</v>
      </c>
      <c r="AL21" s="190">
        <v>0</v>
      </c>
      <c r="AM21" s="190">
        <v>0</v>
      </c>
      <c r="AN21" s="190">
        <v>0</v>
      </c>
      <c r="AO21" s="190">
        <v>0</v>
      </c>
      <c r="AP21" s="190">
        <v>0</v>
      </c>
      <c r="AQ21" s="190">
        <v>0</v>
      </c>
      <c r="AR21" s="190">
        <v>0</v>
      </c>
      <c r="AS21" s="190">
        <v>52384</v>
      </c>
      <c r="AT21" s="190">
        <v>0</v>
      </c>
      <c r="AU21" s="190">
        <v>0</v>
      </c>
      <c r="AV21" s="190">
        <v>0</v>
      </c>
      <c r="AW21" s="190">
        <v>20670</v>
      </c>
    </row>
    <row r="22" spans="3:49" x14ac:dyDescent="0.3">
      <c r="C22" s="190">
        <v>39</v>
      </c>
      <c r="D22" s="190">
        <v>4</v>
      </c>
      <c r="E22" s="190">
        <v>9</v>
      </c>
      <c r="F22" s="190">
        <v>10744</v>
      </c>
      <c r="G22" s="190">
        <v>0</v>
      </c>
      <c r="H22" s="190">
        <v>0</v>
      </c>
      <c r="I22" s="190">
        <v>0</v>
      </c>
      <c r="J22" s="190">
        <v>0</v>
      </c>
      <c r="K22" s="190">
        <v>0</v>
      </c>
      <c r="L22" s="190">
        <v>0</v>
      </c>
      <c r="M22" s="190">
        <v>0</v>
      </c>
      <c r="N22" s="190">
        <v>0</v>
      </c>
      <c r="O22" s="190">
        <v>0</v>
      </c>
      <c r="P22" s="190">
        <v>0</v>
      </c>
      <c r="Q22" s="190">
        <v>0</v>
      </c>
      <c r="R22" s="190">
        <v>0</v>
      </c>
      <c r="S22" s="190">
        <v>0</v>
      </c>
      <c r="T22" s="190">
        <v>0</v>
      </c>
      <c r="U22" s="190">
        <v>0</v>
      </c>
      <c r="V22" s="190">
        <v>0</v>
      </c>
      <c r="W22" s="190">
        <v>0</v>
      </c>
      <c r="X22" s="190">
        <v>0</v>
      </c>
      <c r="Y22" s="190">
        <v>0</v>
      </c>
      <c r="Z22" s="190">
        <v>0</v>
      </c>
      <c r="AA22" s="190">
        <v>0</v>
      </c>
      <c r="AB22" s="190">
        <v>0</v>
      </c>
      <c r="AC22" s="190">
        <v>0</v>
      </c>
      <c r="AD22" s="190">
        <v>0</v>
      </c>
      <c r="AE22" s="190">
        <v>10744</v>
      </c>
      <c r="AF22" s="190">
        <v>0</v>
      </c>
      <c r="AG22" s="190">
        <v>0</v>
      </c>
      <c r="AH22" s="190">
        <v>0</v>
      </c>
      <c r="AI22" s="190">
        <v>0</v>
      </c>
      <c r="AJ22" s="190">
        <v>0</v>
      </c>
      <c r="AK22" s="190">
        <v>0</v>
      </c>
      <c r="AL22" s="190">
        <v>0</v>
      </c>
      <c r="AM22" s="190">
        <v>0</v>
      </c>
      <c r="AN22" s="190">
        <v>0</v>
      </c>
      <c r="AO22" s="190">
        <v>0</v>
      </c>
      <c r="AP22" s="190">
        <v>0</v>
      </c>
      <c r="AQ22" s="190">
        <v>0</v>
      </c>
      <c r="AR22" s="190">
        <v>0</v>
      </c>
      <c r="AS22" s="190">
        <v>0</v>
      </c>
      <c r="AT22" s="190">
        <v>0</v>
      </c>
      <c r="AU22" s="190">
        <v>0</v>
      </c>
      <c r="AV22" s="190">
        <v>0</v>
      </c>
      <c r="AW22" s="190">
        <v>0</v>
      </c>
    </row>
    <row r="23" spans="3:49" x14ac:dyDescent="0.3">
      <c r="C23" s="190">
        <v>39</v>
      </c>
      <c r="D23" s="190">
        <v>4</v>
      </c>
      <c r="E23" s="190">
        <v>10</v>
      </c>
      <c r="F23" s="190">
        <v>14600</v>
      </c>
      <c r="G23" s="190">
        <v>0</v>
      </c>
      <c r="H23" s="190">
        <v>0</v>
      </c>
      <c r="I23" s="190">
        <v>0</v>
      </c>
      <c r="J23" s="190">
        <v>0</v>
      </c>
      <c r="K23" s="190">
        <v>0</v>
      </c>
      <c r="L23" s="190">
        <v>0</v>
      </c>
      <c r="M23" s="190">
        <v>0</v>
      </c>
      <c r="N23" s="190">
        <v>0</v>
      </c>
      <c r="O23" s="190">
        <v>14600</v>
      </c>
      <c r="P23" s="190">
        <v>0</v>
      </c>
      <c r="Q23" s="190">
        <v>0</v>
      </c>
      <c r="R23" s="190">
        <v>0</v>
      </c>
      <c r="S23" s="190">
        <v>0</v>
      </c>
      <c r="T23" s="190">
        <v>0</v>
      </c>
      <c r="U23" s="190">
        <v>0</v>
      </c>
      <c r="V23" s="190">
        <v>0</v>
      </c>
      <c r="W23" s="190">
        <v>0</v>
      </c>
      <c r="X23" s="190">
        <v>0</v>
      </c>
      <c r="Y23" s="190">
        <v>0</v>
      </c>
      <c r="Z23" s="190">
        <v>0</v>
      </c>
      <c r="AA23" s="190">
        <v>0</v>
      </c>
      <c r="AB23" s="190">
        <v>0</v>
      </c>
      <c r="AC23" s="190">
        <v>0</v>
      </c>
      <c r="AD23" s="190">
        <v>0</v>
      </c>
      <c r="AE23" s="190">
        <v>0</v>
      </c>
      <c r="AF23" s="190">
        <v>0</v>
      </c>
      <c r="AG23" s="190">
        <v>0</v>
      </c>
      <c r="AH23" s="190">
        <v>0</v>
      </c>
      <c r="AI23" s="190">
        <v>0</v>
      </c>
      <c r="AJ23" s="190">
        <v>0</v>
      </c>
      <c r="AK23" s="190">
        <v>0</v>
      </c>
      <c r="AL23" s="190">
        <v>0</v>
      </c>
      <c r="AM23" s="190">
        <v>0</v>
      </c>
      <c r="AN23" s="190">
        <v>0</v>
      </c>
      <c r="AO23" s="190">
        <v>0</v>
      </c>
      <c r="AP23" s="190">
        <v>0</v>
      </c>
      <c r="AQ23" s="190">
        <v>0</v>
      </c>
      <c r="AR23" s="190">
        <v>0</v>
      </c>
      <c r="AS23" s="190">
        <v>0</v>
      </c>
      <c r="AT23" s="190">
        <v>0</v>
      </c>
      <c r="AU23" s="190">
        <v>0</v>
      </c>
      <c r="AV23" s="190">
        <v>0</v>
      </c>
      <c r="AW23" s="190">
        <v>0</v>
      </c>
    </row>
    <row r="24" spans="3:49" x14ac:dyDescent="0.3">
      <c r="C24" s="190">
        <v>39</v>
      </c>
      <c r="D24" s="190">
        <v>4</v>
      </c>
      <c r="E24" s="190">
        <v>11</v>
      </c>
      <c r="F24" s="190">
        <v>2500</v>
      </c>
      <c r="G24" s="190">
        <v>0</v>
      </c>
      <c r="H24" s="190">
        <v>0</v>
      </c>
      <c r="I24" s="190">
        <v>0</v>
      </c>
      <c r="J24" s="190">
        <v>0</v>
      </c>
      <c r="K24" s="190">
        <v>0</v>
      </c>
      <c r="L24" s="190">
        <v>0</v>
      </c>
      <c r="M24" s="190">
        <v>0</v>
      </c>
      <c r="N24" s="190">
        <v>0</v>
      </c>
      <c r="O24" s="190">
        <v>2500</v>
      </c>
      <c r="P24" s="190">
        <v>0</v>
      </c>
      <c r="Q24" s="190">
        <v>0</v>
      </c>
      <c r="R24" s="190">
        <v>0</v>
      </c>
      <c r="S24" s="190">
        <v>0</v>
      </c>
      <c r="T24" s="190">
        <v>0</v>
      </c>
      <c r="U24" s="190">
        <v>0</v>
      </c>
      <c r="V24" s="190">
        <v>0</v>
      </c>
      <c r="W24" s="190">
        <v>0</v>
      </c>
      <c r="X24" s="190">
        <v>0</v>
      </c>
      <c r="Y24" s="190">
        <v>0</v>
      </c>
      <c r="Z24" s="190">
        <v>0</v>
      </c>
      <c r="AA24" s="190">
        <v>0</v>
      </c>
      <c r="AB24" s="190">
        <v>0</v>
      </c>
      <c r="AC24" s="190">
        <v>0</v>
      </c>
      <c r="AD24" s="190">
        <v>0</v>
      </c>
      <c r="AE24" s="190">
        <v>0</v>
      </c>
      <c r="AF24" s="190">
        <v>0</v>
      </c>
      <c r="AG24" s="190">
        <v>0</v>
      </c>
      <c r="AH24" s="190">
        <v>0</v>
      </c>
      <c r="AI24" s="190">
        <v>0</v>
      </c>
      <c r="AJ24" s="190">
        <v>0</v>
      </c>
      <c r="AK24" s="190">
        <v>0</v>
      </c>
      <c r="AL24" s="190">
        <v>0</v>
      </c>
      <c r="AM24" s="190">
        <v>0</v>
      </c>
      <c r="AN24" s="190">
        <v>0</v>
      </c>
      <c r="AO24" s="190">
        <v>0</v>
      </c>
      <c r="AP24" s="190">
        <v>0</v>
      </c>
      <c r="AQ24" s="190">
        <v>0</v>
      </c>
      <c r="AR24" s="190">
        <v>0</v>
      </c>
      <c r="AS24" s="190">
        <v>0</v>
      </c>
      <c r="AT24" s="190">
        <v>0</v>
      </c>
      <c r="AU24" s="190">
        <v>0</v>
      </c>
      <c r="AV24" s="190">
        <v>0</v>
      </c>
      <c r="AW24" s="19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5.4414062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79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79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79" customWidth="1"/>
    <col min="20" max="16384" width="8.88671875" style="102"/>
  </cols>
  <sheetData>
    <row r="1" spans="1:19" ht="18.600000000000001" customHeight="1" thickBot="1" x14ac:dyDescent="0.4">
      <c r="A1" s="297" t="s">
        <v>313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</row>
    <row r="2" spans="1:19" ht="14.4" customHeight="1" thickBot="1" x14ac:dyDescent="0.35">
      <c r="A2" s="194" t="s">
        <v>190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19" ht="14.4" customHeight="1" thickBot="1" x14ac:dyDescent="0.35">
      <c r="A3" s="180" t="s">
        <v>101</v>
      </c>
      <c r="B3" s="181">
        <f>SUBTOTAL(9,B6:B1048576)/2</f>
        <v>1506543</v>
      </c>
      <c r="C3" s="182">
        <f t="shared" ref="C3:R3" si="0">SUBTOTAL(9,C6:C1048576)</f>
        <v>2</v>
      </c>
      <c r="D3" s="182">
        <f>SUBTOTAL(9,D6:D1048576)/2</f>
        <v>1372398</v>
      </c>
      <c r="E3" s="182">
        <f t="shared" si="0"/>
        <v>1.8219167989230975</v>
      </c>
      <c r="F3" s="182">
        <f>SUBTOTAL(9,F6:F1048576)/2</f>
        <v>1707552.68</v>
      </c>
      <c r="G3" s="183">
        <f>IF(B3&lt;&gt;0,F3/B3,"")</f>
        <v>1.1334244558568856</v>
      </c>
      <c r="H3" s="184">
        <f t="shared" si="0"/>
        <v>0</v>
      </c>
      <c r="I3" s="182">
        <f t="shared" si="0"/>
        <v>0</v>
      </c>
      <c r="J3" s="182">
        <f t="shared" si="0"/>
        <v>0</v>
      </c>
      <c r="K3" s="182">
        <f t="shared" si="0"/>
        <v>0</v>
      </c>
      <c r="L3" s="182">
        <f t="shared" si="0"/>
        <v>0</v>
      </c>
      <c r="M3" s="185" t="str">
        <f>IF(H3&lt;&gt;0,L3/H3,"")</f>
        <v/>
      </c>
      <c r="N3" s="181">
        <f t="shared" si="0"/>
        <v>0</v>
      </c>
      <c r="O3" s="182">
        <f t="shared" si="0"/>
        <v>0</v>
      </c>
      <c r="P3" s="182">
        <f t="shared" si="0"/>
        <v>0</v>
      </c>
      <c r="Q3" s="182">
        <f t="shared" si="0"/>
        <v>0</v>
      </c>
      <c r="R3" s="182">
        <f t="shared" si="0"/>
        <v>0</v>
      </c>
      <c r="S3" s="183" t="str">
        <f>IF(N3&lt;&gt;0,R3/N3,"")</f>
        <v/>
      </c>
    </row>
    <row r="4" spans="1:19" ht="14.4" customHeight="1" x14ac:dyDescent="0.3">
      <c r="A4" s="298" t="s">
        <v>162</v>
      </c>
      <c r="B4" s="299" t="s">
        <v>76</v>
      </c>
      <c r="C4" s="300"/>
      <c r="D4" s="300"/>
      <c r="E4" s="300"/>
      <c r="F4" s="300"/>
      <c r="G4" s="301"/>
      <c r="H4" s="299" t="s">
        <v>77</v>
      </c>
      <c r="I4" s="300"/>
      <c r="J4" s="300"/>
      <c r="K4" s="300"/>
      <c r="L4" s="300"/>
      <c r="M4" s="301"/>
      <c r="N4" s="299" t="s">
        <v>78</v>
      </c>
      <c r="O4" s="300"/>
      <c r="P4" s="300"/>
      <c r="Q4" s="300"/>
      <c r="R4" s="300"/>
      <c r="S4" s="301"/>
    </row>
    <row r="5" spans="1:19" ht="14.4" customHeight="1" thickBot="1" x14ac:dyDescent="0.35">
      <c r="A5" s="380"/>
      <c r="B5" s="381">
        <v>2014</v>
      </c>
      <c r="C5" s="382"/>
      <c r="D5" s="382">
        <v>2015</v>
      </c>
      <c r="E5" s="382"/>
      <c r="F5" s="382">
        <v>2016</v>
      </c>
      <c r="G5" s="383" t="s">
        <v>2</v>
      </c>
      <c r="H5" s="381">
        <v>2014</v>
      </c>
      <c r="I5" s="382"/>
      <c r="J5" s="382">
        <v>2015</v>
      </c>
      <c r="K5" s="382"/>
      <c r="L5" s="382">
        <v>2016</v>
      </c>
      <c r="M5" s="383" t="s">
        <v>2</v>
      </c>
      <c r="N5" s="381">
        <v>2014</v>
      </c>
      <c r="O5" s="382"/>
      <c r="P5" s="382">
        <v>2015</v>
      </c>
      <c r="Q5" s="382"/>
      <c r="R5" s="382">
        <v>2016</v>
      </c>
      <c r="S5" s="383" t="s">
        <v>2</v>
      </c>
    </row>
    <row r="6" spans="1:19" ht="14.4" customHeight="1" thickBot="1" x14ac:dyDescent="0.35">
      <c r="A6" s="386" t="s">
        <v>312</v>
      </c>
      <c r="B6" s="384">
        <v>1506543</v>
      </c>
      <c r="C6" s="385">
        <v>1</v>
      </c>
      <c r="D6" s="384">
        <v>1372398</v>
      </c>
      <c r="E6" s="385">
        <v>0.91095839946154877</v>
      </c>
      <c r="F6" s="384">
        <v>1707552.68</v>
      </c>
      <c r="G6" s="248">
        <v>1.1334244558568856</v>
      </c>
      <c r="H6" s="384"/>
      <c r="I6" s="385"/>
      <c r="J6" s="384"/>
      <c r="K6" s="385"/>
      <c r="L6" s="384"/>
      <c r="M6" s="248"/>
      <c r="N6" s="384"/>
      <c r="O6" s="385"/>
      <c r="P6" s="384"/>
      <c r="Q6" s="385"/>
      <c r="R6" s="384"/>
      <c r="S6" s="249"/>
    </row>
    <row r="7" spans="1:19" ht="14.4" customHeight="1" thickBot="1" x14ac:dyDescent="0.35"/>
    <row r="8" spans="1:19" ht="14.4" customHeight="1" thickBot="1" x14ac:dyDescent="0.35">
      <c r="A8" s="386" t="s">
        <v>304</v>
      </c>
      <c r="B8" s="384">
        <v>1506543</v>
      </c>
      <c r="C8" s="385">
        <v>1</v>
      </c>
      <c r="D8" s="384">
        <v>1372398</v>
      </c>
      <c r="E8" s="385">
        <v>0.91095839946154877</v>
      </c>
      <c r="F8" s="384">
        <v>1707552.68</v>
      </c>
      <c r="G8" s="248">
        <v>1.1334244558568856</v>
      </c>
      <c r="H8" s="384"/>
      <c r="I8" s="385"/>
      <c r="J8" s="384"/>
      <c r="K8" s="385"/>
      <c r="L8" s="384"/>
      <c r="M8" s="248"/>
      <c r="N8" s="384"/>
      <c r="O8" s="385"/>
      <c r="P8" s="384"/>
      <c r="Q8" s="385"/>
      <c r="R8" s="384"/>
      <c r="S8" s="249"/>
    </row>
    <row r="9" spans="1:19" ht="14.4" customHeight="1" x14ac:dyDescent="0.3">
      <c r="A9" s="387" t="s">
        <v>314</v>
      </c>
    </row>
    <row r="10" spans="1:19" ht="14.4" customHeight="1" x14ac:dyDescent="0.3">
      <c r="A10" s="388" t="s">
        <v>315</v>
      </c>
    </row>
    <row r="11" spans="1:19" ht="14.4" customHeight="1" x14ac:dyDescent="0.3">
      <c r="A11" s="387" t="s">
        <v>316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2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2" bestFit="1" customWidth="1"/>
    <col min="2" max="4" width="7.77734375" style="176" customWidth="1"/>
    <col min="5" max="7" width="7.77734375" style="78" customWidth="1"/>
    <col min="8" max="16384" width="8.88671875" style="102"/>
  </cols>
  <sheetData>
    <row r="1" spans="1:7" ht="18.600000000000001" customHeight="1" thickBot="1" x14ac:dyDescent="0.4">
      <c r="A1" s="297" t="s">
        <v>331</v>
      </c>
      <c r="B1" s="262"/>
      <c r="C1" s="262"/>
      <c r="D1" s="262"/>
      <c r="E1" s="262"/>
      <c r="F1" s="262"/>
      <c r="G1" s="262"/>
    </row>
    <row r="2" spans="1:7" ht="14.4" customHeight="1" thickBot="1" x14ac:dyDescent="0.35">
      <c r="A2" s="194" t="s">
        <v>190</v>
      </c>
      <c r="B2" s="83"/>
      <c r="C2" s="83"/>
      <c r="D2" s="83"/>
      <c r="E2" s="83"/>
      <c r="F2" s="83"/>
      <c r="G2" s="83"/>
    </row>
    <row r="3" spans="1:7" ht="14.4" customHeight="1" thickBot="1" x14ac:dyDescent="0.35">
      <c r="A3" s="180" t="s">
        <v>101</v>
      </c>
      <c r="B3" s="252">
        <f t="shared" ref="B3:G3" si="0">SUBTOTAL(9,B6:B1048576)</f>
        <v>4339</v>
      </c>
      <c r="C3" s="253">
        <f t="shared" si="0"/>
        <v>3651</v>
      </c>
      <c r="D3" s="253">
        <f t="shared" si="0"/>
        <v>4440</v>
      </c>
      <c r="E3" s="184">
        <f t="shared" si="0"/>
        <v>1506543</v>
      </c>
      <c r="F3" s="182">
        <f t="shared" si="0"/>
        <v>1372398</v>
      </c>
      <c r="G3" s="254">
        <f t="shared" si="0"/>
        <v>1707552.68</v>
      </c>
    </row>
    <row r="4" spans="1:7" ht="14.4" customHeight="1" x14ac:dyDescent="0.3">
      <c r="A4" s="298" t="s">
        <v>102</v>
      </c>
      <c r="B4" s="299" t="s">
        <v>159</v>
      </c>
      <c r="C4" s="300"/>
      <c r="D4" s="300"/>
      <c r="E4" s="302" t="s">
        <v>76</v>
      </c>
      <c r="F4" s="303"/>
      <c r="G4" s="304"/>
    </row>
    <row r="5" spans="1:7" ht="14.4" customHeight="1" thickBot="1" x14ac:dyDescent="0.35">
      <c r="A5" s="380"/>
      <c r="B5" s="381">
        <v>2014</v>
      </c>
      <c r="C5" s="382">
        <v>2015</v>
      </c>
      <c r="D5" s="382">
        <v>2016</v>
      </c>
      <c r="E5" s="381">
        <v>2014</v>
      </c>
      <c r="F5" s="382">
        <v>2015</v>
      </c>
      <c r="G5" s="382">
        <v>2016</v>
      </c>
    </row>
    <row r="6" spans="1:7" ht="14.4" customHeight="1" x14ac:dyDescent="0.3">
      <c r="A6" s="401" t="s">
        <v>317</v>
      </c>
      <c r="B6" s="390"/>
      <c r="C6" s="390">
        <v>53</v>
      </c>
      <c r="D6" s="390">
        <v>566</v>
      </c>
      <c r="E6" s="391"/>
      <c r="F6" s="391">
        <v>24701</v>
      </c>
      <c r="G6" s="392">
        <v>205782.68000000002</v>
      </c>
    </row>
    <row r="7" spans="1:7" ht="14.4" customHeight="1" x14ac:dyDescent="0.3">
      <c r="A7" s="402" t="s">
        <v>318</v>
      </c>
      <c r="B7" s="394">
        <v>340</v>
      </c>
      <c r="C7" s="394">
        <v>197</v>
      </c>
      <c r="D7" s="394">
        <v>181</v>
      </c>
      <c r="E7" s="395">
        <v>113371</v>
      </c>
      <c r="F7" s="395">
        <v>71097</v>
      </c>
      <c r="G7" s="396">
        <v>66627.33</v>
      </c>
    </row>
    <row r="8" spans="1:7" ht="14.4" customHeight="1" x14ac:dyDescent="0.3">
      <c r="A8" s="402" t="s">
        <v>319</v>
      </c>
      <c r="B8" s="394">
        <v>217</v>
      </c>
      <c r="C8" s="394">
        <v>168</v>
      </c>
      <c r="D8" s="394">
        <v>240</v>
      </c>
      <c r="E8" s="395">
        <v>75502</v>
      </c>
      <c r="F8" s="395">
        <v>59616</v>
      </c>
      <c r="G8" s="396">
        <v>85539.33</v>
      </c>
    </row>
    <row r="9" spans="1:7" ht="14.4" customHeight="1" x14ac:dyDescent="0.3">
      <c r="A9" s="402" t="s">
        <v>320</v>
      </c>
      <c r="B9" s="394">
        <v>599</v>
      </c>
      <c r="C9" s="394">
        <v>549</v>
      </c>
      <c r="D9" s="394">
        <v>509</v>
      </c>
      <c r="E9" s="395">
        <v>225085</v>
      </c>
      <c r="F9" s="395">
        <v>217365</v>
      </c>
      <c r="G9" s="396">
        <v>210622</v>
      </c>
    </row>
    <row r="10" spans="1:7" ht="14.4" customHeight="1" x14ac:dyDescent="0.3">
      <c r="A10" s="402" t="s">
        <v>321</v>
      </c>
      <c r="B10" s="394">
        <v>355</v>
      </c>
      <c r="C10" s="394">
        <v>410</v>
      </c>
      <c r="D10" s="394">
        <v>328</v>
      </c>
      <c r="E10" s="395">
        <v>135242</v>
      </c>
      <c r="F10" s="395">
        <v>184846</v>
      </c>
      <c r="G10" s="396">
        <v>155714</v>
      </c>
    </row>
    <row r="11" spans="1:7" ht="14.4" customHeight="1" x14ac:dyDescent="0.3">
      <c r="A11" s="402" t="s">
        <v>322</v>
      </c>
      <c r="B11" s="394">
        <v>571</v>
      </c>
      <c r="C11" s="394">
        <v>330</v>
      </c>
      <c r="D11" s="394">
        <v>578</v>
      </c>
      <c r="E11" s="395">
        <v>187792</v>
      </c>
      <c r="F11" s="395">
        <v>111466</v>
      </c>
      <c r="G11" s="396">
        <v>209033.32999999996</v>
      </c>
    </row>
    <row r="12" spans="1:7" ht="14.4" customHeight="1" x14ac:dyDescent="0.3">
      <c r="A12" s="402" t="s">
        <v>323</v>
      </c>
      <c r="B12" s="394">
        <v>551</v>
      </c>
      <c r="C12" s="394">
        <v>496</v>
      </c>
      <c r="D12" s="394">
        <v>611</v>
      </c>
      <c r="E12" s="395">
        <v>183012</v>
      </c>
      <c r="F12" s="395">
        <v>182160</v>
      </c>
      <c r="G12" s="396">
        <v>224814</v>
      </c>
    </row>
    <row r="13" spans="1:7" ht="14.4" customHeight="1" x14ac:dyDescent="0.3">
      <c r="A13" s="402" t="s">
        <v>324</v>
      </c>
      <c r="B13" s="394">
        <v>102</v>
      </c>
      <c r="C13" s="394">
        <v>109</v>
      </c>
      <c r="D13" s="394">
        <v>216</v>
      </c>
      <c r="E13" s="395">
        <v>32610</v>
      </c>
      <c r="F13" s="395">
        <v>39667</v>
      </c>
      <c r="G13" s="396">
        <v>78165.320000000007</v>
      </c>
    </row>
    <row r="14" spans="1:7" ht="14.4" customHeight="1" x14ac:dyDescent="0.3">
      <c r="A14" s="402" t="s">
        <v>325</v>
      </c>
      <c r="B14" s="394">
        <v>112</v>
      </c>
      <c r="C14" s="394">
        <v>188</v>
      </c>
      <c r="D14" s="394">
        <v>325</v>
      </c>
      <c r="E14" s="395">
        <v>40180</v>
      </c>
      <c r="F14" s="395">
        <v>60544</v>
      </c>
      <c r="G14" s="396">
        <v>114652.68</v>
      </c>
    </row>
    <row r="15" spans="1:7" ht="14.4" customHeight="1" x14ac:dyDescent="0.3">
      <c r="A15" s="402" t="s">
        <v>326</v>
      </c>
      <c r="B15" s="394">
        <v>484</v>
      </c>
      <c r="C15" s="394">
        <v>375</v>
      </c>
      <c r="D15" s="394"/>
      <c r="E15" s="395">
        <v>154454</v>
      </c>
      <c r="F15" s="395">
        <v>120113</v>
      </c>
      <c r="G15" s="396"/>
    </row>
    <row r="16" spans="1:7" ht="14.4" customHeight="1" x14ac:dyDescent="0.3">
      <c r="A16" s="402" t="s">
        <v>327</v>
      </c>
      <c r="B16" s="394">
        <v>49</v>
      </c>
      <c r="C16" s="394">
        <v>38</v>
      </c>
      <c r="D16" s="394">
        <v>48</v>
      </c>
      <c r="E16" s="395">
        <v>14912</v>
      </c>
      <c r="F16" s="395">
        <v>12274</v>
      </c>
      <c r="G16" s="396">
        <v>16608</v>
      </c>
    </row>
    <row r="17" spans="1:7" ht="14.4" customHeight="1" x14ac:dyDescent="0.3">
      <c r="A17" s="402" t="s">
        <v>328</v>
      </c>
      <c r="B17" s="394">
        <v>471</v>
      </c>
      <c r="C17" s="394">
        <v>352</v>
      </c>
      <c r="D17" s="394">
        <v>425</v>
      </c>
      <c r="E17" s="395">
        <v>168431</v>
      </c>
      <c r="F17" s="395">
        <v>141348</v>
      </c>
      <c r="G17" s="396">
        <v>171680.66999999998</v>
      </c>
    </row>
    <row r="18" spans="1:7" ht="14.4" customHeight="1" x14ac:dyDescent="0.3">
      <c r="A18" s="402" t="s">
        <v>329</v>
      </c>
      <c r="B18" s="394">
        <v>292</v>
      </c>
      <c r="C18" s="394">
        <v>254</v>
      </c>
      <c r="D18" s="394">
        <v>413</v>
      </c>
      <c r="E18" s="395">
        <v>113212</v>
      </c>
      <c r="F18" s="395">
        <v>104342</v>
      </c>
      <c r="G18" s="396">
        <v>168313.34</v>
      </c>
    </row>
    <row r="19" spans="1:7" ht="14.4" customHeight="1" thickBot="1" x14ac:dyDescent="0.35">
      <c r="A19" s="403" t="s">
        <v>330</v>
      </c>
      <c r="B19" s="398">
        <v>196</v>
      </c>
      <c r="C19" s="398">
        <v>132</v>
      </c>
      <c r="D19" s="398"/>
      <c r="E19" s="399">
        <v>62740</v>
      </c>
      <c r="F19" s="399">
        <v>42859</v>
      </c>
      <c r="G19" s="400"/>
    </row>
    <row r="20" spans="1:7" ht="14.4" customHeight="1" x14ac:dyDescent="0.3">
      <c r="A20" s="387" t="s">
        <v>314</v>
      </c>
    </row>
    <row r="21" spans="1:7" ht="14.4" customHeight="1" x14ac:dyDescent="0.3">
      <c r="A21" s="388" t="s">
        <v>315</v>
      </c>
    </row>
    <row r="22" spans="1:7" ht="14.4" customHeight="1" x14ac:dyDescent="0.3">
      <c r="A22" s="387" t="s">
        <v>316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18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2" bestFit="1" customWidth="1"/>
    <col min="2" max="2" width="6.109375" style="102" customWidth="1"/>
    <col min="3" max="3" width="2.109375" style="102" bestFit="1" customWidth="1"/>
    <col min="4" max="4" width="8" style="102" customWidth="1"/>
    <col min="5" max="5" width="50.88671875" style="102" bestFit="1" customWidth="1"/>
    <col min="6" max="7" width="11.109375" style="176" customWidth="1"/>
    <col min="8" max="9" width="9.33203125" style="102" hidden="1" customWidth="1"/>
    <col min="10" max="11" width="11.109375" style="176" customWidth="1"/>
    <col min="12" max="13" width="9.33203125" style="102" hidden="1" customWidth="1"/>
    <col min="14" max="15" width="11.109375" style="176" customWidth="1"/>
    <col min="16" max="16" width="11.109375" style="179" customWidth="1"/>
    <col min="17" max="17" width="11.109375" style="176" customWidth="1"/>
    <col min="18" max="16384" width="8.88671875" style="102"/>
  </cols>
  <sheetData>
    <row r="1" spans="1:17" ht="18.600000000000001" customHeight="1" thickBot="1" x14ac:dyDescent="0.4">
      <c r="A1" s="262" t="s">
        <v>360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</row>
    <row r="2" spans="1:17" ht="14.4" customHeight="1" thickBot="1" x14ac:dyDescent="0.35">
      <c r="A2" s="194" t="s">
        <v>190</v>
      </c>
      <c r="B2" s="257"/>
      <c r="C2" s="103"/>
      <c r="D2" s="251"/>
      <c r="E2" s="103"/>
      <c r="F2" s="188"/>
      <c r="G2" s="188"/>
      <c r="H2" s="103"/>
      <c r="I2" s="103"/>
      <c r="J2" s="188"/>
      <c r="K2" s="188"/>
      <c r="L2" s="103"/>
      <c r="M2" s="103"/>
      <c r="N2" s="188"/>
      <c r="O2" s="188"/>
      <c r="P2" s="189"/>
      <c r="Q2" s="188"/>
    </row>
    <row r="3" spans="1:17" ht="14.4" customHeight="1" thickBot="1" x14ac:dyDescent="0.35">
      <c r="E3" s="62" t="s">
        <v>101</v>
      </c>
      <c r="F3" s="74">
        <f t="shared" ref="F3:O3" si="0">SUBTOTAL(9,F6:F1048576)</f>
        <v>4339</v>
      </c>
      <c r="G3" s="75">
        <f t="shared" si="0"/>
        <v>1506543</v>
      </c>
      <c r="H3" s="57"/>
      <c r="I3" s="57"/>
      <c r="J3" s="75">
        <f t="shared" si="0"/>
        <v>3651</v>
      </c>
      <c r="K3" s="75">
        <f t="shared" si="0"/>
        <v>1372398</v>
      </c>
      <c r="L3" s="57"/>
      <c r="M3" s="57"/>
      <c r="N3" s="75">
        <f t="shared" si="0"/>
        <v>4440</v>
      </c>
      <c r="O3" s="75">
        <f t="shared" si="0"/>
        <v>1707552.68</v>
      </c>
      <c r="P3" s="58">
        <f>IF(G3=0,0,O3/G3)</f>
        <v>1.1334244558568856</v>
      </c>
      <c r="Q3" s="76">
        <f>IF(N3=0,0,O3/N3)</f>
        <v>384.58393693693694</v>
      </c>
    </row>
    <row r="4" spans="1:17" ht="14.4" customHeight="1" x14ac:dyDescent="0.3">
      <c r="A4" s="306" t="s">
        <v>72</v>
      </c>
      <c r="B4" s="313" t="s">
        <v>0</v>
      </c>
      <c r="C4" s="307" t="s">
        <v>73</v>
      </c>
      <c r="D4" s="312" t="s">
        <v>48</v>
      </c>
      <c r="E4" s="308" t="s">
        <v>47</v>
      </c>
      <c r="F4" s="309">
        <v>2014</v>
      </c>
      <c r="G4" s="310"/>
      <c r="H4" s="73"/>
      <c r="I4" s="73"/>
      <c r="J4" s="309">
        <v>2015</v>
      </c>
      <c r="K4" s="310"/>
      <c r="L4" s="73"/>
      <c r="M4" s="73"/>
      <c r="N4" s="309">
        <v>2016</v>
      </c>
      <c r="O4" s="310"/>
      <c r="P4" s="311" t="s">
        <v>2</v>
      </c>
      <c r="Q4" s="305" t="s">
        <v>75</v>
      </c>
    </row>
    <row r="5" spans="1:17" ht="14.4" customHeight="1" thickBot="1" x14ac:dyDescent="0.35">
      <c r="A5" s="404"/>
      <c r="B5" s="405"/>
      <c r="C5" s="406"/>
      <c r="D5" s="407"/>
      <c r="E5" s="408"/>
      <c r="F5" s="409" t="s">
        <v>49</v>
      </c>
      <c r="G5" s="410" t="s">
        <v>5</v>
      </c>
      <c r="H5" s="411"/>
      <c r="I5" s="411"/>
      <c r="J5" s="409" t="s">
        <v>49</v>
      </c>
      <c r="K5" s="410" t="s">
        <v>5</v>
      </c>
      <c r="L5" s="411"/>
      <c r="M5" s="411"/>
      <c r="N5" s="409" t="s">
        <v>49</v>
      </c>
      <c r="O5" s="410" t="s">
        <v>5</v>
      </c>
      <c r="P5" s="412"/>
      <c r="Q5" s="413"/>
    </row>
    <row r="6" spans="1:17" ht="14.4" customHeight="1" x14ac:dyDescent="0.3">
      <c r="A6" s="389" t="s">
        <v>332</v>
      </c>
      <c r="B6" s="414" t="s">
        <v>304</v>
      </c>
      <c r="C6" s="414" t="s">
        <v>333</v>
      </c>
      <c r="D6" s="414" t="s">
        <v>334</v>
      </c>
      <c r="E6" s="414" t="s">
        <v>335</v>
      </c>
      <c r="F6" s="390">
        <v>1</v>
      </c>
      <c r="G6" s="390">
        <v>34</v>
      </c>
      <c r="H6" s="414">
        <v>1</v>
      </c>
      <c r="I6" s="414">
        <v>34</v>
      </c>
      <c r="J6" s="390"/>
      <c r="K6" s="390"/>
      <c r="L6" s="414"/>
      <c r="M6" s="414"/>
      <c r="N6" s="390"/>
      <c r="O6" s="390"/>
      <c r="P6" s="415"/>
      <c r="Q6" s="416"/>
    </row>
    <row r="7" spans="1:17" ht="14.4" customHeight="1" x14ac:dyDescent="0.3">
      <c r="A7" s="393" t="s">
        <v>332</v>
      </c>
      <c r="B7" s="417" t="s">
        <v>304</v>
      </c>
      <c r="C7" s="417" t="s">
        <v>333</v>
      </c>
      <c r="D7" s="417" t="s">
        <v>336</v>
      </c>
      <c r="E7" s="417" t="s">
        <v>337</v>
      </c>
      <c r="F7" s="394">
        <v>29</v>
      </c>
      <c r="G7" s="394">
        <v>2010</v>
      </c>
      <c r="H7" s="417">
        <v>1</v>
      </c>
      <c r="I7" s="417">
        <v>69.310344827586206</v>
      </c>
      <c r="J7" s="394">
        <v>19</v>
      </c>
      <c r="K7" s="394">
        <v>1330</v>
      </c>
      <c r="L7" s="417">
        <v>0.6616915422885572</v>
      </c>
      <c r="M7" s="417">
        <v>70</v>
      </c>
      <c r="N7" s="394">
        <v>91</v>
      </c>
      <c r="O7" s="394">
        <v>6734</v>
      </c>
      <c r="P7" s="418">
        <v>3.3502487562189054</v>
      </c>
      <c r="Q7" s="419">
        <v>74</v>
      </c>
    </row>
    <row r="8" spans="1:17" ht="14.4" customHeight="1" x14ac:dyDescent="0.3">
      <c r="A8" s="393" t="s">
        <v>332</v>
      </c>
      <c r="B8" s="417" t="s">
        <v>304</v>
      </c>
      <c r="C8" s="417" t="s">
        <v>333</v>
      </c>
      <c r="D8" s="417" t="s">
        <v>338</v>
      </c>
      <c r="E8" s="417" t="s">
        <v>339</v>
      </c>
      <c r="F8" s="394">
        <v>2557</v>
      </c>
      <c r="G8" s="394">
        <v>817795</v>
      </c>
      <c r="H8" s="417">
        <v>1</v>
      </c>
      <c r="I8" s="417">
        <v>319.82596793116932</v>
      </c>
      <c r="J8" s="394">
        <v>2146</v>
      </c>
      <c r="K8" s="394">
        <v>693158</v>
      </c>
      <c r="L8" s="417">
        <v>0.8475938346407107</v>
      </c>
      <c r="M8" s="417">
        <v>323</v>
      </c>
      <c r="N8" s="394">
        <v>2816</v>
      </c>
      <c r="O8" s="394">
        <v>974336</v>
      </c>
      <c r="P8" s="418">
        <v>1.1914183872486381</v>
      </c>
      <c r="Q8" s="419">
        <v>346</v>
      </c>
    </row>
    <row r="9" spans="1:17" ht="14.4" customHeight="1" x14ac:dyDescent="0.3">
      <c r="A9" s="393" t="s">
        <v>332</v>
      </c>
      <c r="B9" s="417" t="s">
        <v>304</v>
      </c>
      <c r="C9" s="417" t="s">
        <v>333</v>
      </c>
      <c r="D9" s="417" t="s">
        <v>340</v>
      </c>
      <c r="E9" s="417" t="s">
        <v>341</v>
      </c>
      <c r="F9" s="394">
        <v>542</v>
      </c>
      <c r="G9" s="394">
        <v>173510</v>
      </c>
      <c r="H9" s="417">
        <v>1</v>
      </c>
      <c r="I9" s="417">
        <v>320.12915129151293</v>
      </c>
      <c r="J9" s="394">
        <v>429</v>
      </c>
      <c r="K9" s="394">
        <v>138567</v>
      </c>
      <c r="L9" s="417">
        <v>0.79861103106449194</v>
      </c>
      <c r="M9" s="417">
        <v>323</v>
      </c>
      <c r="N9" s="394">
        <v>416</v>
      </c>
      <c r="O9" s="394">
        <v>143936</v>
      </c>
      <c r="P9" s="418">
        <v>0.82955449253645319</v>
      </c>
      <c r="Q9" s="419">
        <v>346</v>
      </c>
    </row>
    <row r="10" spans="1:17" ht="14.4" customHeight="1" x14ac:dyDescent="0.3">
      <c r="A10" s="393" t="s">
        <v>332</v>
      </c>
      <c r="B10" s="417" t="s">
        <v>304</v>
      </c>
      <c r="C10" s="417" t="s">
        <v>333</v>
      </c>
      <c r="D10" s="417" t="s">
        <v>342</v>
      </c>
      <c r="E10" s="417" t="s">
        <v>343</v>
      </c>
      <c r="F10" s="394">
        <v>185</v>
      </c>
      <c r="G10" s="394">
        <v>59159</v>
      </c>
      <c r="H10" s="417">
        <v>1</v>
      </c>
      <c r="I10" s="417">
        <v>319.77837837837836</v>
      </c>
      <c r="J10" s="394">
        <v>167</v>
      </c>
      <c r="K10" s="394">
        <v>53941</v>
      </c>
      <c r="L10" s="417">
        <v>0.9117970215858956</v>
      </c>
      <c r="M10" s="417">
        <v>323</v>
      </c>
      <c r="N10" s="394">
        <v>87</v>
      </c>
      <c r="O10" s="394">
        <v>30102</v>
      </c>
      <c r="P10" s="418">
        <v>0.50883213036055375</v>
      </c>
      <c r="Q10" s="419">
        <v>346</v>
      </c>
    </row>
    <row r="11" spans="1:17" ht="14.4" customHeight="1" x14ac:dyDescent="0.3">
      <c r="A11" s="393" t="s">
        <v>332</v>
      </c>
      <c r="B11" s="417" t="s">
        <v>304</v>
      </c>
      <c r="C11" s="417" t="s">
        <v>333</v>
      </c>
      <c r="D11" s="417" t="s">
        <v>344</v>
      </c>
      <c r="E11" s="417" t="s">
        <v>345</v>
      </c>
      <c r="F11" s="394">
        <v>1</v>
      </c>
      <c r="G11" s="394">
        <v>0</v>
      </c>
      <c r="H11" s="417"/>
      <c r="I11" s="417">
        <v>0</v>
      </c>
      <c r="J11" s="394"/>
      <c r="K11" s="394"/>
      <c r="L11" s="417"/>
      <c r="M11" s="417"/>
      <c r="N11" s="394"/>
      <c r="O11" s="394"/>
      <c r="P11" s="418"/>
      <c r="Q11" s="419"/>
    </row>
    <row r="12" spans="1:17" ht="14.4" customHeight="1" x14ac:dyDescent="0.3">
      <c r="A12" s="393" t="s">
        <v>332</v>
      </c>
      <c r="B12" s="417" t="s">
        <v>304</v>
      </c>
      <c r="C12" s="417" t="s">
        <v>333</v>
      </c>
      <c r="D12" s="417" t="s">
        <v>346</v>
      </c>
      <c r="E12" s="417" t="s">
        <v>347</v>
      </c>
      <c r="F12" s="394">
        <v>180</v>
      </c>
      <c r="G12" s="394">
        <v>0</v>
      </c>
      <c r="H12" s="417"/>
      <c r="I12" s="417">
        <v>0</v>
      </c>
      <c r="J12" s="394"/>
      <c r="K12" s="394"/>
      <c r="L12" s="417"/>
      <c r="M12" s="417"/>
      <c r="N12" s="394">
        <v>83</v>
      </c>
      <c r="O12" s="394">
        <v>2766.6800000000003</v>
      </c>
      <c r="P12" s="418"/>
      <c r="Q12" s="419">
        <v>33.333493975903615</v>
      </c>
    </row>
    <row r="13" spans="1:17" ht="14.4" customHeight="1" x14ac:dyDescent="0.3">
      <c r="A13" s="393" t="s">
        <v>332</v>
      </c>
      <c r="B13" s="417" t="s">
        <v>304</v>
      </c>
      <c r="C13" s="417" t="s">
        <v>333</v>
      </c>
      <c r="D13" s="417" t="s">
        <v>348</v>
      </c>
      <c r="E13" s="417" t="s">
        <v>349</v>
      </c>
      <c r="F13" s="394">
        <v>196</v>
      </c>
      <c r="G13" s="394">
        <v>105676</v>
      </c>
      <c r="H13" s="417">
        <v>1</v>
      </c>
      <c r="I13" s="417">
        <v>539.16326530612241</v>
      </c>
      <c r="J13" s="394">
        <v>260</v>
      </c>
      <c r="K13" s="394">
        <v>141960</v>
      </c>
      <c r="L13" s="417">
        <v>1.3433513759037057</v>
      </c>
      <c r="M13" s="417">
        <v>546</v>
      </c>
      <c r="N13" s="394">
        <v>481</v>
      </c>
      <c r="O13" s="394">
        <v>278980</v>
      </c>
      <c r="P13" s="418">
        <v>2.6399560922063667</v>
      </c>
      <c r="Q13" s="419">
        <v>580</v>
      </c>
    </row>
    <row r="14" spans="1:17" ht="14.4" customHeight="1" x14ac:dyDescent="0.3">
      <c r="A14" s="393" t="s">
        <v>332</v>
      </c>
      <c r="B14" s="417" t="s">
        <v>304</v>
      </c>
      <c r="C14" s="417" t="s">
        <v>333</v>
      </c>
      <c r="D14" s="417" t="s">
        <v>350</v>
      </c>
      <c r="E14" s="417" t="s">
        <v>351</v>
      </c>
      <c r="F14" s="394">
        <v>390</v>
      </c>
      <c r="G14" s="394">
        <v>210732</v>
      </c>
      <c r="H14" s="417">
        <v>1</v>
      </c>
      <c r="I14" s="417">
        <v>540.3384615384615</v>
      </c>
      <c r="J14" s="394">
        <v>285</v>
      </c>
      <c r="K14" s="394">
        <v>155895</v>
      </c>
      <c r="L14" s="417">
        <v>0.73977848641876887</v>
      </c>
      <c r="M14" s="417">
        <v>547</v>
      </c>
      <c r="N14" s="394">
        <v>219</v>
      </c>
      <c r="O14" s="394">
        <v>127239</v>
      </c>
      <c r="P14" s="418">
        <v>0.603795341950914</v>
      </c>
      <c r="Q14" s="419">
        <v>581</v>
      </c>
    </row>
    <row r="15" spans="1:17" ht="14.4" customHeight="1" x14ac:dyDescent="0.3">
      <c r="A15" s="393" t="s">
        <v>332</v>
      </c>
      <c r="B15" s="417" t="s">
        <v>304</v>
      </c>
      <c r="C15" s="417" t="s">
        <v>333</v>
      </c>
      <c r="D15" s="417" t="s">
        <v>352</v>
      </c>
      <c r="E15" s="417" t="s">
        <v>353</v>
      </c>
      <c r="F15" s="394">
        <v>3</v>
      </c>
      <c r="G15" s="394">
        <v>816</v>
      </c>
      <c r="H15" s="417">
        <v>1</v>
      </c>
      <c r="I15" s="417">
        <v>272</v>
      </c>
      <c r="J15" s="394">
        <v>4</v>
      </c>
      <c r="K15" s="394">
        <v>1092</v>
      </c>
      <c r="L15" s="417">
        <v>1.338235294117647</v>
      </c>
      <c r="M15" s="417">
        <v>273</v>
      </c>
      <c r="N15" s="394"/>
      <c r="O15" s="394"/>
      <c r="P15" s="418"/>
      <c r="Q15" s="419"/>
    </row>
    <row r="16" spans="1:17" ht="14.4" customHeight="1" x14ac:dyDescent="0.3">
      <c r="A16" s="393" t="s">
        <v>332</v>
      </c>
      <c r="B16" s="417" t="s">
        <v>304</v>
      </c>
      <c r="C16" s="417" t="s">
        <v>333</v>
      </c>
      <c r="D16" s="417" t="s">
        <v>354</v>
      </c>
      <c r="E16" s="417" t="s">
        <v>355</v>
      </c>
      <c r="F16" s="394">
        <v>145</v>
      </c>
      <c r="G16" s="394">
        <v>78395</v>
      </c>
      <c r="H16" s="417">
        <v>1</v>
      </c>
      <c r="I16" s="417">
        <v>540.65517241379314</v>
      </c>
      <c r="J16" s="394">
        <v>269</v>
      </c>
      <c r="K16" s="394">
        <v>147143</v>
      </c>
      <c r="L16" s="417">
        <v>1.876943682632821</v>
      </c>
      <c r="M16" s="417">
        <v>547</v>
      </c>
      <c r="N16" s="394">
        <v>199</v>
      </c>
      <c r="O16" s="394">
        <v>115619</v>
      </c>
      <c r="P16" s="418">
        <v>1.4748262006505517</v>
      </c>
      <c r="Q16" s="419">
        <v>581</v>
      </c>
    </row>
    <row r="17" spans="1:17" ht="14.4" customHeight="1" x14ac:dyDescent="0.3">
      <c r="A17" s="393" t="s">
        <v>332</v>
      </c>
      <c r="B17" s="417" t="s">
        <v>304</v>
      </c>
      <c r="C17" s="417" t="s">
        <v>333</v>
      </c>
      <c r="D17" s="417" t="s">
        <v>356</v>
      </c>
      <c r="E17" s="417" t="s">
        <v>357</v>
      </c>
      <c r="F17" s="394">
        <v>106</v>
      </c>
      <c r="G17" s="394">
        <v>57340</v>
      </c>
      <c r="H17" s="417">
        <v>1</v>
      </c>
      <c r="I17" s="417">
        <v>540.94339622641508</v>
      </c>
      <c r="J17" s="394">
        <v>72</v>
      </c>
      <c r="K17" s="394">
        <v>39312</v>
      </c>
      <c r="L17" s="417">
        <v>0.68559469829089636</v>
      </c>
      <c r="M17" s="417">
        <v>546</v>
      </c>
      <c r="N17" s="394">
        <v>48</v>
      </c>
      <c r="O17" s="394">
        <v>27840</v>
      </c>
      <c r="P17" s="418">
        <v>0.48552493896058596</v>
      </c>
      <c r="Q17" s="419">
        <v>580</v>
      </c>
    </row>
    <row r="18" spans="1:17" ht="14.4" customHeight="1" thickBot="1" x14ac:dyDescent="0.35">
      <c r="A18" s="397" t="s">
        <v>332</v>
      </c>
      <c r="B18" s="420" t="s">
        <v>304</v>
      </c>
      <c r="C18" s="420" t="s">
        <v>333</v>
      </c>
      <c r="D18" s="420" t="s">
        <v>358</v>
      </c>
      <c r="E18" s="420" t="s">
        <v>359</v>
      </c>
      <c r="F18" s="398">
        <v>4</v>
      </c>
      <c r="G18" s="398">
        <v>1076</v>
      </c>
      <c r="H18" s="420">
        <v>1</v>
      </c>
      <c r="I18" s="420">
        <v>269</v>
      </c>
      <c r="J18" s="398"/>
      <c r="K18" s="398"/>
      <c r="L18" s="420"/>
      <c r="M18" s="420"/>
      <c r="N18" s="398"/>
      <c r="O18" s="398"/>
      <c r="P18" s="421"/>
      <c r="Q18" s="422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0.10937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79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79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79" customWidth="1"/>
    <col min="20" max="16384" width="8.88671875" style="102"/>
  </cols>
  <sheetData>
    <row r="1" spans="1:19" ht="18.600000000000001" customHeight="1" thickBot="1" x14ac:dyDescent="0.4">
      <c r="A1" s="271" t="s">
        <v>100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</row>
    <row r="2" spans="1:19" ht="14.4" customHeight="1" thickBot="1" x14ac:dyDescent="0.35">
      <c r="A2" s="194" t="s">
        <v>190</v>
      </c>
      <c r="B2" s="186"/>
      <c r="C2" s="83"/>
      <c r="D2" s="186"/>
      <c r="E2" s="83"/>
      <c r="F2" s="186"/>
      <c r="G2" s="187"/>
      <c r="H2" s="186"/>
      <c r="I2" s="83"/>
      <c r="J2" s="186"/>
      <c r="K2" s="83"/>
      <c r="L2" s="186"/>
      <c r="M2" s="187"/>
      <c r="N2" s="186"/>
      <c r="O2" s="83"/>
      <c r="P2" s="186"/>
      <c r="Q2" s="83"/>
      <c r="R2" s="186"/>
      <c r="S2" s="187"/>
    </row>
    <row r="3" spans="1:19" ht="14.4" customHeight="1" thickBot="1" x14ac:dyDescent="0.35">
      <c r="A3" s="180" t="s">
        <v>101</v>
      </c>
      <c r="B3" s="181">
        <f>SUBTOTAL(9,B6:B1048576)</f>
        <v>1349989</v>
      </c>
      <c r="C3" s="182">
        <f t="shared" ref="C3:R3" si="0">SUBTOTAL(9,C6:C1048576)</f>
        <v>22</v>
      </c>
      <c r="D3" s="182">
        <f t="shared" si="0"/>
        <v>1736592</v>
      </c>
      <c r="E3" s="182">
        <f t="shared" si="0"/>
        <v>49.259289066749993</v>
      </c>
      <c r="F3" s="182">
        <f t="shared" si="0"/>
        <v>1825501</v>
      </c>
      <c r="G3" s="185">
        <f>IF(B3&lt;&gt;0,F3/B3,"")</f>
        <v>1.3522339811657724</v>
      </c>
      <c r="H3" s="181">
        <f t="shared" si="0"/>
        <v>0</v>
      </c>
      <c r="I3" s="182">
        <f t="shared" si="0"/>
        <v>0</v>
      </c>
      <c r="J3" s="182">
        <f t="shared" si="0"/>
        <v>0</v>
      </c>
      <c r="K3" s="182">
        <f t="shared" si="0"/>
        <v>0</v>
      </c>
      <c r="L3" s="182">
        <f t="shared" si="0"/>
        <v>0</v>
      </c>
      <c r="M3" s="183" t="str">
        <f>IF(H3&lt;&gt;0,L3/H3,"")</f>
        <v/>
      </c>
      <c r="N3" s="184">
        <f t="shared" si="0"/>
        <v>0</v>
      </c>
      <c r="O3" s="182">
        <f t="shared" si="0"/>
        <v>0</v>
      </c>
      <c r="P3" s="182">
        <f t="shared" si="0"/>
        <v>0</v>
      </c>
      <c r="Q3" s="182">
        <f t="shared" si="0"/>
        <v>0</v>
      </c>
      <c r="R3" s="182">
        <f t="shared" si="0"/>
        <v>0</v>
      </c>
      <c r="S3" s="183" t="str">
        <f>IF(N3&lt;&gt;0,R3/N3,"")</f>
        <v/>
      </c>
    </row>
    <row r="4" spans="1:19" ht="14.4" customHeight="1" x14ac:dyDescent="0.3">
      <c r="A4" s="298" t="s">
        <v>82</v>
      </c>
      <c r="B4" s="299" t="s">
        <v>76</v>
      </c>
      <c r="C4" s="300"/>
      <c r="D4" s="300"/>
      <c r="E4" s="300"/>
      <c r="F4" s="300"/>
      <c r="G4" s="301"/>
      <c r="H4" s="299" t="s">
        <v>77</v>
      </c>
      <c r="I4" s="300"/>
      <c r="J4" s="300"/>
      <c r="K4" s="300"/>
      <c r="L4" s="300"/>
      <c r="M4" s="301"/>
      <c r="N4" s="299" t="s">
        <v>78</v>
      </c>
      <c r="O4" s="300"/>
      <c r="P4" s="300"/>
      <c r="Q4" s="300"/>
      <c r="R4" s="300"/>
      <c r="S4" s="301"/>
    </row>
    <row r="5" spans="1:19" ht="14.4" customHeight="1" thickBot="1" x14ac:dyDescent="0.35">
      <c r="A5" s="380"/>
      <c r="B5" s="381">
        <v>2014</v>
      </c>
      <c r="C5" s="382"/>
      <c r="D5" s="382">
        <v>2015</v>
      </c>
      <c r="E5" s="382"/>
      <c r="F5" s="382">
        <v>2016</v>
      </c>
      <c r="G5" s="383" t="s">
        <v>2</v>
      </c>
      <c r="H5" s="381">
        <v>2014</v>
      </c>
      <c r="I5" s="382"/>
      <c r="J5" s="382">
        <v>2015</v>
      </c>
      <c r="K5" s="382"/>
      <c r="L5" s="382">
        <v>2016</v>
      </c>
      <c r="M5" s="383" t="s">
        <v>2</v>
      </c>
      <c r="N5" s="381">
        <v>2014</v>
      </c>
      <c r="O5" s="382"/>
      <c r="P5" s="382">
        <v>2015</v>
      </c>
      <c r="Q5" s="382"/>
      <c r="R5" s="382">
        <v>2016</v>
      </c>
      <c r="S5" s="383" t="s">
        <v>2</v>
      </c>
    </row>
    <row r="6" spans="1:19" ht="14.4" customHeight="1" x14ac:dyDescent="0.3">
      <c r="A6" s="401" t="s">
        <v>361</v>
      </c>
      <c r="B6" s="391">
        <v>18550</v>
      </c>
      <c r="C6" s="414">
        <v>1</v>
      </c>
      <c r="D6" s="391">
        <v>9044</v>
      </c>
      <c r="E6" s="414">
        <v>0.48754716981132074</v>
      </c>
      <c r="F6" s="391">
        <v>20068</v>
      </c>
      <c r="G6" s="415">
        <v>1.081832884097035</v>
      </c>
      <c r="H6" s="391"/>
      <c r="I6" s="414"/>
      <c r="J6" s="391"/>
      <c r="K6" s="414"/>
      <c r="L6" s="391"/>
      <c r="M6" s="415"/>
      <c r="N6" s="391"/>
      <c r="O6" s="414"/>
      <c r="P6" s="391"/>
      <c r="Q6" s="414"/>
      <c r="R6" s="391"/>
      <c r="S6" s="423"/>
    </row>
    <row r="7" spans="1:19" ht="14.4" customHeight="1" x14ac:dyDescent="0.3">
      <c r="A7" s="402" t="s">
        <v>362</v>
      </c>
      <c r="B7" s="395">
        <v>1914</v>
      </c>
      <c r="C7" s="417">
        <v>1</v>
      </c>
      <c r="D7" s="395">
        <v>2584</v>
      </c>
      <c r="E7" s="417">
        <v>1.3500522466039708</v>
      </c>
      <c r="F7" s="395">
        <v>5536</v>
      </c>
      <c r="G7" s="418">
        <v>2.8923719958202718</v>
      </c>
      <c r="H7" s="395"/>
      <c r="I7" s="417"/>
      <c r="J7" s="395"/>
      <c r="K7" s="417"/>
      <c r="L7" s="395"/>
      <c r="M7" s="418"/>
      <c r="N7" s="395"/>
      <c r="O7" s="417"/>
      <c r="P7" s="395"/>
      <c r="Q7" s="417"/>
      <c r="R7" s="395"/>
      <c r="S7" s="424"/>
    </row>
    <row r="8" spans="1:19" ht="14.4" customHeight="1" x14ac:dyDescent="0.3">
      <c r="A8" s="402" t="s">
        <v>363</v>
      </c>
      <c r="B8" s="395">
        <v>57234</v>
      </c>
      <c r="C8" s="417">
        <v>1</v>
      </c>
      <c r="D8" s="395">
        <v>65137</v>
      </c>
      <c r="E8" s="417">
        <v>1.1380822587972184</v>
      </c>
      <c r="F8" s="395">
        <v>111660</v>
      </c>
      <c r="G8" s="418">
        <v>1.9509382534856903</v>
      </c>
      <c r="H8" s="395"/>
      <c r="I8" s="417"/>
      <c r="J8" s="395"/>
      <c r="K8" s="417"/>
      <c r="L8" s="395"/>
      <c r="M8" s="418"/>
      <c r="N8" s="395"/>
      <c r="O8" s="417"/>
      <c r="P8" s="395"/>
      <c r="Q8" s="417"/>
      <c r="R8" s="395"/>
      <c r="S8" s="424"/>
    </row>
    <row r="9" spans="1:19" ht="14.4" customHeight="1" x14ac:dyDescent="0.3">
      <c r="A9" s="402" t="s">
        <v>364</v>
      </c>
      <c r="B9" s="395">
        <v>19188</v>
      </c>
      <c r="C9" s="417">
        <v>1</v>
      </c>
      <c r="D9" s="395">
        <v>47804</v>
      </c>
      <c r="E9" s="417">
        <v>2.4913487596414425</v>
      </c>
      <c r="F9" s="395">
        <v>25604</v>
      </c>
      <c r="G9" s="418">
        <v>1.3343756514488221</v>
      </c>
      <c r="H9" s="395"/>
      <c r="I9" s="417"/>
      <c r="J9" s="395"/>
      <c r="K9" s="417"/>
      <c r="L9" s="395"/>
      <c r="M9" s="418"/>
      <c r="N9" s="395"/>
      <c r="O9" s="417"/>
      <c r="P9" s="395"/>
      <c r="Q9" s="417"/>
      <c r="R9" s="395"/>
      <c r="S9" s="424"/>
    </row>
    <row r="10" spans="1:19" ht="14.4" customHeight="1" x14ac:dyDescent="0.3">
      <c r="A10" s="402" t="s">
        <v>365</v>
      </c>
      <c r="B10" s="395">
        <v>7018</v>
      </c>
      <c r="C10" s="417">
        <v>1</v>
      </c>
      <c r="D10" s="395">
        <v>7752</v>
      </c>
      <c r="E10" s="417">
        <v>1.1045882017668851</v>
      </c>
      <c r="F10" s="395">
        <v>1384</v>
      </c>
      <c r="G10" s="418">
        <v>0.19720718153320035</v>
      </c>
      <c r="H10" s="395"/>
      <c r="I10" s="417"/>
      <c r="J10" s="395"/>
      <c r="K10" s="417"/>
      <c r="L10" s="395"/>
      <c r="M10" s="418"/>
      <c r="N10" s="395"/>
      <c r="O10" s="417"/>
      <c r="P10" s="395"/>
      <c r="Q10" s="417"/>
      <c r="R10" s="395"/>
      <c r="S10" s="424"/>
    </row>
    <row r="11" spans="1:19" ht="14.4" customHeight="1" x14ac:dyDescent="0.3">
      <c r="A11" s="402" t="s">
        <v>366</v>
      </c>
      <c r="B11" s="395">
        <v>2576</v>
      </c>
      <c r="C11" s="417">
        <v>1</v>
      </c>
      <c r="D11" s="395"/>
      <c r="E11" s="417"/>
      <c r="F11" s="395"/>
      <c r="G11" s="418"/>
      <c r="H11" s="395"/>
      <c r="I11" s="417"/>
      <c r="J11" s="395"/>
      <c r="K11" s="417"/>
      <c r="L11" s="395"/>
      <c r="M11" s="418"/>
      <c r="N11" s="395"/>
      <c r="O11" s="417"/>
      <c r="P11" s="395"/>
      <c r="Q11" s="417"/>
      <c r="R11" s="395"/>
      <c r="S11" s="424"/>
    </row>
    <row r="12" spans="1:19" ht="14.4" customHeight="1" x14ac:dyDescent="0.3">
      <c r="A12" s="402" t="s">
        <v>367</v>
      </c>
      <c r="B12" s="395"/>
      <c r="C12" s="417"/>
      <c r="D12" s="395">
        <v>1292</v>
      </c>
      <c r="E12" s="417"/>
      <c r="F12" s="395">
        <v>1038</v>
      </c>
      <c r="G12" s="418"/>
      <c r="H12" s="395"/>
      <c r="I12" s="417"/>
      <c r="J12" s="395"/>
      <c r="K12" s="417"/>
      <c r="L12" s="395"/>
      <c r="M12" s="418"/>
      <c r="N12" s="395"/>
      <c r="O12" s="417"/>
      <c r="P12" s="395"/>
      <c r="Q12" s="417"/>
      <c r="R12" s="395"/>
      <c r="S12" s="424"/>
    </row>
    <row r="13" spans="1:19" ht="14.4" customHeight="1" x14ac:dyDescent="0.3">
      <c r="A13" s="402" t="s">
        <v>368</v>
      </c>
      <c r="B13" s="395">
        <v>190917</v>
      </c>
      <c r="C13" s="417">
        <v>1</v>
      </c>
      <c r="D13" s="395">
        <v>196384</v>
      </c>
      <c r="E13" s="417">
        <v>1.028635480339624</v>
      </c>
      <c r="F13" s="395">
        <v>240124</v>
      </c>
      <c r="G13" s="418">
        <v>1.2577402745695774</v>
      </c>
      <c r="H13" s="395"/>
      <c r="I13" s="417"/>
      <c r="J13" s="395"/>
      <c r="K13" s="417"/>
      <c r="L13" s="395"/>
      <c r="M13" s="418"/>
      <c r="N13" s="395"/>
      <c r="O13" s="417"/>
      <c r="P13" s="395"/>
      <c r="Q13" s="417"/>
      <c r="R13" s="395"/>
      <c r="S13" s="424"/>
    </row>
    <row r="14" spans="1:19" ht="14.4" customHeight="1" x14ac:dyDescent="0.3">
      <c r="A14" s="402" t="s">
        <v>369</v>
      </c>
      <c r="B14" s="395">
        <v>2552</v>
      </c>
      <c r="C14" s="417">
        <v>1</v>
      </c>
      <c r="D14" s="395"/>
      <c r="E14" s="417"/>
      <c r="F14" s="395">
        <v>1384</v>
      </c>
      <c r="G14" s="418">
        <v>0.54231974921630099</v>
      </c>
      <c r="H14" s="395"/>
      <c r="I14" s="417"/>
      <c r="J14" s="395"/>
      <c r="K14" s="417"/>
      <c r="L14" s="395"/>
      <c r="M14" s="418"/>
      <c r="N14" s="395"/>
      <c r="O14" s="417"/>
      <c r="P14" s="395"/>
      <c r="Q14" s="417"/>
      <c r="R14" s="395"/>
      <c r="S14" s="424"/>
    </row>
    <row r="15" spans="1:19" ht="14.4" customHeight="1" x14ac:dyDescent="0.3">
      <c r="A15" s="402" t="s">
        <v>370</v>
      </c>
      <c r="B15" s="395">
        <v>203395</v>
      </c>
      <c r="C15" s="417">
        <v>1</v>
      </c>
      <c r="D15" s="395">
        <v>208953</v>
      </c>
      <c r="E15" s="417">
        <v>1.0273261387939723</v>
      </c>
      <c r="F15" s="395">
        <v>212265</v>
      </c>
      <c r="G15" s="418">
        <v>1.0436097249194916</v>
      </c>
      <c r="H15" s="395"/>
      <c r="I15" s="417"/>
      <c r="J15" s="395"/>
      <c r="K15" s="417"/>
      <c r="L15" s="395"/>
      <c r="M15" s="418"/>
      <c r="N15" s="395"/>
      <c r="O15" s="417"/>
      <c r="P15" s="395"/>
      <c r="Q15" s="417"/>
      <c r="R15" s="395"/>
      <c r="S15" s="424"/>
    </row>
    <row r="16" spans="1:19" ht="14.4" customHeight="1" x14ac:dyDescent="0.3">
      <c r="A16" s="402" t="s">
        <v>371</v>
      </c>
      <c r="B16" s="395"/>
      <c r="C16" s="417"/>
      <c r="D16" s="395">
        <v>15504</v>
      </c>
      <c r="E16" s="417"/>
      <c r="F16" s="395">
        <v>4152</v>
      </c>
      <c r="G16" s="418"/>
      <c r="H16" s="395"/>
      <c r="I16" s="417"/>
      <c r="J16" s="395"/>
      <c r="K16" s="417"/>
      <c r="L16" s="395"/>
      <c r="M16" s="418"/>
      <c r="N16" s="395"/>
      <c r="O16" s="417"/>
      <c r="P16" s="395"/>
      <c r="Q16" s="417"/>
      <c r="R16" s="395"/>
      <c r="S16" s="424"/>
    </row>
    <row r="17" spans="1:19" ht="14.4" customHeight="1" x14ac:dyDescent="0.3">
      <c r="A17" s="402" t="s">
        <v>372</v>
      </c>
      <c r="B17" s="395"/>
      <c r="C17" s="417"/>
      <c r="D17" s="395">
        <v>15504</v>
      </c>
      <c r="E17" s="417"/>
      <c r="F17" s="395">
        <v>7612</v>
      </c>
      <c r="G17" s="418"/>
      <c r="H17" s="395"/>
      <c r="I17" s="417"/>
      <c r="J17" s="395"/>
      <c r="K17" s="417"/>
      <c r="L17" s="395"/>
      <c r="M17" s="418"/>
      <c r="N17" s="395"/>
      <c r="O17" s="417"/>
      <c r="P17" s="395"/>
      <c r="Q17" s="417"/>
      <c r="R17" s="395"/>
      <c r="S17" s="424"/>
    </row>
    <row r="18" spans="1:19" ht="14.4" customHeight="1" x14ac:dyDescent="0.3">
      <c r="A18" s="402" t="s">
        <v>373</v>
      </c>
      <c r="B18" s="395"/>
      <c r="C18" s="417"/>
      <c r="D18" s="395">
        <v>25840</v>
      </c>
      <c r="E18" s="417"/>
      <c r="F18" s="395">
        <v>22144</v>
      </c>
      <c r="G18" s="418"/>
      <c r="H18" s="395"/>
      <c r="I18" s="417"/>
      <c r="J18" s="395"/>
      <c r="K18" s="417"/>
      <c r="L18" s="395"/>
      <c r="M18" s="418"/>
      <c r="N18" s="395"/>
      <c r="O18" s="417"/>
      <c r="P18" s="395"/>
      <c r="Q18" s="417"/>
      <c r="R18" s="395"/>
      <c r="S18" s="424"/>
    </row>
    <row r="19" spans="1:19" ht="14.4" customHeight="1" x14ac:dyDescent="0.3">
      <c r="A19" s="402" t="s">
        <v>374</v>
      </c>
      <c r="B19" s="395">
        <v>966</v>
      </c>
      <c r="C19" s="417">
        <v>1</v>
      </c>
      <c r="D19" s="395"/>
      <c r="E19" s="417"/>
      <c r="F19" s="395"/>
      <c r="G19" s="418"/>
      <c r="H19" s="395"/>
      <c r="I19" s="417"/>
      <c r="J19" s="395"/>
      <c r="K19" s="417"/>
      <c r="L19" s="395"/>
      <c r="M19" s="418"/>
      <c r="N19" s="395"/>
      <c r="O19" s="417"/>
      <c r="P19" s="395"/>
      <c r="Q19" s="417"/>
      <c r="R19" s="395"/>
      <c r="S19" s="424"/>
    </row>
    <row r="20" spans="1:19" ht="14.4" customHeight="1" x14ac:dyDescent="0.3">
      <c r="A20" s="402" t="s">
        <v>375</v>
      </c>
      <c r="B20" s="395">
        <v>271663</v>
      </c>
      <c r="C20" s="417">
        <v>1</v>
      </c>
      <c r="D20" s="395">
        <v>271958</v>
      </c>
      <c r="E20" s="417">
        <v>1.0010859042269282</v>
      </c>
      <c r="F20" s="395">
        <v>137786</v>
      </c>
      <c r="G20" s="418">
        <v>0.50719457563230919</v>
      </c>
      <c r="H20" s="395"/>
      <c r="I20" s="417"/>
      <c r="J20" s="395"/>
      <c r="K20" s="417"/>
      <c r="L20" s="395"/>
      <c r="M20" s="418"/>
      <c r="N20" s="395"/>
      <c r="O20" s="417"/>
      <c r="P20" s="395"/>
      <c r="Q20" s="417"/>
      <c r="R20" s="395"/>
      <c r="S20" s="424"/>
    </row>
    <row r="21" spans="1:19" ht="14.4" customHeight="1" x14ac:dyDescent="0.3">
      <c r="A21" s="402" t="s">
        <v>376</v>
      </c>
      <c r="B21" s="395">
        <v>258822</v>
      </c>
      <c r="C21" s="417">
        <v>1</v>
      </c>
      <c r="D21" s="395">
        <v>344273</v>
      </c>
      <c r="E21" s="417">
        <v>1.3301535418163835</v>
      </c>
      <c r="F21" s="395">
        <v>329380</v>
      </c>
      <c r="G21" s="418">
        <v>1.2726120654349322</v>
      </c>
      <c r="H21" s="395"/>
      <c r="I21" s="417"/>
      <c r="J21" s="395"/>
      <c r="K21" s="417"/>
      <c r="L21" s="395"/>
      <c r="M21" s="418"/>
      <c r="N21" s="395"/>
      <c r="O21" s="417"/>
      <c r="P21" s="395"/>
      <c r="Q21" s="417"/>
      <c r="R21" s="395"/>
      <c r="S21" s="424"/>
    </row>
    <row r="22" spans="1:19" ht="14.4" customHeight="1" x14ac:dyDescent="0.3">
      <c r="A22" s="402" t="s">
        <v>377</v>
      </c>
      <c r="B22" s="395">
        <v>1288</v>
      </c>
      <c r="C22" s="417">
        <v>1</v>
      </c>
      <c r="D22" s="395">
        <v>19087</v>
      </c>
      <c r="E22" s="417">
        <v>14.819099378881987</v>
      </c>
      <c r="F22" s="395">
        <v>1384</v>
      </c>
      <c r="G22" s="418">
        <v>1.0745341614906831</v>
      </c>
      <c r="H22" s="395"/>
      <c r="I22" s="417"/>
      <c r="J22" s="395"/>
      <c r="K22" s="417"/>
      <c r="L22" s="395"/>
      <c r="M22" s="418"/>
      <c r="N22" s="395"/>
      <c r="O22" s="417"/>
      <c r="P22" s="395"/>
      <c r="Q22" s="417"/>
      <c r="R22" s="395"/>
      <c r="S22" s="424"/>
    </row>
    <row r="23" spans="1:19" ht="14.4" customHeight="1" x14ac:dyDescent="0.3">
      <c r="A23" s="402" t="s">
        <v>378</v>
      </c>
      <c r="B23" s="395">
        <v>8580</v>
      </c>
      <c r="C23" s="417">
        <v>1</v>
      </c>
      <c r="D23" s="395">
        <v>6460</v>
      </c>
      <c r="E23" s="417">
        <v>0.75291375291375295</v>
      </c>
      <c r="F23" s="395">
        <v>15250</v>
      </c>
      <c r="G23" s="418">
        <v>1.7773892773892774</v>
      </c>
      <c r="H23" s="395"/>
      <c r="I23" s="417"/>
      <c r="J23" s="395"/>
      <c r="K23" s="417"/>
      <c r="L23" s="395"/>
      <c r="M23" s="418"/>
      <c r="N23" s="395"/>
      <c r="O23" s="417"/>
      <c r="P23" s="395"/>
      <c r="Q23" s="417"/>
      <c r="R23" s="395"/>
      <c r="S23" s="424"/>
    </row>
    <row r="24" spans="1:19" ht="14.4" customHeight="1" x14ac:dyDescent="0.3">
      <c r="A24" s="402" t="s">
        <v>379</v>
      </c>
      <c r="B24" s="395">
        <v>88976</v>
      </c>
      <c r="C24" s="417">
        <v>1</v>
      </c>
      <c r="D24" s="395">
        <v>73642</v>
      </c>
      <c r="E24" s="417">
        <v>0.82766139183600074</v>
      </c>
      <c r="F24" s="395">
        <v>229052</v>
      </c>
      <c r="G24" s="418">
        <v>2.5743121740694122</v>
      </c>
      <c r="H24" s="395"/>
      <c r="I24" s="417"/>
      <c r="J24" s="395"/>
      <c r="K24" s="417"/>
      <c r="L24" s="395"/>
      <c r="M24" s="418"/>
      <c r="N24" s="395"/>
      <c r="O24" s="417"/>
      <c r="P24" s="395"/>
      <c r="Q24" s="417"/>
      <c r="R24" s="395"/>
      <c r="S24" s="424"/>
    </row>
    <row r="25" spans="1:19" ht="14.4" customHeight="1" x14ac:dyDescent="0.3">
      <c r="A25" s="402" t="s">
        <v>380</v>
      </c>
      <c r="B25" s="395">
        <v>5104</v>
      </c>
      <c r="C25" s="417">
        <v>1</v>
      </c>
      <c r="D25" s="395">
        <v>10336</v>
      </c>
      <c r="E25" s="417">
        <v>2.0250783699059562</v>
      </c>
      <c r="F25" s="395"/>
      <c r="G25" s="418"/>
      <c r="H25" s="395"/>
      <c r="I25" s="417"/>
      <c r="J25" s="395"/>
      <c r="K25" s="417"/>
      <c r="L25" s="395"/>
      <c r="M25" s="418"/>
      <c r="N25" s="395"/>
      <c r="O25" s="417"/>
      <c r="P25" s="395"/>
      <c r="Q25" s="417"/>
      <c r="R25" s="395"/>
      <c r="S25" s="424"/>
    </row>
    <row r="26" spans="1:19" ht="14.4" customHeight="1" x14ac:dyDescent="0.3">
      <c r="A26" s="402" t="s">
        <v>381</v>
      </c>
      <c r="B26" s="395">
        <v>10320</v>
      </c>
      <c r="C26" s="417">
        <v>1</v>
      </c>
      <c r="D26" s="395">
        <v>70752</v>
      </c>
      <c r="E26" s="417">
        <v>6.8558139534883722</v>
      </c>
      <c r="F26" s="395">
        <v>91516</v>
      </c>
      <c r="G26" s="418">
        <v>8.8678294573643406</v>
      </c>
      <c r="H26" s="395"/>
      <c r="I26" s="417"/>
      <c r="J26" s="395"/>
      <c r="K26" s="417"/>
      <c r="L26" s="395"/>
      <c r="M26" s="418"/>
      <c r="N26" s="395"/>
      <c r="O26" s="417"/>
      <c r="P26" s="395"/>
      <c r="Q26" s="417"/>
      <c r="R26" s="395"/>
      <c r="S26" s="424"/>
    </row>
    <row r="27" spans="1:19" ht="14.4" customHeight="1" x14ac:dyDescent="0.3">
      <c r="A27" s="402" t="s">
        <v>382</v>
      </c>
      <c r="B27" s="395">
        <v>6554</v>
      </c>
      <c r="C27" s="417">
        <v>1</v>
      </c>
      <c r="D27" s="395">
        <v>60000</v>
      </c>
      <c r="E27" s="417">
        <v>9.1547146780592001</v>
      </c>
      <c r="F27" s="395">
        <v>43248</v>
      </c>
      <c r="G27" s="418">
        <v>6.598718339945072</v>
      </c>
      <c r="H27" s="395"/>
      <c r="I27" s="417"/>
      <c r="J27" s="395"/>
      <c r="K27" s="417"/>
      <c r="L27" s="395"/>
      <c r="M27" s="418"/>
      <c r="N27" s="395"/>
      <c r="O27" s="417"/>
      <c r="P27" s="395"/>
      <c r="Q27" s="417"/>
      <c r="R27" s="395"/>
      <c r="S27" s="424"/>
    </row>
    <row r="28" spans="1:19" ht="14.4" customHeight="1" x14ac:dyDescent="0.3">
      <c r="A28" s="402" t="s">
        <v>383</v>
      </c>
      <c r="B28" s="395">
        <v>42324</v>
      </c>
      <c r="C28" s="417">
        <v>1</v>
      </c>
      <c r="D28" s="395">
        <v>57540</v>
      </c>
      <c r="E28" s="417">
        <v>1.3595123334278423</v>
      </c>
      <c r="F28" s="395">
        <v>49824</v>
      </c>
      <c r="G28" s="418">
        <v>1.1772044230223986</v>
      </c>
      <c r="H28" s="395"/>
      <c r="I28" s="417"/>
      <c r="J28" s="395"/>
      <c r="K28" s="417"/>
      <c r="L28" s="395"/>
      <c r="M28" s="418"/>
      <c r="N28" s="395"/>
      <c r="O28" s="417"/>
      <c r="P28" s="395"/>
      <c r="Q28" s="417"/>
      <c r="R28" s="395"/>
      <c r="S28" s="424"/>
    </row>
    <row r="29" spans="1:19" ht="14.4" customHeight="1" x14ac:dyDescent="0.3">
      <c r="A29" s="402" t="s">
        <v>384</v>
      </c>
      <c r="B29" s="395">
        <v>139276</v>
      </c>
      <c r="C29" s="417">
        <v>1</v>
      </c>
      <c r="D29" s="395">
        <v>218994</v>
      </c>
      <c r="E29" s="417">
        <v>1.5723742784112122</v>
      </c>
      <c r="F29" s="395">
        <v>251562</v>
      </c>
      <c r="G29" s="418">
        <v>1.806212125563629</v>
      </c>
      <c r="H29" s="395"/>
      <c r="I29" s="417"/>
      <c r="J29" s="395"/>
      <c r="K29" s="417"/>
      <c r="L29" s="395"/>
      <c r="M29" s="418"/>
      <c r="N29" s="395"/>
      <c r="O29" s="417"/>
      <c r="P29" s="395"/>
      <c r="Q29" s="417"/>
      <c r="R29" s="395"/>
      <c r="S29" s="424"/>
    </row>
    <row r="30" spans="1:19" ht="14.4" customHeight="1" x14ac:dyDescent="0.3">
      <c r="A30" s="402" t="s">
        <v>385</v>
      </c>
      <c r="B30" s="395">
        <v>4466</v>
      </c>
      <c r="C30" s="417">
        <v>1</v>
      </c>
      <c r="D30" s="395"/>
      <c r="E30" s="417"/>
      <c r="F30" s="395">
        <v>9688</v>
      </c>
      <c r="G30" s="418">
        <v>2.169278996865204</v>
      </c>
      <c r="H30" s="395"/>
      <c r="I30" s="417"/>
      <c r="J30" s="395"/>
      <c r="K30" s="417"/>
      <c r="L30" s="395"/>
      <c r="M30" s="418"/>
      <c r="N30" s="395"/>
      <c r="O30" s="417"/>
      <c r="P30" s="395"/>
      <c r="Q30" s="417"/>
      <c r="R30" s="395"/>
      <c r="S30" s="424"/>
    </row>
    <row r="31" spans="1:19" ht="14.4" customHeight="1" thickBot="1" x14ac:dyDescent="0.35">
      <c r="A31" s="403" t="s">
        <v>386</v>
      </c>
      <c r="B31" s="399">
        <v>8306</v>
      </c>
      <c r="C31" s="420">
        <v>1</v>
      </c>
      <c r="D31" s="399">
        <v>7752</v>
      </c>
      <c r="E31" s="420">
        <v>0.93330122802793158</v>
      </c>
      <c r="F31" s="399">
        <v>13840</v>
      </c>
      <c r="G31" s="421">
        <v>1.6662653503491451</v>
      </c>
      <c r="H31" s="399"/>
      <c r="I31" s="420"/>
      <c r="J31" s="399"/>
      <c r="K31" s="420"/>
      <c r="L31" s="399"/>
      <c r="M31" s="421"/>
      <c r="N31" s="399"/>
      <c r="O31" s="420"/>
      <c r="P31" s="399"/>
      <c r="Q31" s="420"/>
      <c r="R31" s="399"/>
      <c r="S31" s="42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6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2" bestFit="1" customWidth="1"/>
    <col min="2" max="2" width="8.6640625" style="102" bestFit="1" customWidth="1"/>
    <col min="3" max="3" width="2.109375" style="102" bestFit="1" customWidth="1"/>
    <col min="4" max="4" width="8" style="102" bestFit="1" customWidth="1"/>
    <col min="5" max="5" width="52.88671875" style="102" bestFit="1" customWidth="1"/>
    <col min="6" max="7" width="11.109375" style="176" customWidth="1"/>
    <col min="8" max="9" width="9.33203125" style="176" hidden="1" customWidth="1"/>
    <col min="10" max="11" width="11.109375" style="176" customWidth="1"/>
    <col min="12" max="13" width="9.33203125" style="176" hidden="1" customWidth="1"/>
    <col min="14" max="15" width="11.109375" style="176" customWidth="1"/>
    <col min="16" max="16" width="11.109375" style="179" customWidth="1"/>
    <col min="17" max="17" width="11.109375" style="176" customWidth="1"/>
    <col min="18" max="16384" width="8.88671875" style="102"/>
  </cols>
  <sheetData>
    <row r="1" spans="1:17" ht="18.600000000000001" customHeight="1" thickBot="1" x14ac:dyDescent="0.4">
      <c r="A1" s="262" t="s">
        <v>415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</row>
    <row r="2" spans="1:17" ht="14.4" customHeight="1" thickBot="1" x14ac:dyDescent="0.35">
      <c r="A2" s="194" t="s">
        <v>190</v>
      </c>
      <c r="B2" s="103"/>
      <c r="C2" s="103"/>
      <c r="D2" s="103"/>
      <c r="E2" s="103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9"/>
      <c r="Q2" s="188"/>
    </row>
    <row r="3" spans="1:17" ht="14.4" customHeight="1" thickBot="1" x14ac:dyDescent="0.35">
      <c r="E3" s="62" t="s">
        <v>101</v>
      </c>
      <c r="F3" s="74">
        <f t="shared" ref="F3:O3" si="0">SUBTOTAL(9,F6:F1048576)</f>
        <v>3839</v>
      </c>
      <c r="G3" s="75">
        <f t="shared" si="0"/>
        <v>1349989</v>
      </c>
      <c r="H3" s="75"/>
      <c r="I3" s="75"/>
      <c r="J3" s="75">
        <f t="shared" si="0"/>
        <v>4803</v>
      </c>
      <c r="K3" s="75">
        <f t="shared" si="0"/>
        <v>1736592</v>
      </c>
      <c r="L3" s="75"/>
      <c r="M3" s="75"/>
      <c r="N3" s="75">
        <f t="shared" si="0"/>
        <v>4710</v>
      </c>
      <c r="O3" s="75">
        <f t="shared" si="0"/>
        <v>1825501</v>
      </c>
      <c r="P3" s="58">
        <f>IF(G3=0,0,O3/G3)</f>
        <v>1.3522339811657724</v>
      </c>
      <c r="Q3" s="76">
        <f>IF(N3=0,0,O3/N3)</f>
        <v>387.57983014861998</v>
      </c>
    </row>
    <row r="4" spans="1:17" ht="14.4" customHeight="1" x14ac:dyDescent="0.3">
      <c r="A4" s="307" t="s">
        <v>46</v>
      </c>
      <c r="B4" s="306" t="s">
        <v>72</v>
      </c>
      <c r="C4" s="307" t="s">
        <v>73</v>
      </c>
      <c r="D4" s="316" t="s">
        <v>74</v>
      </c>
      <c r="E4" s="308" t="s">
        <v>47</v>
      </c>
      <c r="F4" s="314">
        <v>2014</v>
      </c>
      <c r="G4" s="315"/>
      <c r="H4" s="77"/>
      <c r="I4" s="77"/>
      <c r="J4" s="314">
        <v>2015</v>
      </c>
      <c r="K4" s="315"/>
      <c r="L4" s="77"/>
      <c r="M4" s="77"/>
      <c r="N4" s="314">
        <v>2016</v>
      </c>
      <c r="O4" s="315"/>
      <c r="P4" s="317" t="s">
        <v>2</v>
      </c>
      <c r="Q4" s="305" t="s">
        <v>75</v>
      </c>
    </row>
    <row r="5" spans="1:17" ht="14.4" customHeight="1" thickBot="1" x14ac:dyDescent="0.35">
      <c r="A5" s="406"/>
      <c r="B5" s="404"/>
      <c r="C5" s="406"/>
      <c r="D5" s="426"/>
      <c r="E5" s="408"/>
      <c r="F5" s="427" t="s">
        <v>49</v>
      </c>
      <c r="G5" s="428" t="s">
        <v>5</v>
      </c>
      <c r="H5" s="429"/>
      <c r="I5" s="429"/>
      <c r="J5" s="427" t="s">
        <v>49</v>
      </c>
      <c r="K5" s="428" t="s">
        <v>5</v>
      </c>
      <c r="L5" s="429"/>
      <c r="M5" s="429"/>
      <c r="N5" s="427" t="s">
        <v>49</v>
      </c>
      <c r="O5" s="428" t="s">
        <v>5</v>
      </c>
      <c r="P5" s="430"/>
      <c r="Q5" s="413"/>
    </row>
    <row r="6" spans="1:17" ht="14.4" customHeight="1" x14ac:dyDescent="0.3">
      <c r="A6" s="389" t="s">
        <v>387</v>
      </c>
      <c r="B6" s="414" t="s">
        <v>332</v>
      </c>
      <c r="C6" s="414" t="s">
        <v>333</v>
      </c>
      <c r="D6" s="414" t="s">
        <v>338</v>
      </c>
      <c r="E6" s="414" t="s">
        <v>339</v>
      </c>
      <c r="F6" s="390">
        <v>58</v>
      </c>
      <c r="G6" s="390">
        <v>18550</v>
      </c>
      <c r="H6" s="390">
        <v>1</v>
      </c>
      <c r="I6" s="390">
        <v>319.82758620689657</v>
      </c>
      <c r="J6" s="390">
        <v>28</v>
      </c>
      <c r="K6" s="390">
        <v>9044</v>
      </c>
      <c r="L6" s="390">
        <v>0.48754716981132074</v>
      </c>
      <c r="M6" s="390">
        <v>323</v>
      </c>
      <c r="N6" s="390">
        <v>58</v>
      </c>
      <c r="O6" s="390">
        <v>20068</v>
      </c>
      <c r="P6" s="415">
        <v>1.081832884097035</v>
      </c>
      <c r="Q6" s="416">
        <v>346</v>
      </c>
    </row>
    <row r="7" spans="1:17" ht="14.4" customHeight="1" x14ac:dyDescent="0.3">
      <c r="A7" s="393" t="s">
        <v>388</v>
      </c>
      <c r="B7" s="417" t="s">
        <v>332</v>
      </c>
      <c r="C7" s="417" t="s">
        <v>333</v>
      </c>
      <c r="D7" s="417" t="s">
        <v>338</v>
      </c>
      <c r="E7" s="417" t="s">
        <v>339</v>
      </c>
      <c r="F7" s="394">
        <v>6</v>
      </c>
      <c r="G7" s="394">
        <v>1914</v>
      </c>
      <c r="H7" s="394">
        <v>1</v>
      </c>
      <c r="I7" s="394">
        <v>319</v>
      </c>
      <c r="J7" s="394">
        <v>8</v>
      </c>
      <c r="K7" s="394">
        <v>2584</v>
      </c>
      <c r="L7" s="394">
        <v>1.3500522466039708</v>
      </c>
      <c r="M7" s="394">
        <v>323</v>
      </c>
      <c r="N7" s="394">
        <v>16</v>
      </c>
      <c r="O7" s="394">
        <v>5536</v>
      </c>
      <c r="P7" s="418">
        <v>2.8923719958202718</v>
      </c>
      <c r="Q7" s="419">
        <v>346</v>
      </c>
    </row>
    <row r="8" spans="1:17" ht="14.4" customHeight="1" x14ac:dyDescent="0.3">
      <c r="A8" s="393" t="s">
        <v>389</v>
      </c>
      <c r="B8" s="417" t="s">
        <v>332</v>
      </c>
      <c r="C8" s="417" t="s">
        <v>333</v>
      </c>
      <c r="D8" s="417" t="s">
        <v>338</v>
      </c>
      <c r="E8" s="417" t="s">
        <v>339</v>
      </c>
      <c r="F8" s="394">
        <v>152</v>
      </c>
      <c r="G8" s="394">
        <v>48608</v>
      </c>
      <c r="H8" s="394">
        <v>1</v>
      </c>
      <c r="I8" s="394">
        <v>319.78947368421052</v>
      </c>
      <c r="J8" s="394">
        <v>103</v>
      </c>
      <c r="K8" s="394">
        <v>33269</v>
      </c>
      <c r="L8" s="394">
        <v>0.68443466096115868</v>
      </c>
      <c r="M8" s="394">
        <v>323</v>
      </c>
      <c r="N8" s="394">
        <v>140</v>
      </c>
      <c r="O8" s="394">
        <v>48440</v>
      </c>
      <c r="P8" s="418">
        <v>0.99654377880184331</v>
      </c>
      <c r="Q8" s="419">
        <v>346</v>
      </c>
    </row>
    <row r="9" spans="1:17" ht="14.4" customHeight="1" x14ac:dyDescent="0.3">
      <c r="A9" s="393" t="s">
        <v>389</v>
      </c>
      <c r="B9" s="417" t="s">
        <v>332</v>
      </c>
      <c r="C9" s="417" t="s">
        <v>333</v>
      </c>
      <c r="D9" s="417" t="s">
        <v>340</v>
      </c>
      <c r="E9" s="417" t="s">
        <v>341</v>
      </c>
      <c r="F9" s="394"/>
      <c r="G9" s="394"/>
      <c r="H9" s="394"/>
      <c r="I9" s="394"/>
      <c r="J9" s="394">
        <v>4</v>
      </c>
      <c r="K9" s="394">
        <v>1292</v>
      </c>
      <c r="L9" s="394"/>
      <c r="M9" s="394">
        <v>323</v>
      </c>
      <c r="N9" s="394"/>
      <c r="O9" s="394"/>
      <c r="P9" s="418"/>
      <c r="Q9" s="419"/>
    </row>
    <row r="10" spans="1:17" ht="14.4" customHeight="1" x14ac:dyDescent="0.3">
      <c r="A10" s="393" t="s">
        <v>389</v>
      </c>
      <c r="B10" s="417" t="s">
        <v>332</v>
      </c>
      <c r="C10" s="417" t="s">
        <v>333</v>
      </c>
      <c r="D10" s="417" t="s">
        <v>348</v>
      </c>
      <c r="E10" s="417" t="s">
        <v>349</v>
      </c>
      <c r="F10" s="394">
        <v>16</v>
      </c>
      <c r="G10" s="394">
        <v>8626</v>
      </c>
      <c r="H10" s="394">
        <v>1</v>
      </c>
      <c r="I10" s="394">
        <v>539.125</v>
      </c>
      <c r="J10" s="394">
        <v>56</v>
      </c>
      <c r="K10" s="394">
        <v>30576</v>
      </c>
      <c r="L10" s="394">
        <v>3.5446325063760722</v>
      </c>
      <c r="M10" s="394">
        <v>546</v>
      </c>
      <c r="N10" s="394">
        <v>103</v>
      </c>
      <c r="O10" s="394">
        <v>59740</v>
      </c>
      <c r="P10" s="418">
        <v>6.9255738465105496</v>
      </c>
      <c r="Q10" s="419">
        <v>580</v>
      </c>
    </row>
    <row r="11" spans="1:17" ht="14.4" customHeight="1" x14ac:dyDescent="0.3">
      <c r="A11" s="393" t="s">
        <v>389</v>
      </c>
      <c r="B11" s="417" t="s">
        <v>332</v>
      </c>
      <c r="C11" s="417" t="s">
        <v>333</v>
      </c>
      <c r="D11" s="417" t="s">
        <v>356</v>
      </c>
      <c r="E11" s="417" t="s">
        <v>357</v>
      </c>
      <c r="F11" s="394"/>
      <c r="G11" s="394"/>
      <c r="H11" s="394"/>
      <c r="I11" s="394"/>
      <c r="J11" s="394"/>
      <c r="K11" s="394"/>
      <c r="L11" s="394"/>
      <c r="M11" s="394"/>
      <c r="N11" s="394">
        <v>6</v>
      </c>
      <c r="O11" s="394">
        <v>3480</v>
      </c>
      <c r="P11" s="418"/>
      <c r="Q11" s="419">
        <v>580</v>
      </c>
    </row>
    <row r="12" spans="1:17" ht="14.4" customHeight="1" x14ac:dyDescent="0.3">
      <c r="A12" s="393" t="s">
        <v>390</v>
      </c>
      <c r="B12" s="417" t="s">
        <v>332</v>
      </c>
      <c r="C12" s="417" t="s">
        <v>333</v>
      </c>
      <c r="D12" s="417" t="s">
        <v>338</v>
      </c>
      <c r="E12" s="417" t="s">
        <v>339</v>
      </c>
      <c r="F12" s="394">
        <v>60</v>
      </c>
      <c r="G12" s="394">
        <v>19188</v>
      </c>
      <c r="H12" s="394">
        <v>1</v>
      </c>
      <c r="I12" s="394">
        <v>319.8</v>
      </c>
      <c r="J12" s="394">
        <v>148</v>
      </c>
      <c r="K12" s="394">
        <v>47804</v>
      </c>
      <c r="L12" s="394">
        <v>2.4913487596414425</v>
      </c>
      <c r="M12" s="394">
        <v>323</v>
      </c>
      <c r="N12" s="394">
        <v>74</v>
      </c>
      <c r="O12" s="394">
        <v>25604</v>
      </c>
      <c r="P12" s="418">
        <v>1.3343756514488221</v>
      </c>
      <c r="Q12" s="419">
        <v>346</v>
      </c>
    </row>
    <row r="13" spans="1:17" ht="14.4" customHeight="1" x14ac:dyDescent="0.3">
      <c r="A13" s="393" t="s">
        <v>391</v>
      </c>
      <c r="B13" s="417" t="s">
        <v>332</v>
      </c>
      <c r="C13" s="417" t="s">
        <v>333</v>
      </c>
      <c r="D13" s="417" t="s">
        <v>338</v>
      </c>
      <c r="E13" s="417" t="s">
        <v>339</v>
      </c>
      <c r="F13" s="394">
        <v>22</v>
      </c>
      <c r="G13" s="394">
        <v>7018</v>
      </c>
      <c r="H13" s="394">
        <v>1</v>
      </c>
      <c r="I13" s="394">
        <v>319</v>
      </c>
      <c r="J13" s="394">
        <v>24</v>
      </c>
      <c r="K13" s="394">
        <v>7752</v>
      </c>
      <c r="L13" s="394">
        <v>1.1045882017668851</v>
      </c>
      <c r="M13" s="394">
        <v>323</v>
      </c>
      <c r="N13" s="394">
        <v>4</v>
      </c>
      <c r="O13" s="394">
        <v>1384</v>
      </c>
      <c r="P13" s="418">
        <v>0.19720718153320035</v>
      </c>
      <c r="Q13" s="419">
        <v>346</v>
      </c>
    </row>
    <row r="14" spans="1:17" ht="14.4" customHeight="1" x14ac:dyDescent="0.3">
      <c r="A14" s="393" t="s">
        <v>392</v>
      </c>
      <c r="B14" s="417" t="s">
        <v>332</v>
      </c>
      <c r="C14" s="417" t="s">
        <v>333</v>
      </c>
      <c r="D14" s="417" t="s">
        <v>338</v>
      </c>
      <c r="E14" s="417" t="s">
        <v>339</v>
      </c>
      <c r="F14" s="394">
        <v>8</v>
      </c>
      <c r="G14" s="394">
        <v>2576</v>
      </c>
      <c r="H14" s="394">
        <v>1</v>
      </c>
      <c r="I14" s="394">
        <v>322</v>
      </c>
      <c r="J14" s="394"/>
      <c r="K14" s="394"/>
      <c r="L14" s="394"/>
      <c r="M14" s="394"/>
      <c r="N14" s="394"/>
      <c r="O14" s="394"/>
      <c r="P14" s="418"/>
      <c r="Q14" s="419"/>
    </row>
    <row r="15" spans="1:17" ht="14.4" customHeight="1" x14ac:dyDescent="0.3">
      <c r="A15" s="393" t="s">
        <v>393</v>
      </c>
      <c r="B15" s="417" t="s">
        <v>332</v>
      </c>
      <c r="C15" s="417" t="s">
        <v>333</v>
      </c>
      <c r="D15" s="417" t="s">
        <v>338</v>
      </c>
      <c r="E15" s="417" t="s">
        <v>339</v>
      </c>
      <c r="F15" s="394"/>
      <c r="G15" s="394"/>
      <c r="H15" s="394"/>
      <c r="I15" s="394"/>
      <c r="J15" s="394">
        <v>4</v>
      </c>
      <c r="K15" s="394">
        <v>1292</v>
      </c>
      <c r="L15" s="394"/>
      <c r="M15" s="394">
        <v>323</v>
      </c>
      <c r="N15" s="394">
        <v>3</v>
      </c>
      <c r="O15" s="394">
        <v>1038</v>
      </c>
      <c r="P15" s="418"/>
      <c r="Q15" s="419">
        <v>346</v>
      </c>
    </row>
    <row r="16" spans="1:17" ht="14.4" customHeight="1" x14ac:dyDescent="0.3">
      <c r="A16" s="393" t="s">
        <v>394</v>
      </c>
      <c r="B16" s="417" t="s">
        <v>332</v>
      </c>
      <c r="C16" s="417" t="s">
        <v>333</v>
      </c>
      <c r="D16" s="417" t="s">
        <v>338</v>
      </c>
      <c r="E16" s="417" t="s">
        <v>339</v>
      </c>
      <c r="F16" s="394">
        <v>214</v>
      </c>
      <c r="G16" s="394">
        <v>68482</v>
      </c>
      <c r="H16" s="394">
        <v>1</v>
      </c>
      <c r="I16" s="394">
        <v>320.00934579439252</v>
      </c>
      <c r="J16" s="394">
        <v>280</v>
      </c>
      <c r="K16" s="394">
        <v>90440</v>
      </c>
      <c r="L16" s="394">
        <v>1.3206390000292048</v>
      </c>
      <c r="M16" s="394">
        <v>323</v>
      </c>
      <c r="N16" s="394">
        <v>358</v>
      </c>
      <c r="O16" s="394">
        <v>123868</v>
      </c>
      <c r="P16" s="418">
        <v>1.8087672673111181</v>
      </c>
      <c r="Q16" s="419">
        <v>346</v>
      </c>
    </row>
    <row r="17" spans="1:17" ht="14.4" customHeight="1" x14ac:dyDescent="0.3">
      <c r="A17" s="393" t="s">
        <v>394</v>
      </c>
      <c r="B17" s="417" t="s">
        <v>332</v>
      </c>
      <c r="C17" s="417" t="s">
        <v>333</v>
      </c>
      <c r="D17" s="417" t="s">
        <v>342</v>
      </c>
      <c r="E17" s="417" t="s">
        <v>343</v>
      </c>
      <c r="F17" s="394">
        <v>383</v>
      </c>
      <c r="G17" s="394">
        <v>122435</v>
      </c>
      <c r="H17" s="394">
        <v>1</v>
      </c>
      <c r="I17" s="394">
        <v>319.67362924281986</v>
      </c>
      <c r="J17" s="394">
        <v>328</v>
      </c>
      <c r="K17" s="394">
        <v>105944</v>
      </c>
      <c r="L17" s="394">
        <v>0.86530812267733903</v>
      </c>
      <c r="M17" s="394">
        <v>323</v>
      </c>
      <c r="N17" s="394">
        <v>336</v>
      </c>
      <c r="O17" s="394">
        <v>116256</v>
      </c>
      <c r="P17" s="418">
        <v>0.94953240494956503</v>
      </c>
      <c r="Q17" s="419">
        <v>346</v>
      </c>
    </row>
    <row r="18" spans="1:17" ht="14.4" customHeight="1" x14ac:dyDescent="0.3">
      <c r="A18" s="393" t="s">
        <v>395</v>
      </c>
      <c r="B18" s="417" t="s">
        <v>332</v>
      </c>
      <c r="C18" s="417" t="s">
        <v>333</v>
      </c>
      <c r="D18" s="417" t="s">
        <v>338</v>
      </c>
      <c r="E18" s="417" t="s">
        <v>339</v>
      </c>
      <c r="F18" s="394"/>
      <c r="G18" s="394"/>
      <c r="H18" s="394"/>
      <c r="I18" s="394"/>
      <c r="J18" s="394"/>
      <c r="K18" s="394"/>
      <c r="L18" s="394"/>
      <c r="M18" s="394"/>
      <c r="N18" s="394">
        <v>4</v>
      </c>
      <c r="O18" s="394">
        <v>1384</v>
      </c>
      <c r="P18" s="418"/>
      <c r="Q18" s="419">
        <v>346</v>
      </c>
    </row>
    <row r="19" spans="1:17" ht="14.4" customHeight="1" x14ac:dyDescent="0.3">
      <c r="A19" s="393" t="s">
        <v>395</v>
      </c>
      <c r="B19" s="417" t="s">
        <v>332</v>
      </c>
      <c r="C19" s="417" t="s">
        <v>333</v>
      </c>
      <c r="D19" s="417" t="s">
        <v>342</v>
      </c>
      <c r="E19" s="417" t="s">
        <v>343</v>
      </c>
      <c r="F19" s="394">
        <v>8</v>
      </c>
      <c r="G19" s="394">
        <v>2552</v>
      </c>
      <c r="H19" s="394">
        <v>1</v>
      </c>
      <c r="I19" s="394">
        <v>319</v>
      </c>
      <c r="J19" s="394"/>
      <c r="K19" s="394"/>
      <c r="L19" s="394"/>
      <c r="M19" s="394"/>
      <c r="N19" s="394"/>
      <c r="O19" s="394"/>
      <c r="P19" s="418"/>
      <c r="Q19" s="419"/>
    </row>
    <row r="20" spans="1:17" ht="14.4" customHeight="1" x14ac:dyDescent="0.3">
      <c r="A20" s="393" t="s">
        <v>396</v>
      </c>
      <c r="B20" s="417" t="s">
        <v>332</v>
      </c>
      <c r="C20" s="417" t="s">
        <v>333</v>
      </c>
      <c r="D20" s="417" t="s">
        <v>336</v>
      </c>
      <c r="E20" s="417" t="s">
        <v>337</v>
      </c>
      <c r="F20" s="394"/>
      <c r="G20" s="394"/>
      <c r="H20" s="394"/>
      <c r="I20" s="394"/>
      <c r="J20" s="394">
        <v>2</v>
      </c>
      <c r="K20" s="394">
        <v>140</v>
      </c>
      <c r="L20" s="394"/>
      <c r="M20" s="394">
        <v>70</v>
      </c>
      <c r="N20" s="394">
        <v>2</v>
      </c>
      <c r="O20" s="394">
        <v>148</v>
      </c>
      <c r="P20" s="418"/>
      <c r="Q20" s="419">
        <v>74</v>
      </c>
    </row>
    <row r="21" spans="1:17" ht="14.4" customHeight="1" x14ac:dyDescent="0.3">
      <c r="A21" s="393" t="s">
        <v>396</v>
      </c>
      <c r="B21" s="417" t="s">
        <v>332</v>
      </c>
      <c r="C21" s="417" t="s">
        <v>333</v>
      </c>
      <c r="D21" s="417" t="s">
        <v>338</v>
      </c>
      <c r="E21" s="417" t="s">
        <v>339</v>
      </c>
      <c r="F21" s="394">
        <v>320</v>
      </c>
      <c r="G21" s="394">
        <v>102242</v>
      </c>
      <c r="H21" s="394">
        <v>1</v>
      </c>
      <c r="I21" s="394">
        <v>319.50625000000002</v>
      </c>
      <c r="J21" s="394">
        <v>224</v>
      </c>
      <c r="K21" s="394">
        <v>72352</v>
      </c>
      <c r="L21" s="394">
        <v>0.70765438860742158</v>
      </c>
      <c r="M21" s="394">
        <v>323</v>
      </c>
      <c r="N21" s="394">
        <v>347</v>
      </c>
      <c r="O21" s="394">
        <v>120062</v>
      </c>
      <c r="P21" s="418">
        <v>1.1742923651728252</v>
      </c>
      <c r="Q21" s="419">
        <v>346</v>
      </c>
    </row>
    <row r="22" spans="1:17" ht="14.4" customHeight="1" x14ac:dyDescent="0.3">
      <c r="A22" s="393" t="s">
        <v>396</v>
      </c>
      <c r="B22" s="417" t="s">
        <v>332</v>
      </c>
      <c r="C22" s="417" t="s">
        <v>333</v>
      </c>
      <c r="D22" s="417" t="s">
        <v>340</v>
      </c>
      <c r="E22" s="417" t="s">
        <v>341</v>
      </c>
      <c r="F22" s="394">
        <v>91</v>
      </c>
      <c r="G22" s="394">
        <v>29098</v>
      </c>
      <c r="H22" s="394">
        <v>1</v>
      </c>
      <c r="I22" s="394">
        <v>319.75824175824175</v>
      </c>
      <c r="J22" s="394">
        <v>151</v>
      </c>
      <c r="K22" s="394">
        <v>48773</v>
      </c>
      <c r="L22" s="394">
        <v>1.6761633101931404</v>
      </c>
      <c r="M22" s="394">
        <v>323</v>
      </c>
      <c r="N22" s="394">
        <v>95</v>
      </c>
      <c r="O22" s="394">
        <v>32870</v>
      </c>
      <c r="P22" s="418">
        <v>1.1296309024675235</v>
      </c>
      <c r="Q22" s="419">
        <v>346</v>
      </c>
    </row>
    <row r="23" spans="1:17" ht="14.4" customHeight="1" x14ac:dyDescent="0.3">
      <c r="A23" s="393" t="s">
        <v>396</v>
      </c>
      <c r="B23" s="417" t="s">
        <v>332</v>
      </c>
      <c r="C23" s="417" t="s">
        <v>333</v>
      </c>
      <c r="D23" s="417" t="s">
        <v>342</v>
      </c>
      <c r="E23" s="417" t="s">
        <v>343</v>
      </c>
      <c r="F23" s="394">
        <v>92</v>
      </c>
      <c r="G23" s="394">
        <v>29390</v>
      </c>
      <c r="H23" s="394">
        <v>1</v>
      </c>
      <c r="I23" s="394">
        <v>319.45652173913044</v>
      </c>
      <c r="J23" s="394">
        <v>136</v>
      </c>
      <c r="K23" s="394">
        <v>43928</v>
      </c>
      <c r="L23" s="394">
        <v>1.4946580469547466</v>
      </c>
      <c r="M23" s="394">
        <v>323</v>
      </c>
      <c r="N23" s="394">
        <v>72</v>
      </c>
      <c r="O23" s="394">
        <v>24912</v>
      </c>
      <c r="P23" s="418">
        <v>0.84763525008506291</v>
      </c>
      <c r="Q23" s="419">
        <v>346</v>
      </c>
    </row>
    <row r="24" spans="1:17" ht="14.4" customHeight="1" x14ac:dyDescent="0.3">
      <c r="A24" s="393" t="s">
        <v>396</v>
      </c>
      <c r="B24" s="417" t="s">
        <v>332</v>
      </c>
      <c r="C24" s="417" t="s">
        <v>333</v>
      </c>
      <c r="D24" s="417" t="s">
        <v>348</v>
      </c>
      <c r="E24" s="417" t="s">
        <v>349</v>
      </c>
      <c r="F24" s="394"/>
      <c r="G24" s="394"/>
      <c r="H24" s="394"/>
      <c r="I24" s="394"/>
      <c r="J24" s="394"/>
      <c r="K24" s="394"/>
      <c r="L24" s="394"/>
      <c r="M24" s="394"/>
      <c r="N24" s="394">
        <v>6</v>
      </c>
      <c r="O24" s="394">
        <v>3480</v>
      </c>
      <c r="P24" s="418"/>
      <c r="Q24" s="419">
        <v>580</v>
      </c>
    </row>
    <row r="25" spans="1:17" ht="14.4" customHeight="1" x14ac:dyDescent="0.3">
      <c r="A25" s="393" t="s">
        <v>396</v>
      </c>
      <c r="B25" s="417" t="s">
        <v>332</v>
      </c>
      <c r="C25" s="417" t="s">
        <v>333</v>
      </c>
      <c r="D25" s="417" t="s">
        <v>350</v>
      </c>
      <c r="E25" s="417" t="s">
        <v>351</v>
      </c>
      <c r="F25" s="394">
        <v>32</v>
      </c>
      <c r="G25" s="394">
        <v>17266</v>
      </c>
      <c r="H25" s="394">
        <v>1</v>
      </c>
      <c r="I25" s="394">
        <v>539.5625</v>
      </c>
      <c r="J25" s="394">
        <v>72</v>
      </c>
      <c r="K25" s="394">
        <v>39384</v>
      </c>
      <c r="L25" s="394">
        <v>2.2810147109927024</v>
      </c>
      <c r="M25" s="394">
        <v>547</v>
      </c>
      <c r="N25" s="394">
        <v>50</v>
      </c>
      <c r="O25" s="394">
        <v>29050</v>
      </c>
      <c r="P25" s="418">
        <v>1.6824973937217653</v>
      </c>
      <c r="Q25" s="419">
        <v>581</v>
      </c>
    </row>
    <row r="26" spans="1:17" ht="14.4" customHeight="1" x14ac:dyDescent="0.3">
      <c r="A26" s="393" t="s">
        <v>396</v>
      </c>
      <c r="B26" s="417" t="s">
        <v>332</v>
      </c>
      <c r="C26" s="417" t="s">
        <v>333</v>
      </c>
      <c r="D26" s="417" t="s">
        <v>354</v>
      </c>
      <c r="E26" s="417" t="s">
        <v>355</v>
      </c>
      <c r="F26" s="394">
        <v>47</v>
      </c>
      <c r="G26" s="394">
        <v>25399</v>
      </c>
      <c r="H26" s="394">
        <v>1</v>
      </c>
      <c r="I26" s="394">
        <v>540.40425531914889</v>
      </c>
      <c r="J26" s="394">
        <v>8</v>
      </c>
      <c r="K26" s="394">
        <v>4376</v>
      </c>
      <c r="L26" s="394">
        <v>0.17229024764754519</v>
      </c>
      <c r="M26" s="394">
        <v>547</v>
      </c>
      <c r="N26" s="394">
        <v>3</v>
      </c>
      <c r="O26" s="394">
        <v>1743</v>
      </c>
      <c r="P26" s="418">
        <v>6.8624749005866376E-2</v>
      </c>
      <c r="Q26" s="419">
        <v>581</v>
      </c>
    </row>
    <row r="27" spans="1:17" ht="14.4" customHeight="1" x14ac:dyDescent="0.3">
      <c r="A27" s="393" t="s">
        <v>397</v>
      </c>
      <c r="B27" s="417" t="s">
        <v>332</v>
      </c>
      <c r="C27" s="417" t="s">
        <v>333</v>
      </c>
      <c r="D27" s="417" t="s">
        <v>338</v>
      </c>
      <c r="E27" s="417" t="s">
        <v>339</v>
      </c>
      <c r="F27" s="394"/>
      <c r="G27" s="394"/>
      <c r="H27" s="394"/>
      <c r="I27" s="394"/>
      <c r="J27" s="394">
        <v>48</v>
      </c>
      <c r="K27" s="394">
        <v>15504</v>
      </c>
      <c r="L27" s="394"/>
      <c r="M27" s="394">
        <v>323</v>
      </c>
      <c r="N27" s="394">
        <v>12</v>
      </c>
      <c r="O27" s="394">
        <v>4152</v>
      </c>
      <c r="P27" s="418"/>
      <c r="Q27" s="419">
        <v>346</v>
      </c>
    </row>
    <row r="28" spans="1:17" ht="14.4" customHeight="1" x14ac:dyDescent="0.3">
      <c r="A28" s="393" t="s">
        <v>398</v>
      </c>
      <c r="B28" s="417" t="s">
        <v>332</v>
      </c>
      <c r="C28" s="417" t="s">
        <v>333</v>
      </c>
      <c r="D28" s="417" t="s">
        <v>338</v>
      </c>
      <c r="E28" s="417" t="s">
        <v>339</v>
      </c>
      <c r="F28" s="394"/>
      <c r="G28" s="394"/>
      <c r="H28" s="394"/>
      <c r="I28" s="394"/>
      <c r="J28" s="394">
        <v>48</v>
      </c>
      <c r="K28" s="394">
        <v>15504</v>
      </c>
      <c r="L28" s="394"/>
      <c r="M28" s="394">
        <v>323</v>
      </c>
      <c r="N28" s="394">
        <v>22</v>
      </c>
      <c r="O28" s="394">
        <v>7612</v>
      </c>
      <c r="P28" s="418"/>
      <c r="Q28" s="419">
        <v>346</v>
      </c>
    </row>
    <row r="29" spans="1:17" ht="14.4" customHeight="1" x14ac:dyDescent="0.3">
      <c r="A29" s="393" t="s">
        <v>399</v>
      </c>
      <c r="B29" s="417" t="s">
        <v>332</v>
      </c>
      <c r="C29" s="417" t="s">
        <v>333</v>
      </c>
      <c r="D29" s="417" t="s">
        <v>338</v>
      </c>
      <c r="E29" s="417" t="s">
        <v>339</v>
      </c>
      <c r="F29" s="394"/>
      <c r="G29" s="394"/>
      <c r="H29" s="394"/>
      <c r="I29" s="394"/>
      <c r="J29" s="394">
        <v>80</v>
      </c>
      <c r="K29" s="394">
        <v>25840</v>
      </c>
      <c r="L29" s="394"/>
      <c r="M29" s="394">
        <v>323</v>
      </c>
      <c r="N29" s="394">
        <v>64</v>
      </c>
      <c r="O29" s="394">
        <v>22144</v>
      </c>
      <c r="P29" s="418"/>
      <c r="Q29" s="419">
        <v>346</v>
      </c>
    </row>
    <row r="30" spans="1:17" ht="14.4" customHeight="1" x14ac:dyDescent="0.3">
      <c r="A30" s="393" t="s">
        <v>400</v>
      </c>
      <c r="B30" s="417" t="s">
        <v>332</v>
      </c>
      <c r="C30" s="417" t="s">
        <v>333</v>
      </c>
      <c r="D30" s="417" t="s">
        <v>338</v>
      </c>
      <c r="E30" s="417" t="s">
        <v>339</v>
      </c>
      <c r="F30" s="394">
        <v>3</v>
      </c>
      <c r="G30" s="394">
        <v>966</v>
      </c>
      <c r="H30" s="394">
        <v>1</v>
      </c>
      <c r="I30" s="394">
        <v>322</v>
      </c>
      <c r="J30" s="394"/>
      <c r="K30" s="394"/>
      <c r="L30" s="394"/>
      <c r="M30" s="394"/>
      <c r="N30" s="394"/>
      <c r="O30" s="394"/>
      <c r="P30" s="418"/>
      <c r="Q30" s="419"/>
    </row>
    <row r="31" spans="1:17" ht="14.4" customHeight="1" x14ac:dyDescent="0.3">
      <c r="A31" s="393" t="s">
        <v>401</v>
      </c>
      <c r="B31" s="417" t="s">
        <v>332</v>
      </c>
      <c r="C31" s="417" t="s">
        <v>333</v>
      </c>
      <c r="D31" s="417" t="s">
        <v>338</v>
      </c>
      <c r="E31" s="417" t="s">
        <v>339</v>
      </c>
      <c r="F31" s="394">
        <v>813</v>
      </c>
      <c r="G31" s="394">
        <v>259803</v>
      </c>
      <c r="H31" s="394">
        <v>1</v>
      </c>
      <c r="I31" s="394">
        <v>319.5608856088561</v>
      </c>
      <c r="J31" s="394">
        <v>820</v>
      </c>
      <c r="K31" s="394">
        <v>264860</v>
      </c>
      <c r="L31" s="394">
        <v>1.0194647482900505</v>
      </c>
      <c r="M31" s="394">
        <v>323</v>
      </c>
      <c r="N31" s="394">
        <v>297</v>
      </c>
      <c r="O31" s="394">
        <v>102762</v>
      </c>
      <c r="P31" s="418">
        <v>0.39553815775799356</v>
      </c>
      <c r="Q31" s="419">
        <v>346</v>
      </c>
    </row>
    <row r="32" spans="1:17" ht="14.4" customHeight="1" x14ac:dyDescent="0.3">
      <c r="A32" s="393" t="s">
        <v>401</v>
      </c>
      <c r="B32" s="417" t="s">
        <v>332</v>
      </c>
      <c r="C32" s="417" t="s">
        <v>333</v>
      </c>
      <c r="D32" s="417" t="s">
        <v>340</v>
      </c>
      <c r="E32" s="417" t="s">
        <v>341</v>
      </c>
      <c r="F32" s="394"/>
      <c r="G32" s="394"/>
      <c r="H32" s="394"/>
      <c r="I32" s="394"/>
      <c r="J32" s="394"/>
      <c r="K32" s="394"/>
      <c r="L32" s="394"/>
      <c r="M32" s="394"/>
      <c r="N32" s="394">
        <v>4</v>
      </c>
      <c r="O32" s="394">
        <v>1384</v>
      </c>
      <c r="P32" s="418"/>
      <c r="Q32" s="419">
        <v>346</v>
      </c>
    </row>
    <row r="33" spans="1:17" ht="14.4" customHeight="1" x14ac:dyDescent="0.3">
      <c r="A33" s="393" t="s">
        <v>401</v>
      </c>
      <c r="B33" s="417" t="s">
        <v>332</v>
      </c>
      <c r="C33" s="417" t="s">
        <v>333</v>
      </c>
      <c r="D33" s="417" t="s">
        <v>348</v>
      </c>
      <c r="E33" s="417" t="s">
        <v>349</v>
      </c>
      <c r="F33" s="394">
        <v>22</v>
      </c>
      <c r="G33" s="394">
        <v>11860</v>
      </c>
      <c r="H33" s="394">
        <v>1</v>
      </c>
      <c r="I33" s="394">
        <v>539.09090909090912</v>
      </c>
      <c r="J33" s="394">
        <v>13</v>
      </c>
      <c r="K33" s="394">
        <v>7098</v>
      </c>
      <c r="L33" s="394">
        <v>0.59848229342327153</v>
      </c>
      <c r="M33" s="394">
        <v>546</v>
      </c>
      <c r="N33" s="394">
        <v>54</v>
      </c>
      <c r="O33" s="394">
        <v>31320</v>
      </c>
      <c r="P33" s="418">
        <v>2.6408094435075884</v>
      </c>
      <c r="Q33" s="419">
        <v>580</v>
      </c>
    </row>
    <row r="34" spans="1:17" ht="14.4" customHeight="1" x14ac:dyDescent="0.3">
      <c r="A34" s="393" t="s">
        <v>401</v>
      </c>
      <c r="B34" s="417" t="s">
        <v>332</v>
      </c>
      <c r="C34" s="417" t="s">
        <v>333</v>
      </c>
      <c r="D34" s="417" t="s">
        <v>356</v>
      </c>
      <c r="E34" s="417" t="s">
        <v>357</v>
      </c>
      <c r="F34" s="394"/>
      <c r="G34" s="394"/>
      <c r="H34" s="394"/>
      <c r="I34" s="394"/>
      <c r="J34" s="394"/>
      <c r="K34" s="394"/>
      <c r="L34" s="394"/>
      <c r="M34" s="394"/>
      <c r="N34" s="394">
        <v>4</v>
      </c>
      <c r="O34" s="394">
        <v>2320</v>
      </c>
      <c r="P34" s="418"/>
      <c r="Q34" s="419">
        <v>580</v>
      </c>
    </row>
    <row r="35" spans="1:17" ht="14.4" customHeight="1" x14ac:dyDescent="0.3">
      <c r="A35" s="393" t="s">
        <v>402</v>
      </c>
      <c r="B35" s="417" t="s">
        <v>332</v>
      </c>
      <c r="C35" s="417" t="s">
        <v>333</v>
      </c>
      <c r="D35" s="417" t="s">
        <v>338</v>
      </c>
      <c r="E35" s="417" t="s">
        <v>339</v>
      </c>
      <c r="F35" s="394">
        <v>96</v>
      </c>
      <c r="G35" s="394">
        <v>30660</v>
      </c>
      <c r="H35" s="394">
        <v>1</v>
      </c>
      <c r="I35" s="394">
        <v>319.375</v>
      </c>
      <c r="J35" s="394">
        <v>55</v>
      </c>
      <c r="K35" s="394">
        <v>17765</v>
      </c>
      <c r="L35" s="394">
        <v>0.57941943900848014</v>
      </c>
      <c r="M35" s="394">
        <v>323</v>
      </c>
      <c r="N35" s="394">
        <v>30</v>
      </c>
      <c r="O35" s="394">
        <v>10380</v>
      </c>
      <c r="P35" s="418">
        <v>0.33855185909980429</v>
      </c>
      <c r="Q35" s="419">
        <v>346</v>
      </c>
    </row>
    <row r="36" spans="1:17" ht="14.4" customHeight="1" x14ac:dyDescent="0.3">
      <c r="A36" s="393" t="s">
        <v>402</v>
      </c>
      <c r="B36" s="417" t="s">
        <v>332</v>
      </c>
      <c r="C36" s="417" t="s">
        <v>333</v>
      </c>
      <c r="D36" s="417" t="s">
        <v>348</v>
      </c>
      <c r="E36" s="417" t="s">
        <v>349</v>
      </c>
      <c r="F36" s="394">
        <v>363</v>
      </c>
      <c r="G36" s="394">
        <v>195762</v>
      </c>
      <c r="H36" s="394">
        <v>1</v>
      </c>
      <c r="I36" s="394">
        <v>539.28925619834706</v>
      </c>
      <c r="J36" s="394">
        <v>510</v>
      </c>
      <c r="K36" s="394">
        <v>278460</v>
      </c>
      <c r="L36" s="394">
        <v>1.4224415361510405</v>
      </c>
      <c r="M36" s="394">
        <v>546</v>
      </c>
      <c r="N36" s="394">
        <v>506</v>
      </c>
      <c r="O36" s="394">
        <v>293480</v>
      </c>
      <c r="P36" s="418">
        <v>1.499167356279564</v>
      </c>
      <c r="Q36" s="419">
        <v>580</v>
      </c>
    </row>
    <row r="37" spans="1:17" ht="14.4" customHeight="1" x14ac:dyDescent="0.3">
      <c r="A37" s="393" t="s">
        <v>402</v>
      </c>
      <c r="B37" s="417" t="s">
        <v>332</v>
      </c>
      <c r="C37" s="417" t="s">
        <v>333</v>
      </c>
      <c r="D37" s="417" t="s">
        <v>356</v>
      </c>
      <c r="E37" s="417" t="s">
        <v>357</v>
      </c>
      <c r="F37" s="394">
        <v>60</v>
      </c>
      <c r="G37" s="394">
        <v>32400</v>
      </c>
      <c r="H37" s="394">
        <v>1</v>
      </c>
      <c r="I37" s="394">
        <v>540</v>
      </c>
      <c r="J37" s="394">
        <v>76</v>
      </c>
      <c r="K37" s="394">
        <v>41496</v>
      </c>
      <c r="L37" s="394">
        <v>1.2807407407407407</v>
      </c>
      <c r="M37" s="394">
        <v>546</v>
      </c>
      <c r="N37" s="394">
        <v>44</v>
      </c>
      <c r="O37" s="394">
        <v>25520</v>
      </c>
      <c r="P37" s="418">
        <v>0.78765432098765431</v>
      </c>
      <c r="Q37" s="419">
        <v>580</v>
      </c>
    </row>
    <row r="38" spans="1:17" ht="14.4" customHeight="1" x14ac:dyDescent="0.3">
      <c r="A38" s="393" t="s">
        <v>402</v>
      </c>
      <c r="B38" s="417" t="s">
        <v>332</v>
      </c>
      <c r="C38" s="417" t="s">
        <v>333</v>
      </c>
      <c r="D38" s="417" t="s">
        <v>358</v>
      </c>
      <c r="E38" s="417" t="s">
        <v>359</v>
      </c>
      <c r="F38" s="394"/>
      <c r="G38" s="394"/>
      <c r="H38" s="394"/>
      <c r="I38" s="394"/>
      <c r="J38" s="394">
        <v>24</v>
      </c>
      <c r="K38" s="394">
        <v>6552</v>
      </c>
      <c r="L38" s="394"/>
      <c r="M38" s="394">
        <v>273</v>
      </c>
      <c r="N38" s="394"/>
      <c r="O38" s="394"/>
      <c r="P38" s="418"/>
      <c r="Q38" s="419"/>
    </row>
    <row r="39" spans="1:17" ht="14.4" customHeight="1" x14ac:dyDescent="0.3">
      <c r="A39" s="393" t="s">
        <v>403</v>
      </c>
      <c r="B39" s="417" t="s">
        <v>332</v>
      </c>
      <c r="C39" s="417" t="s">
        <v>333</v>
      </c>
      <c r="D39" s="417" t="s">
        <v>338</v>
      </c>
      <c r="E39" s="417" t="s">
        <v>339</v>
      </c>
      <c r="F39" s="394">
        <v>4</v>
      </c>
      <c r="G39" s="394">
        <v>1288</v>
      </c>
      <c r="H39" s="394">
        <v>1</v>
      </c>
      <c r="I39" s="394">
        <v>322</v>
      </c>
      <c r="J39" s="394">
        <v>5</v>
      </c>
      <c r="K39" s="394">
        <v>1615</v>
      </c>
      <c r="L39" s="394">
        <v>1.2538819875776397</v>
      </c>
      <c r="M39" s="394">
        <v>323</v>
      </c>
      <c r="N39" s="394"/>
      <c r="O39" s="394"/>
      <c r="P39" s="418"/>
      <c r="Q39" s="419"/>
    </row>
    <row r="40" spans="1:17" ht="14.4" customHeight="1" x14ac:dyDescent="0.3">
      <c r="A40" s="393" t="s">
        <v>403</v>
      </c>
      <c r="B40" s="417" t="s">
        <v>332</v>
      </c>
      <c r="C40" s="417" t="s">
        <v>333</v>
      </c>
      <c r="D40" s="417" t="s">
        <v>342</v>
      </c>
      <c r="E40" s="417" t="s">
        <v>343</v>
      </c>
      <c r="F40" s="394"/>
      <c r="G40" s="394"/>
      <c r="H40" s="394"/>
      <c r="I40" s="394"/>
      <c r="J40" s="394"/>
      <c r="K40" s="394"/>
      <c r="L40" s="394"/>
      <c r="M40" s="394"/>
      <c r="N40" s="394">
        <v>4</v>
      </c>
      <c r="O40" s="394">
        <v>1384</v>
      </c>
      <c r="P40" s="418"/>
      <c r="Q40" s="419">
        <v>346</v>
      </c>
    </row>
    <row r="41" spans="1:17" ht="14.4" customHeight="1" x14ac:dyDescent="0.3">
      <c r="A41" s="393" t="s">
        <v>403</v>
      </c>
      <c r="B41" s="417" t="s">
        <v>332</v>
      </c>
      <c r="C41" s="417" t="s">
        <v>333</v>
      </c>
      <c r="D41" s="417" t="s">
        <v>356</v>
      </c>
      <c r="E41" s="417" t="s">
        <v>357</v>
      </c>
      <c r="F41" s="394"/>
      <c r="G41" s="394"/>
      <c r="H41" s="394"/>
      <c r="I41" s="394"/>
      <c r="J41" s="394">
        <v>32</v>
      </c>
      <c r="K41" s="394">
        <v>17472</v>
      </c>
      <c r="L41" s="394"/>
      <c r="M41" s="394">
        <v>546</v>
      </c>
      <c r="N41" s="394"/>
      <c r="O41" s="394"/>
      <c r="P41" s="418"/>
      <c r="Q41" s="419"/>
    </row>
    <row r="42" spans="1:17" ht="14.4" customHeight="1" x14ac:dyDescent="0.3">
      <c r="A42" s="393" t="s">
        <v>404</v>
      </c>
      <c r="B42" s="417" t="s">
        <v>332</v>
      </c>
      <c r="C42" s="417" t="s">
        <v>333</v>
      </c>
      <c r="D42" s="417" t="s">
        <v>338</v>
      </c>
      <c r="E42" s="417" t="s">
        <v>339</v>
      </c>
      <c r="F42" s="394">
        <v>20</v>
      </c>
      <c r="G42" s="394">
        <v>6428</v>
      </c>
      <c r="H42" s="394">
        <v>1</v>
      </c>
      <c r="I42" s="394">
        <v>321.39999999999998</v>
      </c>
      <c r="J42" s="394">
        <v>20</v>
      </c>
      <c r="K42" s="394">
        <v>6460</v>
      </c>
      <c r="L42" s="394">
        <v>1.0049782202862476</v>
      </c>
      <c r="M42" s="394">
        <v>323</v>
      </c>
      <c r="N42" s="394">
        <v>34</v>
      </c>
      <c r="O42" s="394">
        <v>11764</v>
      </c>
      <c r="P42" s="418">
        <v>1.8301182327317984</v>
      </c>
      <c r="Q42" s="419">
        <v>346</v>
      </c>
    </row>
    <row r="43" spans="1:17" ht="14.4" customHeight="1" x14ac:dyDescent="0.3">
      <c r="A43" s="393" t="s">
        <v>404</v>
      </c>
      <c r="B43" s="417" t="s">
        <v>332</v>
      </c>
      <c r="C43" s="417" t="s">
        <v>333</v>
      </c>
      <c r="D43" s="417" t="s">
        <v>348</v>
      </c>
      <c r="E43" s="417" t="s">
        <v>349</v>
      </c>
      <c r="F43" s="394">
        <v>4</v>
      </c>
      <c r="G43" s="394">
        <v>2152</v>
      </c>
      <c r="H43" s="394">
        <v>1</v>
      </c>
      <c r="I43" s="394">
        <v>538</v>
      </c>
      <c r="J43" s="394"/>
      <c r="K43" s="394"/>
      <c r="L43" s="394"/>
      <c r="M43" s="394"/>
      <c r="N43" s="394"/>
      <c r="O43" s="394"/>
      <c r="P43" s="418"/>
      <c r="Q43" s="419"/>
    </row>
    <row r="44" spans="1:17" ht="14.4" customHeight="1" x14ac:dyDescent="0.3">
      <c r="A44" s="393" t="s">
        <v>404</v>
      </c>
      <c r="B44" s="417" t="s">
        <v>332</v>
      </c>
      <c r="C44" s="417" t="s">
        <v>333</v>
      </c>
      <c r="D44" s="417" t="s">
        <v>350</v>
      </c>
      <c r="E44" s="417" t="s">
        <v>351</v>
      </c>
      <c r="F44" s="394"/>
      <c r="G44" s="394"/>
      <c r="H44" s="394"/>
      <c r="I44" s="394"/>
      <c r="J44" s="394"/>
      <c r="K44" s="394"/>
      <c r="L44" s="394"/>
      <c r="M44" s="394"/>
      <c r="N44" s="394">
        <v>6</v>
      </c>
      <c r="O44" s="394">
        <v>3486</v>
      </c>
      <c r="P44" s="418"/>
      <c r="Q44" s="419">
        <v>581</v>
      </c>
    </row>
    <row r="45" spans="1:17" ht="14.4" customHeight="1" x14ac:dyDescent="0.3">
      <c r="A45" s="393" t="s">
        <v>405</v>
      </c>
      <c r="B45" s="417" t="s">
        <v>332</v>
      </c>
      <c r="C45" s="417" t="s">
        <v>333</v>
      </c>
      <c r="D45" s="417" t="s">
        <v>336</v>
      </c>
      <c r="E45" s="417" t="s">
        <v>337</v>
      </c>
      <c r="F45" s="394">
        <v>2</v>
      </c>
      <c r="G45" s="394">
        <v>138</v>
      </c>
      <c r="H45" s="394">
        <v>1</v>
      </c>
      <c r="I45" s="394">
        <v>69</v>
      </c>
      <c r="J45" s="394"/>
      <c r="K45" s="394"/>
      <c r="L45" s="394"/>
      <c r="M45" s="394"/>
      <c r="N45" s="394"/>
      <c r="O45" s="394"/>
      <c r="P45" s="418"/>
      <c r="Q45" s="419"/>
    </row>
    <row r="46" spans="1:17" ht="14.4" customHeight="1" x14ac:dyDescent="0.3">
      <c r="A46" s="393" t="s">
        <v>405</v>
      </c>
      <c r="B46" s="417" t="s">
        <v>332</v>
      </c>
      <c r="C46" s="417" t="s">
        <v>333</v>
      </c>
      <c r="D46" s="417" t="s">
        <v>338</v>
      </c>
      <c r="E46" s="417" t="s">
        <v>339</v>
      </c>
      <c r="F46" s="394">
        <v>266</v>
      </c>
      <c r="G46" s="394">
        <v>84998</v>
      </c>
      <c r="H46" s="394">
        <v>1</v>
      </c>
      <c r="I46" s="394">
        <v>319.54135338345867</v>
      </c>
      <c r="J46" s="394">
        <v>214</v>
      </c>
      <c r="K46" s="394">
        <v>69122</v>
      </c>
      <c r="L46" s="394">
        <v>0.8132191345678722</v>
      </c>
      <c r="M46" s="394">
        <v>323</v>
      </c>
      <c r="N46" s="394">
        <v>630</v>
      </c>
      <c r="O46" s="394">
        <v>217980</v>
      </c>
      <c r="P46" s="418">
        <v>2.5645309301395325</v>
      </c>
      <c r="Q46" s="419">
        <v>346</v>
      </c>
    </row>
    <row r="47" spans="1:17" ht="14.4" customHeight="1" x14ac:dyDescent="0.3">
      <c r="A47" s="393" t="s">
        <v>405</v>
      </c>
      <c r="B47" s="417" t="s">
        <v>332</v>
      </c>
      <c r="C47" s="417" t="s">
        <v>333</v>
      </c>
      <c r="D47" s="417" t="s">
        <v>340</v>
      </c>
      <c r="E47" s="417" t="s">
        <v>341</v>
      </c>
      <c r="F47" s="394">
        <v>8</v>
      </c>
      <c r="G47" s="394">
        <v>2564</v>
      </c>
      <c r="H47" s="394">
        <v>1</v>
      </c>
      <c r="I47" s="394">
        <v>320.5</v>
      </c>
      <c r="J47" s="394">
        <v>3</v>
      </c>
      <c r="K47" s="394">
        <v>969</v>
      </c>
      <c r="L47" s="394">
        <v>0.37792511700468018</v>
      </c>
      <c r="M47" s="394">
        <v>323</v>
      </c>
      <c r="N47" s="394">
        <v>10</v>
      </c>
      <c r="O47" s="394">
        <v>3460</v>
      </c>
      <c r="P47" s="418">
        <v>1.3494539781591264</v>
      </c>
      <c r="Q47" s="419">
        <v>346</v>
      </c>
    </row>
    <row r="48" spans="1:17" ht="14.4" customHeight="1" x14ac:dyDescent="0.3">
      <c r="A48" s="393" t="s">
        <v>405</v>
      </c>
      <c r="B48" s="417" t="s">
        <v>332</v>
      </c>
      <c r="C48" s="417" t="s">
        <v>333</v>
      </c>
      <c r="D48" s="417" t="s">
        <v>342</v>
      </c>
      <c r="E48" s="417" t="s">
        <v>343</v>
      </c>
      <c r="F48" s="394">
        <v>4</v>
      </c>
      <c r="G48" s="394">
        <v>1276</v>
      </c>
      <c r="H48" s="394">
        <v>1</v>
      </c>
      <c r="I48" s="394">
        <v>319</v>
      </c>
      <c r="J48" s="394">
        <v>7</v>
      </c>
      <c r="K48" s="394">
        <v>2261</v>
      </c>
      <c r="L48" s="394">
        <v>1.7719435736677116</v>
      </c>
      <c r="M48" s="394">
        <v>323</v>
      </c>
      <c r="N48" s="394">
        <v>22</v>
      </c>
      <c r="O48" s="394">
        <v>7612</v>
      </c>
      <c r="P48" s="418">
        <v>5.9655172413793105</v>
      </c>
      <c r="Q48" s="419">
        <v>346</v>
      </c>
    </row>
    <row r="49" spans="1:17" ht="14.4" customHeight="1" x14ac:dyDescent="0.3">
      <c r="A49" s="393" t="s">
        <v>405</v>
      </c>
      <c r="B49" s="417" t="s">
        <v>332</v>
      </c>
      <c r="C49" s="417" t="s">
        <v>333</v>
      </c>
      <c r="D49" s="417" t="s">
        <v>406</v>
      </c>
      <c r="E49" s="417" t="s">
        <v>407</v>
      </c>
      <c r="F49" s="394"/>
      <c r="G49" s="394"/>
      <c r="H49" s="394"/>
      <c r="I49" s="394"/>
      <c r="J49" s="394">
        <v>2</v>
      </c>
      <c r="K49" s="394">
        <v>1290</v>
      </c>
      <c r="L49" s="394"/>
      <c r="M49" s="394">
        <v>645</v>
      </c>
      <c r="N49" s="394"/>
      <c r="O49" s="394"/>
      <c r="P49" s="418"/>
      <c r="Q49" s="419"/>
    </row>
    <row r="50" spans="1:17" ht="14.4" customHeight="1" x14ac:dyDescent="0.3">
      <c r="A50" s="393" t="s">
        <v>408</v>
      </c>
      <c r="B50" s="417" t="s">
        <v>332</v>
      </c>
      <c r="C50" s="417" t="s">
        <v>333</v>
      </c>
      <c r="D50" s="417" t="s">
        <v>338</v>
      </c>
      <c r="E50" s="417" t="s">
        <v>339</v>
      </c>
      <c r="F50" s="394">
        <v>16</v>
      </c>
      <c r="G50" s="394">
        <v>5104</v>
      </c>
      <c r="H50" s="394">
        <v>1</v>
      </c>
      <c r="I50" s="394">
        <v>319</v>
      </c>
      <c r="J50" s="394">
        <v>32</v>
      </c>
      <c r="K50" s="394">
        <v>10336</v>
      </c>
      <c r="L50" s="394">
        <v>2.0250783699059562</v>
      </c>
      <c r="M50" s="394">
        <v>323</v>
      </c>
      <c r="N50" s="394"/>
      <c r="O50" s="394"/>
      <c r="P50" s="418"/>
      <c r="Q50" s="419"/>
    </row>
    <row r="51" spans="1:17" ht="14.4" customHeight="1" x14ac:dyDescent="0.3">
      <c r="A51" s="393" t="s">
        <v>409</v>
      </c>
      <c r="B51" s="417" t="s">
        <v>332</v>
      </c>
      <c r="C51" s="417" t="s">
        <v>333</v>
      </c>
      <c r="D51" s="417" t="s">
        <v>338</v>
      </c>
      <c r="E51" s="417" t="s">
        <v>339</v>
      </c>
      <c r="F51" s="394">
        <v>12</v>
      </c>
      <c r="G51" s="394">
        <v>3840</v>
      </c>
      <c r="H51" s="394">
        <v>1</v>
      </c>
      <c r="I51" s="394">
        <v>320</v>
      </c>
      <c r="J51" s="394">
        <v>192</v>
      </c>
      <c r="K51" s="394">
        <v>62016</v>
      </c>
      <c r="L51" s="394">
        <v>16.149999999999999</v>
      </c>
      <c r="M51" s="394">
        <v>323</v>
      </c>
      <c r="N51" s="394">
        <v>236</v>
      </c>
      <c r="O51" s="394">
        <v>81656</v>
      </c>
      <c r="P51" s="418">
        <v>21.264583333333334</v>
      </c>
      <c r="Q51" s="419">
        <v>346</v>
      </c>
    </row>
    <row r="52" spans="1:17" ht="14.4" customHeight="1" x14ac:dyDescent="0.3">
      <c r="A52" s="393" t="s">
        <v>409</v>
      </c>
      <c r="B52" s="417" t="s">
        <v>332</v>
      </c>
      <c r="C52" s="417" t="s">
        <v>333</v>
      </c>
      <c r="D52" s="417" t="s">
        <v>348</v>
      </c>
      <c r="E52" s="417" t="s">
        <v>349</v>
      </c>
      <c r="F52" s="394">
        <v>12</v>
      </c>
      <c r="G52" s="394">
        <v>6480</v>
      </c>
      <c r="H52" s="394">
        <v>1</v>
      </c>
      <c r="I52" s="394">
        <v>540</v>
      </c>
      <c r="J52" s="394">
        <v>16</v>
      </c>
      <c r="K52" s="394">
        <v>8736</v>
      </c>
      <c r="L52" s="394">
        <v>1.3481481481481481</v>
      </c>
      <c r="M52" s="394">
        <v>546</v>
      </c>
      <c r="N52" s="394">
        <v>17</v>
      </c>
      <c r="O52" s="394">
        <v>9860</v>
      </c>
      <c r="P52" s="418">
        <v>1.521604938271605</v>
      </c>
      <c r="Q52" s="419">
        <v>580</v>
      </c>
    </row>
    <row r="53" spans="1:17" ht="14.4" customHeight="1" x14ac:dyDescent="0.3">
      <c r="A53" s="393" t="s">
        <v>410</v>
      </c>
      <c r="B53" s="417" t="s">
        <v>332</v>
      </c>
      <c r="C53" s="417" t="s">
        <v>333</v>
      </c>
      <c r="D53" s="417" t="s">
        <v>338</v>
      </c>
      <c r="E53" s="417" t="s">
        <v>339</v>
      </c>
      <c r="F53" s="394">
        <v>12</v>
      </c>
      <c r="G53" s="394">
        <v>3840</v>
      </c>
      <c r="H53" s="394">
        <v>1</v>
      </c>
      <c r="I53" s="394">
        <v>320</v>
      </c>
      <c r="J53" s="394">
        <v>108</v>
      </c>
      <c r="K53" s="394">
        <v>34884</v>
      </c>
      <c r="L53" s="394">
        <v>9.0843749999999996</v>
      </c>
      <c r="M53" s="394">
        <v>323</v>
      </c>
      <c r="N53" s="394">
        <v>68</v>
      </c>
      <c r="O53" s="394">
        <v>23528</v>
      </c>
      <c r="P53" s="418">
        <v>6.1270833333333332</v>
      </c>
      <c r="Q53" s="419">
        <v>346</v>
      </c>
    </row>
    <row r="54" spans="1:17" ht="14.4" customHeight="1" x14ac:dyDescent="0.3">
      <c r="A54" s="393" t="s">
        <v>410</v>
      </c>
      <c r="B54" s="417" t="s">
        <v>332</v>
      </c>
      <c r="C54" s="417" t="s">
        <v>333</v>
      </c>
      <c r="D54" s="417" t="s">
        <v>348</v>
      </c>
      <c r="E54" s="417" t="s">
        <v>349</v>
      </c>
      <c r="F54" s="394">
        <v>5</v>
      </c>
      <c r="G54" s="394">
        <v>2714</v>
      </c>
      <c r="H54" s="394">
        <v>1</v>
      </c>
      <c r="I54" s="394">
        <v>542.79999999999995</v>
      </c>
      <c r="J54" s="394">
        <v>46</v>
      </c>
      <c r="K54" s="394">
        <v>25116</v>
      </c>
      <c r="L54" s="394">
        <v>9.2542372881355934</v>
      </c>
      <c r="M54" s="394">
        <v>546</v>
      </c>
      <c r="N54" s="394">
        <v>34</v>
      </c>
      <c r="O54" s="394">
        <v>19720</v>
      </c>
      <c r="P54" s="418">
        <v>7.2660280029476789</v>
      </c>
      <c r="Q54" s="419">
        <v>580</v>
      </c>
    </row>
    <row r="55" spans="1:17" ht="14.4" customHeight="1" x14ac:dyDescent="0.3">
      <c r="A55" s="393" t="s">
        <v>411</v>
      </c>
      <c r="B55" s="417" t="s">
        <v>332</v>
      </c>
      <c r="C55" s="417" t="s">
        <v>333</v>
      </c>
      <c r="D55" s="417" t="s">
        <v>338</v>
      </c>
      <c r="E55" s="417" t="s">
        <v>339</v>
      </c>
      <c r="F55" s="394">
        <v>132</v>
      </c>
      <c r="G55" s="394">
        <v>42324</v>
      </c>
      <c r="H55" s="394">
        <v>1</v>
      </c>
      <c r="I55" s="394">
        <v>320.63636363636363</v>
      </c>
      <c r="J55" s="394">
        <v>164</v>
      </c>
      <c r="K55" s="394">
        <v>52972</v>
      </c>
      <c r="L55" s="394">
        <v>1.2515830261790002</v>
      </c>
      <c r="M55" s="394">
        <v>323</v>
      </c>
      <c r="N55" s="394">
        <v>144</v>
      </c>
      <c r="O55" s="394">
        <v>49824</v>
      </c>
      <c r="P55" s="418">
        <v>1.1772044230223986</v>
      </c>
      <c r="Q55" s="419">
        <v>346</v>
      </c>
    </row>
    <row r="56" spans="1:17" ht="14.4" customHeight="1" x14ac:dyDescent="0.3">
      <c r="A56" s="393" t="s">
        <v>411</v>
      </c>
      <c r="B56" s="417" t="s">
        <v>332</v>
      </c>
      <c r="C56" s="417" t="s">
        <v>333</v>
      </c>
      <c r="D56" s="417" t="s">
        <v>340</v>
      </c>
      <c r="E56" s="417" t="s">
        <v>341</v>
      </c>
      <c r="F56" s="394"/>
      <c r="G56" s="394"/>
      <c r="H56" s="394"/>
      <c r="I56" s="394"/>
      <c r="J56" s="394">
        <v>4</v>
      </c>
      <c r="K56" s="394">
        <v>1292</v>
      </c>
      <c r="L56" s="394"/>
      <c r="M56" s="394">
        <v>323</v>
      </c>
      <c r="N56" s="394"/>
      <c r="O56" s="394"/>
      <c r="P56" s="418"/>
      <c r="Q56" s="419"/>
    </row>
    <row r="57" spans="1:17" ht="14.4" customHeight="1" x14ac:dyDescent="0.3">
      <c r="A57" s="393" t="s">
        <v>411</v>
      </c>
      <c r="B57" s="417" t="s">
        <v>332</v>
      </c>
      <c r="C57" s="417" t="s">
        <v>333</v>
      </c>
      <c r="D57" s="417" t="s">
        <v>348</v>
      </c>
      <c r="E57" s="417" t="s">
        <v>349</v>
      </c>
      <c r="F57" s="394"/>
      <c r="G57" s="394"/>
      <c r="H57" s="394"/>
      <c r="I57" s="394"/>
      <c r="J57" s="394">
        <v>6</v>
      </c>
      <c r="K57" s="394">
        <v>3276</v>
      </c>
      <c r="L57" s="394"/>
      <c r="M57" s="394">
        <v>546</v>
      </c>
      <c r="N57" s="394"/>
      <c r="O57" s="394"/>
      <c r="P57" s="418"/>
      <c r="Q57" s="419"/>
    </row>
    <row r="58" spans="1:17" ht="14.4" customHeight="1" x14ac:dyDescent="0.3">
      <c r="A58" s="393" t="s">
        <v>412</v>
      </c>
      <c r="B58" s="417" t="s">
        <v>332</v>
      </c>
      <c r="C58" s="417" t="s">
        <v>333</v>
      </c>
      <c r="D58" s="417" t="s">
        <v>338</v>
      </c>
      <c r="E58" s="417" t="s">
        <v>339</v>
      </c>
      <c r="F58" s="394">
        <v>435</v>
      </c>
      <c r="G58" s="394">
        <v>138957</v>
      </c>
      <c r="H58" s="394">
        <v>1</v>
      </c>
      <c r="I58" s="394">
        <v>319.44137931034481</v>
      </c>
      <c r="J58" s="394">
        <v>678</v>
      </c>
      <c r="K58" s="394">
        <v>218994</v>
      </c>
      <c r="L58" s="394">
        <v>1.5759839374770612</v>
      </c>
      <c r="M58" s="394">
        <v>323</v>
      </c>
      <c r="N58" s="394">
        <v>707</v>
      </c>
      <c r="O58" s="394">
        <v>244622</v>
      </c>
      <c r="P58" s="418">
        <v>1.7604150924386681</v>
      </c>
      <c r="Q58" s="419">
        <v>346</v>
      </c>
    </row>
    <row r="59" spans="1:17" ht="14.4" customHeight="1" x14ac:dyDescent="0.3">
      <c r="A59" s="393" t="s">
        <v>412</v>
      </c>
      <c r="B59" s="417" t="s">
        <v>332</v>
      </c>
      <c r="C59" s="417" t="s">
        <v>333</v>
      </c>
      <c r="D59" s="417" t="s">
        <v>342</v>
      </c>
      <c r="E59" s="417" t="s">
        <v>343</v>
      </c>
      <c r="F59" s="394">
        <v>1</v>
      </c>
      <c r="G59" s="394">
        <v>319</v>
      </c>
      <c r="H59" s="394">
        <v>1</v>
      </c>
      <c r="I59" s="394">
        <v>319</v>
      </c>
      <c r="J59" s="394"/>
      <c r="K59" s="394"/>
      <c r="L59" s="394"/>
      <c r="M59" s="394"/>
      <c r="N59" s="394">
        <v>10</v>
      </c>
      <c r="O59" s="394">
        <v>3460</v>
      </c>
      <c r="P59" s="418">
        <v>10.846394984326018</v>
      </c>
      <c r="Q59" s="419">
        <v>346</v>
      </c>
    </row>
    <row r="60" spans="1:17" ht="14.4" customHeight="1" x14ac:dyDescent="0.3">
      <c r="A60" s="393" t="s">
        <v>412</v>
      </c>
      <c r="B60" s="417" t="s">
        <v>332</v>
      </c>
      <c r="C60" s="417" t="s">
        <v>333</v>
      </c>
      <c r="D60" s="417" t="s">
        <v>348</v>
      </c>
      <c r="E60" s="417" t="s">
        <v>349</v>
      </c>
      <c r="F60" s="394"/>
      <c r="G60" s="394"/>
      <c r="H60" s="394"/>
      <c r="I60" s="394"/>
      <c r="J60" s="394"/>
      <c r="K60" s="394"/>
      <c r="L60" s="394"/>
      <c r="M60" s="394"/>
      <c r="N60" s="394">
        <v>6</v>
      </c>
      <c r="O60" s="394">
        <v>3480</v>
      </c>
      <c r="P60" s="418"/>
      <c r="Q60" s="419">
        <v>580</v>
      </c>
    </row>
    <row r="61" spans="1:17" ht="14.4" customHeight="1" x14ac:dyDescent="0.3">
      <c r="A61" s="393" t="s">
        <v>413</v>
      </c>
      <c r="B61" s="417" t="s">
        <v>332</v>
      </c>
      <c r="C61" s="417" t="s">
        <v>333</v>
      </c>
      <c r="D61" s="417" t="s">
        <v>338</v>
      </c>
      <c r="E61" s="417" t="s">
        <v>339</v>
      </c>
      <c r="F61" s="394">
        <v>14</v>
      </c>
      <c r="G61" s="394">
        <v>4466</v>
      </c>
      <c r="H61" s="394">
        <v>1</v>
      </c>
      <c r="I61" s="394">
        <v>319</v>
      </c>
      <c r="J61" s="394"/>
      <c r="K61" s="394"/>
      <c r="L61" s="394"/>
      <c r="M61" s="394"/>
      <c r="N61" s="394">
        <v>28</v>
      </c>
      <c r="O61" s="394">
        <v>9688</v>
      </c>
      <c r="P61" s="418">
        <v>2.169278996865204</v>
      </c>
      <c r="Q61" s="419">
        <v>346</v>
      </c>
    </row>
    <row r="62" spans="1:17" ht="14.4" customHeight="1" x14ac:dyDescent="0.3">
      <c r="A62" s="393" t="s">
        <v>414</v>
      </c>
      <c r="B62" s="417" t="s">
        <v>332</v>
      </c>
      <c r="C62" s="417" t="s">
        <v>333</v>
      </c>
      <c r="D62" s="417" t="s">
        <v>338</v>
      </c>
      <c r="E62" s="417" t="s">
        <v>339</v>
      </c>
      <c r="F62" s="394">
        <v>4</v>
      </c>
      <c r="G62" s="394">
        <v>1288</v>
      </c>
      <c r="H62" s="394">
        <v>1</v>
      </c>
      <c r="I62" s="394">
        <v>322</v>
      </c>
      <c r="J62" s="394">
        <v>16</v>
      </c>
      <c r="K62" s="394">
        <v>5168</v>
      </c>
      <c r="L62" s="394">
        <v>4.012422360248447</v>
      </c>
      <c r="M62" s="394">
        <v>323</v>
      </c>
      <c r="N62" s="394">
        <v>28</v>
      </c>
      <c r="O62" s="394">
        <v>9688</v>
      </c>
      <c r="P62" s="418">
        <v>7.5217391304347823</v>
      </c>
      <c r="Q62" s="419">
        <v>346</v>
      </c>
    </row>
    <row r="63" spans="1:17" ht="14.4" customHeight="1" thickBot="1" x14ac:dyDescent="0.35">
      <c r="A63" s="397" t="s">
        <v>414</v>
      </c>
      <c r="B63" s="420" t="s">
        <v>332</v>
      </c>
      <c r="C63" s="420" t="s">
        <v>333</v>
      </c>
      <c r="D63" s="420" t="s">
        <v>342</v>
      </c>
      <c r="E63" s="420" t="s">
        <v>343</v>
      </c>
      <c r="F63" s="398">
        <v>22</v>
      </c>
      <c r="G63" s="398">
        <v>7018</v>
      </c>
      <c r="H63" s="398">
        <v>1</v>
      </c>
      <c r="I63" s="398">
        <v>319</v>
      </c>
      <c r="J63" s="398">
        <v>8</v>
      </c>
      <c r="K63" s="398">
        <v>2584</v>
      </c>
      <c r="L63" s="398">
        <v>0.36819606725562837</v>
      </c>
      <c r="M63" s="398">
        <v>323</v>
      </c>
      <c r="N63" s="398">
        <v>12</v>
      </c>
      <c r="O63" s="398">
        <v>4152</v>
      </c>
      <c r="P63" s="421">
        <v>0.59162154459960103</v>
      </c>
      <c r="Q63" s="422">
        <v>346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0" bestFit="1" customWidth="1"/>
    <col min="2" max="2" width="11.6640625" style="120" hidden="1" customWidth="1"/>
    <col min="3" max="4" width="11" style="122" customWidth="1"/>
    <col min="5" max="5" width="11" style="123" customWidth="1"/>
    <col min="6" max="16384" width="8.88671875" style="120"/>
  </cols>
  <sheetData>
    <row r="1" spans="1:5" ht="18.600000000000001" thickBot="1" x14ac:dyDescent="0.4">
      <c r="A1" s="262" t="s">
        <v>94</v>
      </c>
      <c r="B1" s="262"/>
      <c r="C1" s="263"/>
      <c r="D1" s="263"/>
      <c r="E1" s="263"/>
    </row>
    <row r="2" spans="1:5" ht="14.4" customHeight="1" thickBot="1" x14ac:dyDescent="0.35">
      <c r="A2" s="194" t="s">
        <v>190</v>
      </c>
      <c r="B2" s="121"/>
    </row>
    <row r="3" spans="1:5" ht="14.4" customHeight="1" thickBot="1" x14ac:dyDescent="0.35">
      <c r="A3" s="124"/>
      <c r="C3" s="125" t="s">
        <v>84</v>
      </c>
      <c r="D3" s="126" t="s">
        <v>50</v>
      </c>
      <c r="E3" s="127" t="s">
        <v>52</v>
      </c>
    </row>
    <row r="4" spans="1:5" ht="14.4" customHeight="1" thickBot="1" x14ac:dyDescent="0.35">
      <c r="A4" s="128" t="str">
        <f>HYPERLINK("#HI!A1","NÁKLADY CELKEM (v tisících Kč)")</f>
        <v>NÁKLADY CELKEM (v tisících Kč)</v>
      </c>
      <c r="B4" s="129"/>
      <c r="C4" s="130">
        <f ca="1">IF(ISERROR(VLOOKUP("Náklady celkem",INDIRECT("HI!$A:$G"),6,0)),0,VLOOKUP("Náklady celkem",INDIRECT("HI!$A:$G"),6,0))</f>
        <v>2524.8524013322067</v>
      </c>
      <c r="D4" s="130">
        <f ca="1">IF(ISERROR(VLOOKUP("Náklady celkem",INDIRECT("HI!$A:$G"),5,0)),0,VLOOKUP("Náklady celkem",INDIRECT("HI!$A:$G"),5,0))</f>
        <v>2510.48272</v>
      </c>
      <c r="E4" s="131">
        <f ca="1">IF(C4=0,0,D4/C4)</f>
        <v>0.99430870441193919</v>
      </c>
    </row>
    <row r="5" spans="1:5" ht="14.4" customHeight="1" x14ac:dyDescent="0.3">
      <c r="A5" s="132" t="s">
        <v>108</v>
      </c>
      <c r="B5" s="133"/>
      <c r="C5" s="134"/>
      <c r="D5" s="134"/>
      <c r="E5" s="135"/>
    </row>
    <row r="6" spans="1:5" ht="14.4" customHeight="1" x14ac:dyDescent="0.3">
      <c r="A6" s="136" t="s">
        <v>113</v>
      </c>
      <c r="B6" s="137"/>
      <c r="C6" s="138"/>
      <c r="D6" s="138"/>
      <c r="E6" s="135"/>
    </row>
    <row r="7" spans="1:5" ht="14.4" customHeight="1" x14ac:dyDescent="0.3">
      <c r="A7" s="25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7" t="s">
        <v>88</v>
      </c>
      <c r="C7" s="138">
        <f>IF(ISERROR(HI!F5),"",HI!F5)</f>
        <v>0.33333342521833331</v>
      </c>
      <c r="D7" s="138">
        <f>IF(ISERROR(HI!E5),"",HI!E5)</f>
        <v>0</v>
      </c>
      <c r="E7" s="135">
        <f t="shared" ref="E7:E11" si="0">IF(C7=0,0,D7/C7)</f>
        <v>0</v>
      </c>
    </row>
    <row r="8" spans="1:5" ht="14.4" customHeight="1" x14ac:dyDescent="0.3">
      <c r="A8" s="140" t="s">
        <v>109</v>
      </c>
      <c r="B8" s="137"/>
      <c r="C8" s="138"/>
      <c r="D8" s="138"/>
      <c r="E8" s="135"/>
    </row>
    <row r="9" spans="1:5" ht="14.4" customHeight="1" x14ac:dyDescent="0.3">
      <c r="A9" s="140" t="s">
        <v>110</v>
      </c>
      <c r="B9" s="137"/>
      <c r="C9" s="138"/>
      <c r="D9" s="138"/>
      <c r="E9" s="135"/>
    </row>
    <row r="10" spans="1:5" ht="14.4" customHeight="1" x14ac:dyDescent="0.3">
      <c r="A10" s="141" t="s">
        <v>114</v>
      </c>
      <c r="B10" s="137"/>
      <c r="C10" s="134"/>
      <c r="D10" s="134"/>
      <c r="E10" s="135"/>
    </row>
    <row r="11" spans="1:5" ht="14.4" customHeight="1" x14ac:dyDescent="0.3">
      <c r="A11" s="14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7" t="s">
        <v>88</v>
      </c>
      <c r="C11" s="138">
        <f>IF(ISERROR(HI!F6),"",HI!F6)</f>
        <v>0</v>
      </c>
      <c r="D11" s="138">
        <f>IF(ISERROR(HI!E6),"",HI!E6)</f>
        <v>0</v>
      </c>
      <c r="E11" s="135">
        <f t="shared" si="0"/>
        <v>0</v>
      </c>
    </row>
    <row r="12" spans="1:5" ht="14.4" customHeight="1" thickBot="1" x14ac:dyDescent="0.35">
      <c r="A12" s="143" t="str">
        <f>HYPERLINK("#HI!A1","Osobní náklady")</f>
        <v>Osobní náklady</v>
      </c>
      <c r="B12" s="137"/>
      <c r="C12" s="134">
        <f ca="1">IF(ISERROR(VLOOKUP("Osobní náklady (Kč) *",INDIRECT("HI!$A:$G"),6,0)),0,VLOOKUP("Osobní náklady (Kč) *",INDIRECT("HI!$A:$G"),6,0))</f>
        <v>2398.6673278727567</v>
      </c>
      <c r="D12" s="134">
        <f ca="1">IF(ISERROR(VLOOKUP("Osobní náklady (Kč) *",INDIRECT("HI!$A:$G"),5,0)),0,VLOOKUP("Osobní náklady (Kč) *",INDIRECT("HI!$A:$G"),5,0))</f>
        <v>2393.6000200000003</v>
      </c>
      <c r="E12" s="135">
        <f ca="1">IF(C12=0,0,D12/C12)</f>
        <v>0.99788744866206591</v>
      </c>
    </row>
    <row r="13" spans="1:5" ht="14.4" customHeight="1" thickBot="1" x14ac:dyDescent="0.35">
      <c r="A13" s="147"/>
      <c r="B13" s="148"/>
      <c r="C13" s="149"/>
      <c r="D13" s="149"/>
      <c r="E13" s="150"/>
    </row>
    <row r="14" spans="1:5" ht="14.4" customHeight="1" thickBot="1" x14ac:dyDescent="0.35">
      <c r="A14" s="151" t="str">
        <f>HYPERLINK("#HI!A1","VÝNOSY CELKEM (v tisících)")</f>
        <v>VÝNOSY CELKEM (v tisících)</v>
      </c>
      <c r="B14" s="152"/>
      <c r="C14" s="153">
        <f ca="1">IF(ISERROR(VLOOKUP("Výnosy celkem",INDIRECT("HI!$A:$G"),6,0)),0,VLOOKUP("Výnosy celkem",INDIRECT("HI!$A:$G"),6,0))</f>
        <v>1506.5429999999999</v>
      </c>
      <c r="D14" s="153">
        <f ca="1">IF(ISERROR(VLOOKUP("Výnosy celkem",INDIRECT("HI!$A:$G"),5,0)),0,VLOOKUP("Výnosy celkem",INDIRECT("HI!$A:$G"),5,0))</f>
        <v>1707.55268</v>
      </c>
      <c r="E14" s="154">
        <f t="shared" ref="E14:E17" ca="1" si="1">IF(C14=0,0,D14/C14)</f>
        <v>1.1334244558568858</v>
      </c>
    </row>
    <row r="15" spans="1:5" ht="14.4" customHeight="1" x14ac:dyDescent="0.3">
      <c r="A15" s="155" t="str">
        <f>HYPERLINK("#HI!A1","Ambulance (body za výkony + Kč za ZUM a ZULP)")</f>
        <v>Ambulance (body za výkony + Kč za ZUM a ZULP)</v>
      </c>
      <c r="B15" s="133"/>
      <c r="C15" s="134">
        <f ca="1">IF(ISERROR(VLOOKUP("Ambulance *",INDIRECT("HI!$A:$G"),6,0)),0,VLOOKUP("Ambulance *",INDIRECT("HI!$A:$G"),6,0))</f>
        <v>1506.5429999999999</v>
      </c>
      <c r="D15" s="134">
        <f ca="1">IF(ISERROR(VLOOKUP("Ambulance *",INDIRECT("HI!$A:$G"),5,0)),0,VLOOKUP("Ambulance *",INDIRECT("HI!$A:$G"),5,0))</f>
        <v>1707.55268</v>
      </c>
      <c r="E15" s="135">
        <f t="shared" ca="1" si="1"/>
        <v>1.1334244558568858</v>
      </c>
    </row>
    <row r="16" spans="1:5" ht="14.4" customHeight="1" x14ac:dyDescent="0.3">
      <c r="A16" s="156" t="str">
        <f>HYPERLINK("#'ZV Vykáz.-A'!A1","Zdravotní výkony vykázané u ambulantních pacientů (min. 100 %)")</f>
        <v>Zdravotní výkony vykázané u ambulantních pacientů (min. 100 %)</v>
      </c>
      <c r="B16" s="120" t="s">
        <v>96</v>
      </c>
      <c r="C16" s="139">
        <v>1</v>
      </c>
      <c r="D16" s="139">
        <f>IF(ISERROR(VLOOKUP("Celkem:",'ZV Vykáz.-A'!$A:$S,7,0)),"",VLOOKUP("Celkem:",'ZV Vykáz.-A'!$A:$S,7,0))</f>
        <v>1.1334244558568856</v>
      </c>
      <c r="E16" s="135">
        <f t="shared" si="1"/>
        <v>1.1334244558568856</v>
      </c>
    </row>
    <row r="17" spans="1:5" ht="14.4" customHeight="1" x14ac:dyDescent="0.3">
      <c r="A17" s="156" t="str">
        <f>HYPERLINK("#'ZV Vykáz.-H'!A1","Zdravotní výkony vykázané u hospitalizovaných pacientů (max. 85 %)")</f>
        <v>Zdravotní výkony vykázané u hospitalizovaných pacientů (max. 85 %)</v>
      </c>
      <c r="B17" s="120" t="s">
        <v>98</v>
      </c>
      <c r="C17" s="139">
        <v>0.85</v>
      </c>
      <c r="D17" s="139">
        <f>IF(ISERROR(VLOOKUP("Celkem:",'ZV Vykáz.-H'!$A:$S,7,0)),"",VLOOKUP("Celkem:",'ZV Vykáz.-H'!$A:$S,7,0))</f>
        <v>1.3522339811657724</v>
      </c>
      <c r="E17" s="135">
        <f t="shared" si="1"/>
        <v>1.59086350725385</v>
      </c>
    </row>
    <row r="18" spans="1:5" ht="14.4" customHeight="1" x14ac:dyDescent="0.3">
      <c r="A18" s="157" t="str">
        <f>HYPERLINK("#HI!A1","Hospitalizace (casemix * 30000)")</f>
        <v>Hospitalizace (casemix * 30000)</v>
      </c>
      <c r="B18" s="137"/>
      <c r="C18" s="134">
        <f ca="1">IF(ISERROR(VLOOKUP("Hospitalizace *",INDIRECT("HI!$A:$G"),6,0)),0,VLOOKUP("Hospitalizace *",INDIRECT("HI!$A:$G"),6,0))</f>
        <v>0</v>
      </c>
      <c r="D18" s="134">
        <f ca="1">IF(ISERROR(VLOOKUP("Hospitalizace *",INDIRECT("HI!$A:$G"),5,0)),0,VLOOKUP("Hospitalizace *",INDIRECT("HI!$A:$G"),5,0))</f>
        <v>0</v>
      </c>
      <c r="E18" s="135">
        <f ca="1">IF(C18=0,0,D18/C18)</f>
        <v>0</v>
      </c>
    </row>
    <row r="19" spans="1:5" ht="14.4" customHeight="1" thickBot="1" x14ac:dyDescent="0.35">
      <c r="A19" s="158" t="s">
        <v>111</v>
      </c>
      <c r="B19" s="144"/>
      <c r="C19" s="145"/>
      <c r="D19" s="145"/>
      <c r="E19" s="146"/>
    </row>
    <row r="20" spans="1:5" ht="14.4" customHeight="1" thickBot="1" x14ac:dyDescent="0.35">
      <c r="A20" s="159"/>
      <c r="B20" s="160"/>
      <c r="C20" s="161"/>
      <c r="D20" s="161"/>
      <c r="E20" s="162"/>
    </row>
    <row r="21" spans="1:5" ht="14.4" customHeight="1" thickBot="1" x14ac:dyDescent="0.35">
      <c r="A21" s="163" t="s">
        <v>112</v>
      </c>
      <c r="B21" s="164"/>
      <c r="C21" s="165"/>
      <c r="D21" s="165"/>
      <c r="E21" s="166"/>
    </row>
  </sheetData>
  <mergeCells count="1">
    <mergeCell ref="A1:E1"/>
  </mergeCells>
  <conditionalFormatting sqref="E5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9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7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8">
    <cfRule type="cellIs" dxfId="46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 E16">
    <cfRule type="cellIs" dxfId="44" priority="20" operator="lessThan">
      <formula>1</formula>
    </cfRule>
  </conditionalFormatting>
  <conditionalFormatting sqref="E14 E16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1 E17">
    <cfRule type="cellIs" dxfId="43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2" bestFit="1" customWidth="1"/>
    <col min="2" max="3" width="9.5546875" style="102" customWidth="1"/>
    <col min="4" max="4" width="2.21875" style="102" customWidth="1"/>
    <col min="5" max="8" width="9.5546875" style="102" customWidth="1"/>
    <col min="9" max="16384" width="8.88671875" style="102"/>
  </cols>
  <sheetData>
    <row r="1" spans="1:8" ht="18.600000000000001" customHeight="1" thickBot="1" x14ac:dyDescent="0.4">
      <c r="A1" s="262" t="s">
        <v>103</v>
      </c>
      <c r="B1" s="262"/>
      <c r="C1" s="262"/>
      <c r="D1" s="262"/>
      <c r="E1" s="262"/>
      <c r="F1" s="262"/>
      <c r="G1" s="263"/>
      <c r="H1" s="263"/>
    </row>
    <row r="2" spans="1:8" ht="14.4" customHeight="1" thickBot="1" x14ac:dyDescent="0.35">
      <c r="A2" s="194" t="s">
        <v>190</v>
      </c>
      <c r="B2" s="83"/>
      <c r="C2" s="83"/>
      <c r="D2" s="83"/>
      <c r="E2" s="83"/>
      <c r="F2" s="83"/>
    </row>
    <row r="3" spans="1:8" ht="14.4" customHeight="1" x14ac:dyDescent="0.3">
      <c r="A3" s="264"/>
      <c r="B3" s="79">
        <v>2014</v>
      </c>
      <c r="C3" s="40">
        <v>2015</v>
      </c>
      <c r="D3" s="7"/>
      <c r="E3" s="268">
        <v>2016</v>
      </c>
      <c r="F3" s="269"/>
      <c r="G3" s="269"/>
      <c r="H3" s="270"/>
    </row>
    <row r="4" spans="1:8" ht="14.4" customHeight="1" thickBot="1" x14ac:dyDescent="0.35">
      <c r="A4" s="265"/>
      <c r="B4" s="266" t="s">
        <v>50</v>
      </c>
      <c r="C4" s="267"/>
      <c r="D4" s="7"/>
      <c r="E4" s="100" t="s">
        <v>50</v>
      </c>
      <c r="F4" s="81" t="s">
        <v>51</v>
      </c>
      <c r="G4" s="81" t="s">
        <v>45</v>
      </c>
      <c r="H4" s="82" t="s">
        <v>52</v>
      </c>
    </row>
    <row r="5" spans="1:8" ht="14.4" customHeight="1" x14ac:dyDescent="0.3">
      <c r="A5" s="84" t="str">
        <f>HYPERLINK("#'Léky Žádanky'!A1","Léky (Kč)")</f>
        <v>Léky (Kč)</v>
      </c>
      <c r="B5" s="27">
        <v>0</v>
      </c>
      <c r="C5" s="29">
        <v>0</v>
      </c>
      <c r="D5" s="8"/>
      <c r="E5" s="89">
        <v>0</v>
      </c>
      <c r="F5" s="28">
        <v>0.33333342521833331</v>
      </c>
      <c r="G5" s="88">
        <f>E5-F5</f>
        <v>-0.33333342521833331</v>
      </c>
      <c r="H5" s="94">
        <f>IF(F5&lt;0.00000001,"",E5/F5)</f>
        <v>0</v>
      </c>
    </row>
    <row r="6" spans="1:8" ht="14.4" customHeight="1" x14ac:dyDescent="0.3">
      <c r="A6" s="84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8" ht="14.4" customHeight="1" x14ac:dyDescent="0.3">
      <c r="A7" s="84" t="str">
        <f>HYPERLINK("#'Osobní náklady'!A1","Osobní náklady (Kč) *")</f>
        <v>Osobní náklady (Kč) *</v>
      </c>
      <c r="B7" s="10">
        <v>2126.6786200000033</v>
      </c>
      <c r="C7" s="31">
        <v>2261.3285200000009</v>
      </c>
      <c r="D7" s="8"/>
      <c r="E7" s="90">
        <v>2393.6000200000003</v>
      </c>
      <c r="F7" s="30">
        <v>2398.6673278727567</v>
      </c>
      <c r="G7" s="91">
        <f>E7-F7</f>
        <v>-5.0673078727563734</v>
      </c>
      <c r="H7" s="95">
        <f>IF(F7&lt;0.00000001,"",E7/F7)</f>
        <v>0.99788744866206591</v>
      </c>
    </row>
    <row r="8" spans="1:8" ht="14.4" customHeight="1" thickBot="1" x14ac:dyDescent="0.35">
      <c r="A8" s="1" t="s">
        <v>53</v>
      </c>
      <c r="B8" s="11">
        <v>79.191659999999501</v>
      </c>
      <c r="C8" s="33">
        <v>92.639540000001034</v>
      </c>
      <c r="D8" s="8"/>
      <c r="E8" s="92">
        <v>116.88269999999966</v>
      </c>
      <c r="F8" s="32">
        <v>125.85174003423167</v>
      </c>
      <c r="G8" s="93">
        <f>E8-F8</f>
        <v>-8.9690400342320089</v>
      </c>
      <c r="H8" s="96">
        <f>IF(F8&lt;0.00000001,"",E8/F8)</f>
        <v>0.92873328543735323</v>
      </c>
    </row>
    <row r="9" spans="1:8" ht="14.4" customHeight="1" thickBot="1" x14ac:dyDescent="0.35">
      <c r="A9" s="2" t="s">
        <v>54</v>
      </c>
      <c r="B9" s="3">
        <v>2205.8702800000028</v>
      </c>
      <c r="C9" s="35">
        <v>2353.968060000002</v>
      </c>
      <c r="D9" s="8"/>
      <c r="E9" s="3">
        <v>2510.48272</v>
      </c>
      <c r="F9" s="34">
        <v>2524.8524013322067</v>
      </c>
      <c r="G9" s="34">
        <f>E9-F9</f>
        <v>-14.36968133220671</v>
      </c>
      <c r="H9" s="97">
        <f>IF(F9&lt;0.00000001,"",E9/F9)</f>
        <v>0.99430870441193919</v>
      </c>
    </row>
    <row r="10" spans="1:8" ht="14.4" customHeight="1" thickBot="1" x14ac:dyDescent="0.35">
      <c r="A10" s="12"/>
      <c r="B10" s="12"/>
      <c r="C10" s="80"/>
      <c r="D10" s="8"/>
      <c r="E10" s="12"/>
      <c r="F10" s="13"/>
    </row>
    <row r="11" spans="1:8" ht="14.4" customHeight="1" x14ac:dyDescent="0.3">
      <c r="A11" s="105" t="str">
        <f>HYPERLINK("#'ZV Vykáz.-A'!A1","Ambulance *")</f>
        <v>Ambulance *</v>
      </c>
      <c r="B11" s="9">
        <f>IF(ISERROR(VLOOKUP("Celkem:",'ZV Vykáz.-A'!A:F,2,0)),0,VLOOKUP("Celkem:",'ZV Vykáz.-A'!A:F,2,0)/1000)</f>
        <v>1506.5429999999999</v>
      </c>
      <c r="C11" s="29">
        <f>IF(ISERROR(VLOOKUP("Celkem:",'ZV Vykáz.-A'!A:F,4,0)),0,VLOOKUP("Celkem:",'ZV Vykáz.-A'!A:F,4,0)/1000)</f>
        <v>1372.3979999999999</v>
      </c>
      <c r="D11" s="8"/>
      <c r="E11" s="89">
        <f>IF(ISERROR(VLOOKUP("Celkem:",'ZV Vykáz.-A'!A:F,6,0)),0,VLOOKUP("Celkem:",'ZV Vykáz.-A'!A:F,6,0)/1000)</f>
        <v>1707.55268</v>
      </c>
      <c r="F11" s="28">
        <f>B11</f>
        <v>1506.5429999999999</v>
      </c>
      <c r="G11" s="88">
        <f>E11-F11</f>
        <v>201.00968000000012</v>
      </c>
      <c r="H11" s="94">
        <f>IF(F11&lt;0.00000001,"",E11/F11)</f>
        <v>1.1334244558568858</v>
      </c>
    </row>
    <row r="12" spans="1:8" ht="14.4" customHeight="1" thickBot="1" x14ac:dyDescent="0.35">
      <c r="A12" s="106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B12</f>
        <v>0</v>
      </c>
      <c r="G12" s="93">
        <f>E12-F12</f>
        <v>0</v>
      </c>
      <c r="H12" s="96" t="str">
        <f>IF(F12&lt;0.00000001,"",E12/F12)</f>
        <v/>
      </c>
    </row>
    <row r="13" spans="1:8" ht="14.4" customHeight="1" thickBot="1" x14ac:dyDescent="0.35">
      <c r="A13" s="4" t="s">
        <v>57</v>
      </c>
      <c r="B13" s="5">
        <f>SUM(B11:B12)</f>
        <v>1506.5429999999999</v>
      </c>
      <c r="C13" s="37">
        <f>SUM(C11:C12)</f>
        <v>1372.3979999999999</v>
      </c>
      <c r="D13" s="8"/>
      <c r="E13" s="5">
        <f>SUM(E11:E12)</f>
        <v>1707.55268</v>
      </c>
      <c r="F13" s="36">
        <f>SUM(F11:F12)</f>
        <v>1506.5429999999999</v>
      </c>
      <c r="G13" s="36">
        <f>E13-F13</f>
        <v>201.00968000000012</v>
      </c>
      <c r="H13" s="98">
        <f>IF(F13&lt;0.00000001,"",E13/F13)</f>
        <v>1.1334244558568858</v>
      </c>
    </row>
    <row r="14" spans="1:8" ht="14.4" customHeight="1" thickBot="1" x14ac:dyDescent="0.35">
      <c r="A14" s="12"/>
      <c r="B14" s="12"/>
      <c r="C14" s="80"/>
      <c r="D14" s="8"/>
      <c r="E14" s="12"/>
      <c r="F14" s="13"/>
    </row>
    <row r="15" spans="1:8" ht="14.4" customHeight="1" thickBot="1" x14ac:dyDescent="0.35">
      <c r="A15" s="107" t="str">
        <f>HYPERLINK("#'HI Graf'!A1","Hospodářský index (Výnosy / Náklady) *")</f>
        <v>Hospodářský index (Výnosy / Náklady) *</v>
      </c>
      <c r="B15" s="6">
        <f>IF(B9=0,"",B13/B9)</f>
        <v>0.6829698979397818</v>
      </c>
      <c r="C15" s="39">
        <f>IF(C9=0,"",C13/C9)</f>
        <v>0.58301470751476503</v>
      </c>
      <c r="D15" s="8"/>
      <c r="E15" s="6">
        <f>IF(E9=0,"",E13/E9)</f>
        <v>0.68016906326286131</v>
      </c>
      <c r="F15" s="38">
        <f>IF(F9=0,"",F13/F9)</f>
        <v>0.59668557227546903</v>
      </c>
      <c r="G15" s="38">
        <f>IF(ISERROR(F15-E15),"",E15-F15)</f>
        <v>8.3483490987392273E-2</v>
      </c>
      <c r="H15" s="99">
        <f>IF(ISERROR(F15-E15),"",IF(F15&lt;0.00000001,"",E15/F15))</f>
        <v>1.1399120321763887</v>
      </c>
    </row>
    <row r="17" spans="1:8" ht="14.4" customHeight="1" x14ac:dyDescent="0.3">
      <c r="A17" s="85" t="s">
        <v>115</v>
      </c>
    </row>
    <row r="18" spans="1:8" ht="14.4" customHeight="1" x14ac:dyDescent="0.3">
      <c r="A18" s="235" t="s">
        <v>145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144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86" t="s">
        <v>158</v>
      </c>
    </row>
    <row r="21" spans="1:8" ht="14.4" customHeight="1" x14ac:dyDescent="0.3">
      <c r="A21" s="86" t="s">
        <v>116</v>
      </c>
    </row>
    <row r="22" spans="1:8" ht="14.4" customHeight="1" x14ac:dyDescent="0.3">
      <c r="A22" s="87" t="s">
        <v>189</v>
      </c>
    </row>
    <row r="23" spans="1:8" ht="14.4" customHeight="1" x14ac:dyDescent="0.3">
      <c r="A23" s="87" t="s">
        <v>117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2" priority="4" operator="greaterThan">
      <formula>0</formula>
    </cfRule>
  </conditionalFormatting>
  <conditionalFormatting sqref="G11:G13 G15">
    <cfRule type="cellIs" dxfId="41" priority="3" operator="lessThan">
      <formula>0</formula>
    </cfRule>
  </conditionalFormatting>
  <conditionalFormatting sqref="H5:H9">
    <cfRule type="cellIs" dxfId="40" priority="2" operator="greaterThan">
      <formula>1</formula>
    </cfRule>
  </conditionalFormatting>
  <conditionalFormatting sqref="H11:H13 H15">
    <cfRule type="cellIs" dxfId="39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2"/>
    <col min="2" max="13" width="8.88671875" style="102" customWidth="1"/>
    <col min="14" max="16384" width="8.88671875" style="102"/>
  </cols>
  <sheetData>
    <row r="1" spans="1:13" ht="18.600000000000001" customHeight="1" thickBot="1" x14ac:dyDescent="0.4">
      <c r="A1" s="262" t="s">
        <v>81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</row>
    <row r="2" spans="1:13" ht="14.4" customHeight="1" x14ac:dyDescent="0.3">
      <c r="A2" s="194" t="s">
        <v>190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14.4" customHeight="1" x14ac:dyDescent="0.3">
      <c r="A3" s="167"/>
      <c r="B3" s="168" t="s">
        <v>59</v>
      </c>
      <c r="C3" s="169" t="s">
        <v>60</v>
      </c>
      <c r="D3" s="169" t="s">
        <v>61</v>
      </c>
      <c r="E3" s="168" t="s">
        <v>62</v>
      </c>
      <c r="F3" s="169" t="s">
        <v>63</v>
      </c>
      <c r="G3" s="169" t="s">
        <v>64</v>
      </c>
      <c r="H3" s="169" t="s">
        <v>65</v>
      </c>
      <c r="I3" s="169" t="s">
        <v>66</v>
      </c>
      <c r="J3" s="169" t="s">
        <v>67</v>
      </c>
      <c r="K3" s="169" t="s">
        <v>68</v>
      </c>
      <c r="L3" s="169" t="s">
        <v>69</v>
      </c>
      <c r="M3" s="169" t="s">
        <v>70</v>
      </c>
    </row>
    <row r="4" spans="1:13" ht="14.4" customHeight="1" x14ac:dyDescent="0.3">
      <c r="A4" s="167" t="s">
        <v>58</v>
      </c>
      <c r="B4" s="170">
        <f>(B10+B8)/B6</f>
        <v>0.73907345627480969</v>
      </c>
      <c r="C4" s="170">
        <f t="shared" ref="C4:M4" si="0">(C10+C8)/C6</f>
        <v>0.70259883623489106</v>
      </c>
      <c r="D4" s="170">
        <f t="shared" si="0"/>
        <v>0.71772551236292381</v>
      </c>
      <c r="E4" s="170">
        <f t="shared" si="0"/>
        <v>0.6801690592795635</v>
      </c>
      <c r="F4" s="170">
        <f t="shared" si="0"/>
        <v>0.6801690592795635</v>
      </c>
      <c r="G4" s="170">
        <f t="shared" si="0"/>
        <v>0.6801690592795635</v>
      </c>
      <c r="H4" s="170">
        <f t="shared" si="0"/>
        <v>0.6801690592795635</v>
      </c>
      <c r="I4" s="170">
        <f t="shared" si="0"/>
        <v>0.6801690592795635</v>
      </c>
      <c r="J4" s="170">
        <f t="shared" si="0"/>
        <v>0.6801690592795635</v>
      </c>
      <c r="K4" s="170">
        <f t="shared" si="0"/>
        <v>0.6801690592795635</v>
      </c>
      <c r="L4" s="170">
        <f t="shared" si="0"/>
        <v>0.6801690592795635</v>
      </c>
      <c r="M4" s="170">
        <f t="shared" si="0"/>
        <v>0.6801690592795635</v>
      </c>
    </row>
    <row r="5" spans="1:13" ht="14.4" customHeight="1" x14ac:dyDescent="0.3">
      <c r="A5" s="171" t="s">
        <v>30</v>
      </c>
      <c r="B5" s="170">
        <f>IF(ISERROR(VLOOKUP($A5,'Man Tab'!$A:$Q,COLUMN()+2,0)),0,VLOOKUP($A5,'Man Tab'!$A:$Q,COLUMN()+2,0))</f>
        <v>641.58439999999996</v>
      </c>
      <c r="C5" s="170">
        <f>IF(ISERROR(VLOOKUP($A5,'Man Tab'!$A:$Q,COLUMN()+2,0)),0,VLOOKUP($A5,'Man Tab'!$A:$Q,COLUMN()+2,0))</f>
        <v>625.54930999999999</v>
      </c>
      <c r="D5" s="170">
        <f>IF(ISERROR(VLOOKUP($A5,'Man Tab'!$A:$Q,COLUMN()+2,0)),0,VLOOKUP($A5,'Man Tab'!$A:$Q,COLUMN()+2,0))</f>
        <v>637.95486000000005</v>
      </c>
      <c r="E5" s="170">
        <f>IF(ISERROR(VLOOKUP($A5,'Man Tab'!$A:$Q,COLUMN()+2,0)),0,VLOOKUP($A5,'Man Tab'!$A:$Q,COLUMN()+2,0))</f>
        <v>605.39414999999997</v>
      </c>
      <c r="F5" s="170">
        <f>IF(ISERROR(VLOOKUP($A5,'Man Tab'!$A:$Q,COLUMN()+2,0)),0,VLOOKUP($A5,'Man Tab'!$A:$Q,COLUMN()+2,0))</f>
        <v>0</v>
      </c>
      <c r="G5" s="170">
        <f>IF(ISERROR(VLOOKUP($A5,'Man Tab'!$A:$Q,COLUMN()+2,0)),0,VLOOKUP($A5,'Man Tab'!$A:$Q,COLUMN()+2,0))</f>
        <v>0</v>
      </c>
      <c r="H5" s="170">
        <f>IF(ISERROR(VLOOKUP($A5,'Man Tab'!$A:$Q,COLUMN()+2,0)),0,VLOOKUP($A5,'Man Tab'!$A:$Q,COLUMN()+2,0))</f>
        <v>0</v>
      </c>
      <c r="I5" s="170">
        <f>IF(ISERROR(VLOOKUP($A5,'Man Tab'!$A:$Q,COLUMN()+2,0)),0,VLOOKUP($A5,'Man Tab'!$A:$Q,COLUMN()+2,0))</f>
        <v>0</v>
      </c>
      <c r="J5" s="170">
        <f>IF(ISERROR(VLOOKUP($A5,'Man Tab'!$A:$Q,COLUMN()+2,0)),0,VLOOKUP($A5,'Man Tab'!$A:$Q,COLUMN()+2,0))</f>
        <v>0</v>
      </c>
      <c r="K5" s="170">
        <f>IF(ISERROR(VLOOKUP($A5,'Man Tab'!$A:$Q,COLUMN()+2,0)),0,VLOOKUP($A5,'Man Tab'!$A:$Q,COLUMN()+2,0))</f>
        <v>0</v>
      </c>
      <c r="L5" s="170">
        <f>IF(ISERROR(VLOOKUP($A5,'Man Tab'!$A:$Q,COLUMN()+2,0)),0,VLOOKUP($A5,'Man Tab'!$A:$Q,COLUMN()+2,0))</f>
        <v>0</v>
      </c>
      <c r="M5" s="170">
        <f>IF(ISERROR(VLOOKUP($A5,'Man Tab'!$A:$Q,COLUMN()+2,0)),0,VLOOKUP($A5,'Man Tab'!$A:$Q,COLUMN()+2,0))</f>
        <v>0</v>
      </c>
    </row>
    <row r="6" spans="1:13" ht="14.4" customHeight="1" x14ac:dyDescent="0.3">
      <c r="A6" s="171" t="s">
        <v>54</v>
      </c>
      <c r="B6" s="172">
        <f>B5</f>
        <v>641.58439999999996</v>
      </c>
      <c r="C6" s="172">
        <f t="shared" ref="C6:M6" si="1">C5+B6</f>
        <v>1267.1337100000001</v>
      </c>
      <c r="D6" s="172">
        <f t="shared" si="1"/>
        <v>1905.0885700000001</v>
      </c>
      <c r="E6" s="172">
        <f t="shared" si="1"/>
        <v>2510.48272</v>
      </c>
      <c r="F6" s="172">
        <f t="shared" si="1"/>
        <v>2510.48272</v>
      </c>
      <c r="G6" s="172">
        <f t="shared" si="1"/>
        <v>2510.48272</v>
      </c>
      <c r="H6" s="172">
        <f t="shared" si="1"/>
        <v>2510.48272</v>
      </c>
      <c r="I6" s="172">
        <f t="shared" si="1"/>
        <v>2510.48272</v>
      </c>
      <c r="J6" s="172">
        <f t="shared" si="1"/>
        <v>2510.48272</v>
      </c>
      <c r="K6" s="172">
        <f t="shared" si="1"/>
        <v>2510.48272</v>
      </c>
      <c r="L6" s="172">
        <f t="shared" si="1"/>
        <v>2510.48272</v>
      </c>
      <c r="M6" s="172">
        <f t="shared" si="1"/>
        <v>2510.48272</v>
      </c>
    </row>
    <row r="7" spans="1:13" ht="14.4" customHeight="1" x14ac:dyDescent="0.3">
      <c r="A7" s="171" t="s">
        <v>79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ht="14.4" customHeight="1" x14ac:dyDescent="0.3">
      <c r="A8" s="171" t="s">
        <v>55</v>
      </c>
      <c r="B8" s="172">
        <f>B7*30</f>
        <v>0</v>
      </c>
      <c r="C8" s="172">
        <f t="shared" ref="C8:M8" si="2">C7*30</f>
        <v>0</v>
      </c>
      <c r="D8" s="172">
        <f t="shared" si="2"/>
        <v>0</v>
      </c>
      <c r="E8" s="172">
        <f t="shared" si="2"/>
        <v>0</v>
      </c>
      <c r="F8" s="172">
        <f t="shared" si="2"/>
        <v>0</v>
      </c>
      <c r="G8" s="172">
        <f t="shared" si="2"/>
        <v>0</v>
      </c>
      <c r="H8" s="172">
        <f t="shared" si="2"/>
        <v>0</v>
      </c>
      <c r="I8" s="172">
        <f t="shared" si="2"/>
        <v>0</v>
      </c>
      <c r="J8" s="172">
        <f t="shared" si="2"/>
        <v>0</v>
      </c>
      <c r="K8" s="172">
        <f t="shared" si="2"/>
        <v>0</v>
      </c>
      <c r="L8" s="172">
        <f t="shared" si="2"/>
        <v>0</v>
      </c>
      <c r="M8" s="172">
        <f t="shared" si="2"/>
        <v>0</v>
      </c>
    </row>
    <row r="9" spans="1:13" ht="14.4" customHeight="1" x14ac:dyDescent="0.3">
      <c r="A9" s="171" t="s">
        <v>80</v>
      </c>
      <c r="B9" s="171">
        <v>474178</v>
      </c>
      <c r="C9" s="171">
        <v>416108.67000000004</v>
      </c>
      <c r="D9" s="171">
        <v>477044</v>
      </c>
      <c r="E9" s="171">
        <v>340222</v>
      </c>
      <c r="F9" s="171">
        <v>0</v>
      </c>
      <c r="G9" s="171">
        <v>0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</row>
    <row r="10" spans="1:13" ht="14.4" customHeight="1" x14ac:dyDescent="0.3">
      <c r="A10" s="171" t="s">
        <v>56</v>
      </c>
      <c r="B10" s="172">
        <f>B9/1000</f>
        <v>474.178</v>
      </c>
      <c r="C10" s="172">
        <f t="shared" ref="C10:M10" si="3">C9/1000+B10</f>
        <v>890.28666999999996</v>
      </c>
      <c r="D10" s="172">
        <f t="shared" si="3"/>
        <v>1367.3306699999998</v>
      </c>
      <c r="E10" s="172">
        <f t="shared" si="3"/>
        <v>1707.5526699999998</v>
      </c>
      <c r="F10" s="172">
        <f t="shared" si="3"/>
        <v>1707.5526699999998</v>
      </c>
      <c r="G10" s="172">
        <f t="shared" si="3"/>
        <v>1707.5526699999998</v>
      </c>
      <c r="H10" s="172">
        <f t="shared" si="3"/>
        <v>1707.5526699999998</v>
      </c>
      <c r="I10" s="172">
        <f t="shared" si="3"/>
        <v>1707.5526699999998</v>
      </c>
      <c r="J10" s="172">
        <f t="shared" si="3"/>
        <v>1707.5526699999998</v>
      </c>
      <c r="K10" s="172">
        <f t="shared" si="3"/>
        <v>1707.5526699999998</v>
      </c>
      <c r="L10" s="172">
        <f t="shared" si="3"/>
        <v>1707.5526699999998</v>
      </c>
      <c r="M10" s="172">
        <f t="shared" si="3"/>
        <v>1707.5526699999998</v>
      </c>
    </row>
    <row r="11" spans="1:13" ht="14.4" customHeight="1" x14ac:dyDescent="0.3">
      <c r="A11" s="167"/>
      <c r="B11" s="167" t="s">
        <v>71</v>
      </c>
      <c r="C11" s="167">
        <f ca="1">IF(MONTH(TODAY())=1,12,MONTH(TODAY())-1)</f>
        <v>4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3" ht="14.4" customHeight="1" x14ac:dyDescent="0.3">
      <c r="A12" s="167">
        <v>0</v>
      </c>
      <c r="B12" s="170">
        <f>IF(ISERROR(HI!F15),#REF!,HI!F15)</f>
        <v>0.59668557227546903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</row>
    <row r="13" spans="1:13" ht="14.4" customHeight="1" x14ac:dyDescent="0.3">
      <c r="A13" s="167">
        <v>1</v>
      </c>
      <c r="B13" s="170">
        <f>IF(ISERROR(HI!F15),#REF!,HI!F15)</f>
        <v>0.59668557227546903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2" bestFit="1" customWidth="1"/>
    <col min="2" max="2" width="12.77734375" style="102" bestFit="1" customWidth="1"/>
    <col min="3" max="3" width="13.6640625" style="102" bestFit="1" customWidth="1"/>
    <col min="4" max="15" width="7.77734375" style="102" bestFit="1" customWidth="1"/>
    <col min="16" max="16" width="8.88671875" style="102" customWidth="1"/>
    <col min="17" max="17" width="6.6640625" style="102" bestFit="1" customWidth="1"/>
    <col min="18" max="16384" width="8.88671875" style="102"/>
  </cols>
  <sheetData>
    <row r="1" spans="1:17" s="173" customFormat="1" ht="18.600000000000001" customHeight="1" thickBot="1" x14ac:dyDescent="0.4">
      <c r="A1" s="271" t="s">
        <v>192</v>
      </c>
      <c r="B1" s="271"/>
      <c r="C1" s="271"/>
      <c r="D1" s="271"/>
      <c r="E1" s="271"/>
      <c r="F1" s="271"/>
      <c r="G1" s="271"/>
      <c r="H1" s="262"/>
      <c r="I1" s="262"/>
      <c r="J1" s="262"/>
      <c r="K1" s="262"/>
      <c r="L1" s="262"/>
      <c r="M1" s="262"/>
      <c r="N1" s="262"/>
      <c r="O1" s="262"/>
      <c r="P1" s="262"/>
      <c r="Q1" s="262"/>
    </row>
    <row r="2" spans="1:17" s="173" customFormat="1" ht="14.4" customHeight="1" thickBot="1" x14ac:dyDescent="0.3">
      <c r="A2" s="194" t="s">
        <v>190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4.4" customHeight="1" x14ac:dyDescent="0.3">
      <c r="A3" s="59"/>
      <c r="B3" s="272" t="s">
        <v>6</v>
      </c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110"/>
      <c r="Q3" s="112"/>
    </row>
    <row r="4" spans="1:17" ht="14.4" customHeight="1" x14ac:dyDescent="0.3">
      <c r="A4" s="60"/>
      <c r="B4" s="20">
        <v>2016</v>
      </c>
      <c r="C4" s="111" t="s">
        <v>7</v>
      </c>
      <c r="D4" s="101" t="s">
        <v>169</v>
      </c>
      <c r="E4" s="101" t="s">
        <v>170</v>
      </c>
      <c r="F4" s="101" t="s">
        <v>171</v>
      </c>
      <c r="G4" s="101" t="s">
        <v>172</v>
      </c>
      <c r="H4" s="101" t="s">
        <v>173</v>
      </c>
      <c r="I4" s="101" t="s">
        <v>174</v>
      </c>
      <c r="J4" s="101" t="s">
        <v>175</v>
      </c>
      <c r="K4" s="101" t="s">
        <v>176</v>
      </c>
      <c r="L4" s="101" t="s">
        <v>177</v>
      </c>
      <c r="M4" s="101" t="s">
        <v>178</v>
      </c>
      <c r="N4" s="101" t="s">
        <v>179</v>
      </c>
      <c r="O4" s="101" t="s">
        <v>180</v>
      </c>
      <c r="P4" s="274" t="s">
        <v>3</v>
      </c>
      <c r="Q4" s="275"/>
    </row>
    <row r="5" spans="1:17" ht="14.4" customHeight="1" thickBot="1" x14ac:dyDescent="0.35">
      <c r="A5" s="61"/>
      <c r="B5" s="21" t="s">
        <v>8</v>
      </c>
      <c r="C5" s="22" t="s">
        <v>8</v>
      </c>
      <c r="D5" s="22" t="s">
        <v>9</v>
      </c>
      <c r="E5" s="22" t="s">
        <v>9</v>
      </c>
      <c r="F5" s="22" t="s">
        <v>9</v>
      </c>
      <c r="G5" s="22" t="s">
        <v>9</v>
      </c>
      <c r="H5" s="22" t="s">
        <v>9</v>
      </c>
      <c r="I5" s="22" t="s">
        <v>9</v>
      </c>
      <c r="J5" s="22" t="s">
        <v>9</v>
      </c>
      <c r="K5" s="22" t="s">
        <v>9</v>
      </c>
      <c r="L5" s="22" t="s">
        <v>9</v>
      </c>
      <c r="M5" s="22" t="s">
        <v>9</v>
      </c>
      <c r="N5" s="22" t="s">
        <v>9</v>
      </c>
      <c r="O5" s="22" t="s">
        <v>9</v>
      </c>
      <c r="P5" s="22" t="s">
        <v>9</v>
      </c>
      <c r="Q5" s="23" t="s">
        <v>10</v>
      </c>
    </row>
    <row r="6" spans="1:17" ht="14.4" customHeight="1" x14ac:dyDescent="0.3">
      <c r="A6" s="14" t="s">
        <v>11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191</v>
      </c>
    </row>
    <row r="7" spans="1:17" ht="14.4" customHeight="1" x14ac:dyDescent="0.3">
      <c r="A7" s="15" t="s">
        <v>12</v>
      </c>
      <c r="B7" s="46">
        <v>1.0000002756549999</v>
      </c>
      <c r="C7" s="47">
        <v>8.3333356304000003E-2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>
        <v>0</v>
      </c>
    </row>
    <row r="8" spans="1:17" ht="14.4" customHeight="1" x14ac:dyDescent="0.3">
      <c r="A8" s="15" t="s">
        <v>13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191</v>
      </c>
    </row>
    <row r="9" spans="1:17" ht="14.4" customHeight="1" x14ac:dyDescent="0.3">
      <c r="A9" s="15" t="s">
        <v>14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 t="s">
        <v>191</v>
      </c>
    </row>
    <row r="10" spans="1:17" ht="14.4" customHeight="1" x14ac:dyDescent="0.3">
      <c r="A10" s="15" t="s">
        <v>15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191</v>
      </c>
    </row>
    <row r="11" spans="1:17" ht="14.4" customHeight="1" x14ac:dyDescent="0.3">
      <c r="A11" s="15" t="s">
        <v>16</v>
      </c>
      <c r="B11" s="46">
        <v>142.70597517263599</v>
      </c>
      <c r="C11" s="47">
        <v>11.892164597719001</v>
      </c>
      <c r="D11" s="47">
        <v>5.2003500000000003</v>
      </c>
      <c r="E11" s="47">
        <v>3.67977</v>
      </c>
      <c r="F11" s="47">
        <v>1.01712</v>
      </c>
      <c r="G11" s="47">
        <v>0.80818000000000001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10.70542</v>
      </c>
      <c r="Q11" s="70">
        <v>0.22505196409</v>
      </c>
    </row>
    <row r="12" spans="1:17" ht="14.4" customHeight="1" x14ac:dyDescent="0.3">
      <c r="A12" s="15" t="s">
        <v>17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0" t="s">
        <v>191</v>
      </c>
    </row>
    <row r="13" spans="1:17" ht="14.4" customHeight="1" x14ac:dyDescent="0.3">
      <c r="A13" s="15" t="s">
        <v>18</v>
      </c>
      <c r="B13" s="46">
        <v>0</v>
      </c>
      <c r="C13" s="47">
        <v>0</v>
      </c>
      <c r="D13" s="47">
        <v>0.31218000000000001</v>
      </c>
      <c r="E13" s="47">
        <v>0</v>
      </c>
      <c r="F13" s="47">
        <v>1.06843</v>
      </c>
      <c r="G13" s="47">
        <v>0.29765000000000003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1.6782600000000001</v>
      </c>
      <c r="Q13" s="70" t="s">
        <v>191</v>
      </c>
    </row>
    <row r="14" spans="1:17" ht="14.4" customHeight="1" x14ac:dyDescent="0.3">
      <c r="A14" s="15" t="s">
        <v>19</v>
      </c>
      <c r="B14" s="46">
        <v>85.306425409886998</v>
      </c>
      <c r="C14" s="47">
        <v>7.108868784157</v>
      </c>
      <c r="D14" s="47">
        <v>12.085000000000001</v>
      </c>
      <c r="E14" s="47">
        <v>9.07</v>
      </c>
      <c r="F14" s="47">
        <v>9.6549999999999994</v>
      </c>
      <c r="G14" s="47">
        <v>7.2009999999999996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38.011000000000003</v>
      </c>
      <c r="Q14" s="70">
        <v>1.3367457310749999</v>
      </c>
    </row>
    <row r="15" spans="1:17" ht="14.4" customHeight="1" x14ac:dyDescent="0.3">
      <c r="A15" s="15" t="s">
        <v>20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191</v>
      </c>
    </row>
    <row r="16" spans="1:17" ht="14.4" customHeight="1" x14ac:dyDescent="0.3">
      <c r="A16" s="15" t="s">
        <v>21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191</v>
      </c>
    </row>
    <row r="17" spans="1:17" ht="14.4" customHeight="1" x14ac:dyDescent="0.3">
      <c r="A17" s="15" t="s">
        <v>22</v>
      </c>
      <c r="B17" s="46">
        <v>4.5623326186700002</v>
      </c>
      <c r="C17" s="47">
        <v>0.38019438488899998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70">
        <v>0</v>
      </c>
    </row>
    <row r="18" spans="1:17" ht="14.4" customHeight="1" x14ac:dyDescent="0.3">
      <c r="A18" s="15" t="s">
        <v>23</v>
      </c>
      <c r="B18" s="46">
        <v>0</v>
      </c>
      <c r="C18" s="47">
        <v>0</v>
      </c>
      <c r="D18" s="47">
        <v>0</v>
      </c>
      <c r="E18" s="47">
        <v>0.61699999999999999</v>
      </c>
      <c r="F18" s="47">
        <v>3.1</v>
      </c>
      <c r="G18" s="47">
        <v>1.1120000000000001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4.8289999999999997</v>
      </c>
      <c r="Q18" s="70" t="s">
        <v>191</v>
      </c>
    </row>
    <row r="19" spans="1:17" ht="14.4" customHeight="1" x14ac:dyDescent="0.3">
      <c r="A19" s="15" t="s">
        <v>24</v>
      </c>
      <c r="B19" s="46">
        <v>54.179193872860999</v>
      </c>
      <c r="C19" s="47">
        <v>4.5149328227380003</v>
      </c>
      <c r="D19" s="47">
        <v>5.4363799999999998</v>
      </c>
      <c r="E19" s="47">
        <v>4.3867399999999996</v>
      </c>
      <c r="F19" s="47">
        <v>4.44754</v>
      </c>
      <c r="G19" s="47">
        <v>5.4043599999999996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19.67502</v>
      </c>
      <c r="Q19" s="70">
        <v>1.0894414586250001</v>
      </c>
    </row>
    <row r="20" spans="1:17" ht="14.4" customHeight="1" x14ac:dyDescent="0.3">
      <c r="A20" s="15" t="s">
        <v>25</v>
      </c>
      <c r="B20" s="46">
        <v>7196.0019836182701</v>
      </c>
      <c r="C20" s="47">
        <v>599.66683196818894</v>
      </c>
      <c r="D20" s="47">
        <v>614.97949000000006</v>
      </c>
      <c r="E20" s="47">
        <v>603.12480000000005</v>
      </c>
      <c r="F20" s="47">
        <v>600.49576999999999</v>
      </c>
      <c r="G20" s="47">
        <v>574.99995999999999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2393.6000199999999</v>
      </c>
      <c r="Q20" s="70">
        <v>0.99788744866199997</v>
      </c>
    </row>
    <row r="21" spans="1:17" ht="14.4" customHeight="1" x14ac:dyDescent="0.3">
      <c r="A21" s="16" t="s">
        <v>26</v>
      </c>
      <c r="B21" s="46">
        <v>43.000107269357997</v>
      </c>
      <c r="C21" s="47">
        <v>3.583342272446</v>
      </c>
      <c r="D21" s="47">
        <v>3.5710000000000002</v>
      </c>
      <c r="E21" s="47">
        <v>3.5710000000000002</v>
      </c>
      <c r="F21" s="47">
        <v>3.5710000000000002</v>
      </c>
      <c r="G21" s="47">
        <v>3.5710000000000002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14.284000000000001</v>
      </c>
      <c r="Q21" s="70">
        <v>0.99655565349099995</v>
      </c>
    </row>
    <row r="22" spans="1:17" ht="14.4" customHeight="1" x14ac:dyDescent="0.3">
      <c r="A22" s="15" t="s">
        <v>27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0" t="s">
        <v>191</v>
      </c>
    </row>
    <row r="23" spans="1:17" ht="14.4" customHeight="1" x14ac:dyDescent="0.3">
      <c r="A23" s="16" t="s">
        <v>28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191</v>
      </c>
    </row>
    <row r="24" spans="1:17" ht="14.4" customHeight="1" x14ac:dyDescent="0.3">
      <c r="A24" s="16" t="s">
        <v>29</v>
      </c>
      <c r="B24" s="46">
        <v>47.801185759271</v>
      </c>
      <c r="C24" s="47">
        <v>3.9834321466049998</v>
      </c>
      <c r="D24" s="47">
        <v>1.13686837721616E-13</v>
      </c>
      <c r="E24" s="47">
        <v>1.1000000000000001</v>
      </c>
      <c r="F24" s="47">
        <v>14.6</v>
      </c>
      <c r="G24" s="47">
        <v>12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27.7</v>
      </c>
      <c r="Q24" s="70">
        <v>1.738450598662</v>
      </c>
    </row>
    <row r="25" spans="1:17" ht="14.4" customHeight="1" x14ac:dyDescent="0.3">
      <c r="A25" s="17" t="s">
        <v>30</v>
      </c>
      <c r="B25" s="49">
        <v>7574.55720399661</v>
      </c>
      <c r="C25" s="50">
        <v>631.21310033305099</v>
      </c>
      <c r="D25" s="50">
        <v>641.58439999999996</v>
      </c>
      <c r="E25" s="50">
        <v>625.54930999999999</v>
      </c>
      <c r="F25" s="50">
        <v>637.95486000000005</v>
      </c>
      <c r="G25" s="50">
        <v>605.39414999999997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2510.48272</v>
      </c>
      <c r="Q25" s="71">
        <v>0.99430870441100005</v>
      </c>
    </row>
    <row r="26" spans="1:17" ht="14.4" customHeight="1" x14ac:dyDescent="0.3">
      <c r="A26" s="15" t="s">
        <v>31</v>
      </c>
      <c r="B26" s="46">
        <v>0</v>
      </c>
      <c r="C26" s="47">
        <v>0</v>
      </c>
      <c r="D26" s="47">
        <v>82.660269999999997</v>
      </c>
      <c r="E26" s="47">
        <v>70.474469999999997</v>
      </c>
      <c r="F26" s="47">
        <v>78.44238</v>
      </c>
      <c r="G26" s="47">
        <v>77.546899999999994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309.12401999999997</v>
      </c>
      <c r="Q26" s="70" t="s">
        <v>191</v>
      </c>
    </row>
    <row r="27" spans="1:17" ht="14.4" customHeight="1" x14ac:dyDescent="0.3">
      <c r="A27" s="18" t="s">
        <v>32</v>
      </c>
      <c r="B27" s="49">
        <v>7574.55720399661</v>
      </c>
      <c r="C27" s="50">
        <v>631.21310033305099</v>
      </c>
      <c r="D27" s="50">
        <v>724.24467000000004</v>
      </c>
      <c r="E27" s="50">
        <v>696.02377999999999</v>
      </c>
      <c r="F27" s="50">
        <v>716.39724000000001</v>
      </c>
      <c r="G27" s="50">
        <v>682.94105000000002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2819.6067400000002</v>
      </c>
      <c r="Q27" s="71">
        <v>1.116741215649</v>
      </c>
    </row>
    <row r="28" spans="1:17" ht="14.4" customHeight="1" x14ac:dyDescent="0.3">
      <c r="A28" s="16" t="s">
        <v>33</v>
      </c>
      <c r="B28" s="46">
        <v>25.256597930760002</v>
      </c>
      <c r="C28" s="47">
        <v>2.1047164942299998</v>
      </c>
      <c r="D28" s="47">
        <v>0</v>
      </c>
      <c r="E28" s="47">
        <v>9.7439999999999998</v>
      </c>
      <c r="F28" s="47">
        <v>10.400320000000001</v>
      </c>
      <c r="G28" s="47">
        <v>3.8976000000000002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24.041920000000001</v>
      </c>
      <c r="Q28" s="70">
        <v>2.855719531099</v>
      </c>
    </row>
    <row r="29" spans="1:17" ht="14.4" customHeight="1" x14ac:dyDescent="0.3">
      <c r="A29" s="16" t="s">
        <v>34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191</v>
      </c>
    </row>
    <row r="30" spans="1:17" ht="14.4" customHeight="1" x14ac:dyDescent="0.3">
      <c r="A30" s="16" t="s">
        <v>35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>
        <v>0</v>
      </c>
    </row>
    <row r="31" spans="1:17" ht="14.4" customHeight="1" thickBot="1" x14ac:dyDescent="0.35">
      <c r="A31" s="19" t="s">
        <v>36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191</v>
      </c>
    </row>
    <row r="32" spans="1:17" ht="14.4" customHeight="1" x14ac:dyDescent="0.3"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</row>
    <row r="33" spans="1:17" ht="14.4" customHeight="1" x14ac:dyDescent="0.3">
      <c r="A33" s="85" t="s">
        <v>115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1:17" ht="14.4" customHeight="1" x14ac:dyDescent="0.3">
      <c r="A34" s="108" t="s">
        <v>181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1:17" ht="14.4" customHeight="1" x14ac:dyDescent="0.3">
      <c r="A35" s="109" t="s">
        <v>37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2" customWidth="1"/>
    <col min="2" max="11" width="10" style="102" customWidth="1"/>
    <col min="12" max="16384" width="8.88671875" style="102"/>
  </cols>
  <sheetData>
    <row r="1" spans="1:11" s="55" customFormat="1" ht="18.600000000000001" customHeight="1" thickBot="1" x14ac:dyDescent="0.4">
      <c r="A1" s="271" t="s">
        <v>38</v>
      </c>
      <c r="B1" s="271"/>
      <c r="C1" s="271"/>
      <c r="D1" s="271"/>
      <c r="E1" s="271"/>
      <c r="F1" s="271"/>
      <c r="G1" s="271"/>
      <c r="H1" s="276"/>
      <c r="I1" s="276"/>
      <c r="J1" s="276"/>
      <c r="K1" s="276"/>
    </row>
    <row r="2" spans="1:11" s="55" customFormat="1" ht="14.4" customHeight="1" thickBot="1" x14ac:dyDescent="0.35">
      <c r="A2" s="194" t="s">
        <v>190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9"/>
      <c r="B3" s="272" t="s">
        <v>39</v>
      </c>
      <c r="C3" s="273"/>
      <c r="D3" s="273"/>
      <c r="E3" s="273"/>
      <c r="F3" s="279" t="s">
        <v>40</v>
      </c>
      <c r="G3" s="273"/>
      <c r="H3" s="273"/>
      <c r="I3" s="273"/>
      <c r="J3" s="273"/>
      <c r="K3" s="280"/>
    </row>
    <row r="4" spans="1:11" ht="14.4" customHeight="1" x14ac:dyDescent="0.3">
      <c r="A4" s="60"/>
      <c r="B4" s="277"/>
      <c r="C4" s="278"/>
      <c r="D4" s="278"/>
      <c r="E4" s="278"/>
      <c r="F4" s="281" t="s">
        <v>186</v>
      </c>
      <c r="G4" s="283" t="s">
        <v>41</v>
      </c>
      <c r="H4" s="113" t="s">
        <v>107</v>
      </c>
      <c r="I4" s="281" t="s">
        <v>42</v>
      </c>
      <c r="J4" s="283" t="s">
        <v>161</v>
      </c>
      <c r="K4" s="284" t="s">
        <v>188</v>
      </c>
    </row>
    <row r="5" spans="1:11" ht="42" thickBot="1" x14ac:dyDescent="0.35">
      <c r="A5" s="61"/>
      <c r="B5" s="24" t="s">
        <v>182</v>
      </c>
      <c r="C5" s="25" t="s">
        <v>183</v>
      </c>
      <c r="D5" s="26" t="s">
        <v>184</v>
      </c>
      <c r="E5" s="26" t="s">
        <v>185</v>
      </c>
      <c r="F5" s="282"/>
      <c r="G5" s="282"/>
      <c r="H5" s="25" t="s">
        <v>187</v>
      </c>
      <c r="I5" s="282"/>
      <c r="J5" s="282"/>
      <c r="K5" s="285"/>
    </row>
    <row r="6" spans="1:11" ht="14.4" customHeight="1" thickBot="1" x14ac:dyDescent="0.35">
      <c r="A6" s="336" t="s">
        <v>193</v>
      </c>
      <c r="B6" s="318">
        <v>7410.5677601384004</v>
      </c>
      <c r="C6" s="318">
        <v>7577.2372500000001</v>
      </c>
      <c r="D6" s="319">
        <v>166.669489861606</v>
      </c>
      <c r="E6" s="320">
        <v>1.0224907854909999</v>
      </c>
      <c r="F6" s="318">
        <v>7574.55720399661</v>
      </c>
      <c r="G6" s="319">
        <v>2524.8524013321999</v>
      </c>
      <c r="H6" s="321">
        <v>605.39414999999997</v>
      </c>
      <c r="I6" s="318">
        <v>2510.48272</v>
      </c>
      <c r="J6" s="319">
        <v>-14.369681332203999</v>
      </c>
      <c r="K6" s="322">
        <v>0.331436234803</v>
      </c>
    </row>
    <row r="7" spans="1:11" ht="14.4" customHeight="1" thickBot="1" x14ac:dyDescent="0.35">
      <c r="A7" s="337" t="s">
        <v>194</v>
      </c>
      <c r="B7" s="318">
        <v>222.420582798716</v>
      </c>
      <c r="C7" s="318">
        <v>200.86267000000001</v>
      </c>
      <c r="D7" s="319">
        <v>-21.557912798716</v>
      </c>
      <c r="E7" s="320">
        <v>0.90307590903900004</v>
      </c>
      <c r="F7" s="318">
        <v>229.01240085817901</v>
      </c>
      <c r="G7" s="319">
        <v>76.337466952726004</v>
      </c>
      <c r="H7" s="321">
        <v>8.3068299999999997</v>
      </c>
      <c r="I7" s="318">
        <v>50.394680000000001</v>
      </c>
      <c r="J7" s="319">
        <v>-25.942786952725999</v>
      </c>
      <c r="K7" s="322">
        <v>0.22005218848899999</v>
      </c>
    </row>
    <row r="8" spans="1:11" ht="14.4" customHeight="1" thickBot="1" x14ac:dyDescent="0.35">
      <c r="A8" s="338" t="s">
        <v>195</v>
      </c>
      <c r="B8" s="318">
        <v>136.72653210042799</v>
      </c>
      <c r="C8" s="318">
        <v>114.16867000000001</v>
      </c>
      <c r="D8" s="319">
        <v>-22.557862100428</v>
      </c>
      <c r="E8" s="320">
        <v>0.83501474253800001</v>
      </c>
      <c r="F8" s="318">
        <v>143.70597544829201</v>
      </c>
      <c r="G8" s="319">
        <v>47.901991816097002</v>
      </c>
      <c r="H8" s="321">
        <v>1.1058300000000001</v>
      </c>
      <c r="I8" s="318">
        <v>12.38368</v>
      </c>
      <c r="J8" s="319">
        <v>-35.518311816096997</v>
      </c>
      <c r="K8" s="322">
        <v>8.6173730503000007E-2</v>
      </c>
    </row>
    <row r="9" spans="1:11" ht="14.4" customHeight="1" thickBot="1" x14ac:dyDescent="0.35">
      <c r="A9" s="339" t="s">
        <v>196</v>
      </c>
      <c r="B9" s="323">
        <v>1</v>
      </c>
      <c r="C9" s="323">
        <v>0.75165000000000004</v>
      </c>
      <c r="D9" s="324">
        <v>-0.24834999999999999</v>
      </c>
      <c r="E9" s="325">
        <v>0.75165000000000004</v>
      </c>
      <c r="F9" s="323">
        <v>1.0000002756549999</v>
      </c>
      <c r="G9" s="324">
        <v>0.33333342521800002</v>
      </c>
      <c r="H9" s="326">
        <v>0</v>
      </c>
      <c r="I9" s="323">
        <v>0</v>
      </c>
      <c r="J9" s="324">
        <v>-0.33333342521800002</v>
      </c>
      <c r="K9" s="327">
        <v>0</v>
      </c>
    </row>
    <row r="10" spans="1:11" ht="14.4" customHeight="1" thickBot="1" x14ac:dyDescent="0.35">
      <c r="A10" s="340" t="s">
        <v>197</v>
      </c>
      <c r="B10" s="318">
        <v>1</v>
      </c>
      <c r="C10" s="318">
        <v>0.75165000000000004</v>
      </c>
      <c r="D10" s="319">
        <v>-0.24834999999999999</v>
      </c>
      <c r="E10" s="320">
        <v>0.75165000000000004</v>
      </c>
      <c r="F10" s="318">
        <v>1.0000002756549999</v>
      </c>
      <c r="G10" s="319">
        <v>0.33333342521800002</v>
      </c>
      <c r="H10" s="321">
        <v>0</v>
      </c>
      <c r="I10" s="318">
        <v>0</v>
      </c>
      <c r="J10" s="319">
        <v>-0.33333342521800002</v>
      </c>
      <c r="K10" s="322">
        <v>0</v>
      </c>
    </row>
    <row r="11" spans="1:11" ht="14.4" customHeight="1" thickBot="1" x14ac:dyDescent="0.35">
      <c r="A11" s="339" t="s">
        <v>198</v>
      </c>
      <c r="B11" s="323">
        <v>131.72653222641901</v>
      </c>
      <c r="C11" s="323">
        <v>106.67733</v>
      </c>
      <c r="D11" s="324">
        <v>-25.049202226418</v>
      </c>
      <c r="E11" s="325">
        <v>0.80983935579900002</v>
      </c>
      <c r="F11" s="323">
        <v>142.70597517263599</v>
      </c>
      <c r="G11" s="324">
        <v>47.568658390877999</v>
      </c>
      <c r="H11" s="326">
        <v>0.80818000000000001</v>
      </c>
      <c r="I11" s="323">
        <v>10.70542</v>
      </c>
      <c r="J11" s="324">
        <v>-36.863238390878003</v>
      </c>
      <c r="K11" s="327">
        <v>7.5017321363000003E-2</v>
      </c>
    </row>
    <row r="12" spans="1:11" ht="14.4" customHeight="1" thickBot="1" x14ac:dyDescent="0.35">
      <c r="A12" s="340" t="s">
        <v>199</v>
      </c>
      <c r="B12" s="318">
        <v>0.95715506856300003</v>
      </c>
      <c r="C12" s="318">
        <v>0.72599999999999998</v>
      </c>
      <c r="D12" s="319">
        <v>-0.231155068563</v>
      </c>
      <c r="E12" s="320">
        <v>0.75849778561900005</v>
      </c>
      <c r="F12" s="318">
        <v>0.675034607339</v>
      </c>
      <c r="G12" s="319">
        <v>0.22501153577899999</v>
      </c>
      <c r="H12" s="321">
        <v>0</v>
      </c>
      <c r="I12" s="318">
        <v>0</v>
      </c>
      <c r="J12" s="319">
        <v>-0.22501153577899999</v>
      </c>
      <c r="K12" s="322">
        <v>0</v>
      </c>
    </row>
    <row r="13" spans="1:11" ht="14.4" customHeight="1" thickBot="1" x14ac:dyDescent="0.35">
      <c r="A13" s="340" t="s">
        <v>200</v>
      </c>
      <c r="B13" s="318">
        <v>0.99999996850200001</v>
      </c>
      <c r="C13" s="318">
        <v>7.4060000000000001E-2</v>
      </c>
      <c r="D13" s="319">
        <v>-0.925939968502</v>
      </c>
      <c r="E13" s="320">
        <v>7.4060002331999997E-2</v>
      </c>
      <c r="F13" s="318">
        <v>8.4277719877000001E-2</v>
      </c>
      <c r="G13" s="319">
        <v>2.8092573292E-2</v>
      </c>
      <c r="H13" s="321">
        <v>0</v>
      </c>
      <c r="I13" s="318">
        <v>0.11181000000000001</v>
      </c>
      <c r="J13" s="319">
        <v>8.3717426706999998E-2</v>
      </c>
      <c r="K13" s="322">
        <v>1.3266851566810001</v>
      </c>
    </row>
    <row r="14" spans="1:11" ht="14.4" customHeight="1" thickBot="1" x14ac:dyDescent="0.35">
      <c r="A14" s="340" t="s">
        <v>201</v>
      </c>
      <c r="B14" s="318">
        <v>5.0999999999999996</v>
      </c>
      <c r="C14" s="318">
        <v>4.2980799999999997</v>
      </c>
      <c r="D14" s="319">
        <v>-0.80191999999999997</v>
      </c>
      <c r="E14" s="320">
        <v>0.84276078431300006</v>
      </c>
      <c r="F14" s="318">
        <v>4.3448796606020004</v>
      </c>
      <c r="G14" s="319">
        <v>1.4482932202000001</v>
      </c>
      <c r="H14" s="321">
        <v>0</v>
      </c>
      <c r="I14" s="318">
        <v>0</v>
      </c>
      <c r="J14" s="319">
        <v>-1.4482932202000001</v>
      </c>
      <c r="K14" s="322">
        <v>0</v>
      </c>
    </row>
    <row r="15" spans="1:11" ht="14.4" customHeight="1" thickBot="1" x14ac:dyDescent="0.35">
      <c r="A15" s="340" t="s">
        <v>202</v>
      </c>
      <c r="B15" s="318">
        <v>116.866666225701</v>
      </c>
      <c r="C15" s="318">
        <v>92.514839999998998</v>
      </c>
      <c r="D15" s="319">
        <v>-24.351826225700002</v>
      </c>
      <c r="E15" s="320">
        <v>0.79162727052799997</v>
      </c>
      <c r="F15" s="318">
        <v>127.000035008271</v>
      </c>
      <c r="G15" s="319">
        <v>42.333345002755998</v>
      </c>
      <c r="H15" s="321">
        <v>0</v>
      </c>
      <c r="I15" s="318">
        <v>6.8602400000000001</v>
      </c>
      <c r="J15" s="319">
        <v>-35.473105002756</v>
      </c>
      <c r="K15" s="322">
        <v>5.4017622905E-2</v>
      </c>
    </row>
    <row r="16" spans="1:11" ht="14.4" customHeight="1" thickBot="1" x14ac:dyDescent="0.35">
      <c r="A16" s="340" t="s">
        <v>203</v>
      </c>
      <c r="B16" s="318">
        <v>1.999999937004</v>
      </c>
      <c r="C16" s="318">
        <v>0.28139999999999998</v>
      </c>
      <c r="D16" s="319">
        <v>-1.7185999370039999</v>
      </c>
      <c r="E16" s="320">
        <v>0.140700004431</v>
      </c>
      <c r="F16" s="318">
        <v>0.309754134726</v>
      </c>
      <c r="G16" s="319">
        <v>0.10325137824199999</v>
      </c>
      <c r="H16" s="321">
        <v>0</v>
      </c>
      <c r="I16" s="318">
        <v>0</v>
      </c>
      <c r="J16" s="319">
        <v>-0.10325137824199999</v>
      </c>
      <c r="K16" s="322">
        <v>0</v>
      </c>
    </row>
    <row r="17" spans="1:11" ht="14.4" customHeight="1" thickBot="1" x14ac:dyDescent="0.35">
      <c r="A17" s="340" t="s">
        <v>204</v>
      </c>
      <c r="B17" s="318">
        <v>2.8027110581439998</v>
      </c>
      <c r="C17" s="318">
        <v>7.5855300000000003</v>
      </c>
      <c r="D17" s="319">
        <v>4.782818941855</v>
      </c>
      <c r="E17" s="320">
        <v>2.706497331559</v>
      </c>
      <c r="F17" s="318">
        <v>9.3275223817589996</v>
      </c>
      <c r="G17" s="319">
        <v>3.109174127253</v>
      </c>
      <c r="H17" s="321">
        <v>0.80818000000000001</v>
      </c>
      <c r="I17" s="318">
        <v>3.2206199999999998</v>
      </c>
      <c r="J17" s="319">
        <v>0.111445872746</v>
      </c>
      <c r="K17" s="322">
        <v>0.345281401446</v>
      </c>
    </row>
    <row r="18" spans="1:11" ht="14.4" customHeight="1" thickBot="1" x14ac:dyDescent="0.35">
      <c r="A18" s="340" t="s">
        <v>205</v>
      </c>
      <c r="B18" s="318">
        <v>2.9999999685019998</v>
      </c>
      <c r="C18" s="318">
        <v>1.1974199999999999</v>
      </c>
      <c r="D18" s="319">
        <v>-1.8025799685020001</v>
      </c>
      <c r="E18" s="320">
        <v>0.39914000419000001</v>
      </c>
      <c r="F18" s="318">
        <v>0.96447166005999996</v>
      </c>
      <c r="G18" s="319">
        <v>0.32149055335299997</v>
      </c>
      <c r="H18" s="321">
        <v>0</v>
      </c>
      <c r="I18" s="318">
        <v>0.51275000000000004</v>
      </c>
      <c r="J18" s="319">
        <v>0.191259446646</v>
      </c>
      <c r="K18" s="322">
        <v>0.53163822353000001</v>
      </c>
    </row>
    <row r="19" spans="1:11" ht="14.4" customHeight="1" thickBot="1" x14ac:dyDescent="0.35">
      <c r="A19" s="339" t="s">
        <v>206</v>
      </c>
      <c r="B19" s="323">
        <v>0.99999996850200001</v>
      </c>
      <c r="C19" s="323">
        <v>0</v>
      </c>
      <c r="D19" s="324">
        <v>-0.99999996850200001</v>
      </c>
      <c r="E19" s="325">
        <v>0</v>
      </c>
      <c r="F19" s="323">
        <v>0</v>
      </c>
      <c r="G19" s="324">
        <v>0</v>
      </c>
      <c r="H19" s="326">
        <v>0</v>
      </c>
      <c r="I19" s="323">
        <v>0</v>
      </c>
      <c r="J19" s="324">
        <v>0</v>
      </c>
      <c r="K19" s="327">
        <v>0</v>
      </c>
    </row>
    <row r="20" spans="1:11" ht="14.4" customHeight="1" thickBot="1" x14ac:dyDescent="0.35">
      <c r="A20" s="340" t="s">
        <v>207</v>
      </c>
      <c r="B20" s="318">
        <v>0.99999996850200001</v>
      </c>
      <c r="C20" s="318">
        <v>0</v>
      </c>
      <c r="D20" s="319">
        <v>-0.99999996850200001</v>
      </c>
      <c r="E20" s="320">
        <v>0</v>
      </c>
      <c r="F20" s="318">
        <v>0</v>
      </c>
      <c r="G20" s="319">
        <v>0</v>
      </c>
      <c r="H20" s="321">
        <v>0</v>
      </c>
      <c r="I20" s="318">
        <v>0</v>
      </c>
      <c r="J20" s="319">
        <v>0</v>
      </c>
      <c r="K20" s="322">
        <v>0</v>
      </c>
    </row>
    <row r="21" spans="1:11" ht="14.4" customHeight="1" thickBot="1" x14ac:dyDescent="0.35">
      <c r="A21" s="339" t="s">
        <v>208</v>
      </c>
      <c r="B21" s="323">
        <v>2.9999999055069999</v>
      </c>
      <c r="C21" s="323">
        <v>6.7396900000000004</v>
      </c>
      <c r="D21" s="324">
        <v>3.739690094492</v>
      </c>
      <c r="E21" s="325">
        <v>2.2465634040940001</v>
      </c>
      <c r="F21" s="323">
        <v>0</v>
      </c>
      <c r="G21" s="324">
        <v>0</v>
      </c>
      <c r="H21" s="326">
        <v>0.29765000000000003</v>
      </c>
      <c r="I21" s="323">
        <v>1.6782600000000001</v>
      </c>
      <c r="J21" s="324">
        <v>1.6782600000000001</v>
      </c>
      <c r="K21" s="328" t="s">
        <v>191</v>
      </c>
    </row>
    <row r="22" spans="1:11" ht="14.4" customHeight="1" thickBot="1" x14ac:dyDescent="0.35">
      <c r="A22" s="340" t="s">
        <v>209</v>
      </c>
      <c r="B22" s="318">
        <v>2.9999999055069999</v>
      </c>
      <c r="C22" s="318">
        <v>6.7396900000000004</v>
      </c>
      <c r="D22" s="319">
        <v>3.739690094492</v>
      </c>
      <c r="E22" s="320">
        <v>2.2465634040940001</v>
      </c>
      <c r="F22" s="318">
        <v>0</v>
      </c>
      <c r="G22" s="319">
        <v>0</v>
      </c>
      <c r="H22" s="321">
        <v>0.29765000000000003</v>
      </c>
      <c r="I22" s="318">
        <v>1.6782600000000001</v>
      </c>
      <c r="J22" s="319">
        <v>1.6782600000000001</v>
      </c>
      <c r="K22" s="329" t="s">
        <v>191</v>
      </c>
    </row>
    <row r="23" spans="1:11" ht="14.4" customHeight="1" thickBot="1" x14ac:dyDescent="0.35">
      <c r="A23" s="338" t="s">
        <v>19</v>
      </c>
      <c r="B23" s="318">
        <v>85.694050698287995</v>
      </c>
      <c r="C23" s="318">
        <v>86.694000000000003</v>
      </c>
      <c r="D23" s="319">
        <v>0.99994930171100005</v>
      </c>
      <c r="E23" s="320">
        <v>1.011668829907</v>
      </c>
      <c r="F23" s="318">
        <v>85.306425409886998</v>
      </c>
      <c r="G23" s="319">
        <v>28.435475136629002</v>
      </c>
      <c r="H23" s="321">
        <v>7.2009999999999996</v>
      </c>
      <c r="I23" s="318">
        <v>38.011000000000003</v>
      </c>
      <c r="J23" s="319">
        <v>9.5755248633699992</v>
      </c>
      <c r="K23" s="322">
        <v>0.44558191035799999</v>
      </c>
    </row>
    <row r="24" spans="1:11" ht="14.4" customHeight="1" thickBot="1" x14ac:dyDescent="0.35">
      <c r="A24" s="339" t="s">
        <v>210</v>
      </c>
      <c r="B24" s="323">
        <v>85.694050698287995</v>
      </c>
      <c r="C24" s="323">
        <v>86.694000000000003</v>
      </c>
      <c r="D24" s="324">
        <v>0.99994930171100005</v>
      </c>
      <c r="E24" s="325">
        <v>1.011668829907</v>
      </c>
      <c r="F24" s="323">
        <v>85.306425409886998</v>
      </c>
      <c r="G24" s="324">
        <v>28.435475136629002</v>
      </c>
      <c r="H24" s="326">
        <v>7.2009999999999996</v>
      </c>
      <c r="I24" s="323">
        <v>38.011000000000003</v>
      </c>
      <c r="J24" s="324">
        <v>9.5755248633699992</v>
      </c>
      <c r="K24" s="327">
        <v>0.44558191035799999</v>
      </c>
    </row>
    <row r="25" spans="1:11" ht="14.4" customHeight="1" thickBot="1" x14ac:dyDescent="0.35">
      <c r="A25" s="340" t="s">
        <v>211</v>
      </c>
      <c r="B25" s="318">
        <v>15.694052903117999</v>
      </c>
      <c r="C25" s="318">
        <v>15.446999999999999</v>
      </c>
      <c r="D25" s="319">
        <v>-0.24705290311799999</v>
      </c>
      <c r="E25" s="320">
        <v>0.98425818336100002</v>
      </c>
      <c r="F25" s="318">
        <v>15.239609460183001</v>
      </c>
      <c r="G25" s="319">
        <v>5.079869820061</v>
      </c>
      <c r="H25" s="321">
        <v>1.085</v>
      </c>
      <c r="I25" s="318">
        <v>4.5330000000000004</v>
      </c>
      <c r="J25" s="319">
        <v>-0.54686982006100004</v>
      </c>
      <c r="K25" s="322">
        <v>0.29744856729000002</v>
      </c>
    </row>
    <row r="26" spans="1:11" ht="14.4" customHeight="1" thickBot="1" x14ac:dyDescent="0.35">
      <c r="A26" s="340" t="s">
        <v>212</v>
      </c>
      <c r="B26" s="318">
        <v>14.999999527536</v>
      </c>
      <c r="C26" s="318">
        <v>13.391</v>
      </c>
      <c r="D26" s="319">
        <v>-1.6089995275360001</v>
      </c>
      <c r="E26" s="320">
        <v>0.892733361452</v>
      </c>
      <c r="F26" s="318">
        <v>12.970315044634001</v>
      </c>
      <c r="G26" s="319">
        <v>4.3234383482109999</v>
      </c>
      <c r="H26" s="321">
        <v>1.087</v>
      </c>
      <c r="I26" s="318">
        <v>4.827</v>
      </c>
      <c r="J26" s="319">
        <v>0.50356165178800005</v>
      </c>
      <c r="K26" s="322">
        <v>0.37215749836299999</v>
      </c>
    </row>
    <row r="27" spans="1:11" ht="14.4" customHeight="1" thickBot="1" x14ac:dyDescent="0.35">
      <c r="A27" s="340" t="s">
        <v>213</v>
      </c>
      <c r="B27" s="318">
        <v>54.999998267633003</v>
      </c>
      <c r="C27" s="318">
        <v>57.856000000000002</v>
      </c>
      <c r="D27" s="319">
        <v>2.8560017323659999</v>
      </c>
      <c r="E27" s="320">
        <v>1.0519273058600001</v>
      </c>
      <c r="F27" s="318">
        <v>57.096500905069</v>
      </c>
      <c r="G27" s="319">
        <v>19.032166968356002</v>
      </c>
      <c r="H27" s="321">
        <v>5.0289999999999999</v>
      </c>
      <c r="I27" s="318">
        <v>28.651</v>
      </c>
      <c r="J27" s="319">
        <v>9.6188330316429997</v>
      </c>
      <c r="K27" s="322">
        <v>0.50179957695800004</v>
      </c>
    </row>
    <row r="28" spans="1:11" ht="14.4" customHeight="1" thickBot="1" x14ac:dyDescent="0.35">
      <c r="A28" s="341" t="s">
        <v>214</v>
      </c>
      <c r="B28" s="323">
        <v>109.147415189246</v>
      </c>
      <c r="C28" s="323">
        <v>81.778840000000002</v>
      </c>
      <c r="D28" s="324">
        <v>-27.368575189245998</v>
      </c>
      <c r="E28" s="325">
        <v>0.74925127505900002</v>
      </c>
      <c r="F28" s="323">
        <v>58.741526491531999</v>
      </c>
      <c r="G28" s="324">
        <v>19.580508830509999</v>
      </c>
      <c r="H28" s="326">
        <v>6.5163599999999997</v>
      </c>
      <c r="I28" s="323">
        <v>24.504020000000001</v>
      </c>
      <c r="J28" s="324">
        <v>4.9235111694890001</v>
      </c>
      <c r="K28" s="327">
        <v>0.41714986762400003</v>
      </c>
    </row>
    <row r="29" spans="1:11" ht="14.4" customHeight="1" thickBot="1" x14ac:dyDescent="0.35">
      <c r="A29" s="338" t="s">
        <v>22</v>
      </c>
      <c r="B29" s="318">
        <v>24.539564812719998</v>
      </c>
      <c r="C29" s="318">
        <v>3.6142699999999999</v>
      </c>
      <c r="D29" s="319">
        <v>-20.925294812720001</v>
      </c>
      <c r="E29" s="320">
        <v>0.14728337798899999</v>
      </c>
      <c r="F29" s="318">
        <v>4.5623326186700002</v>
      </c>
      <c r="G29" s="319">
        <v>1.5207775395559999</v>
      </c>
      <c r="H29" s="321">
        <v>0</v>
      </c>
      <c r="I29" s="318">
        <v>0</v>
      </c>
      <c r="J29" s="319">
        <v>-1.5207775395559999</v>
      </c>
      <c r="K29" s="322">
        <v>0</v>
      </c>
    </row>
    <row r="30" spans="1:11" ht="14.4" customHeight="1" thickBot="1" x14ac:dyDescent="0.35">
      <c r="A30" s="342" t="s">
        <v>215</v>
      </c>
      <c r="B30" s="318">
        <v>24.539564812719998</v>
      </c>
      <c r="C30" s="318">
        <v>3.6142699999999999</v>
      </c>
      <c r="D30" s="319">
        <v>-20.925294812720001</v>
      </c>
      <c r="E30" s="320">
        <v>0.14728337798899999</v>
      </c>
      <c r="F30" s="318">
        <v>4.5623326186700002</v>
      </c>
      <c r="G30" s="319">
        <v>1.5207775395559999</v>
      </c>
      <c r="H30" s="321">
        <v>0</v>
      </c>
      <c r="I30" s="318">
        <v>0</v>
      </c>
      <c r="J30" s="319">
        <v>-1.5207775395559999</v>
      </c>
      <c r="K30" s="322">
        <v>0</v>
      </c>
    </row>
    <row r="31" spans="1:11" ht="14.4" customHeight="1" thickBot="1" x14ac:dyDescent="0.35">
      <c r="A31" s="340" t="s">
        <v>216</v>
      </c>
      <c r="B31" s="318">
        <v>0</v>
      </c>
      <c r="C31" s="318">
        <v>1.8754999999999999</v>
      </c>
      <c r="D31" s="319">
        <v>1.8754999999999999</v>
      </c>
      <c r="E31" s="330" t="s">
        <v>217</v>
      </c>
      <c r="F31" s="318">
        <v>2.9861165211629999</v>
      </c>
      <c r="G31" s="319">
        <v>0.99537217372099995</v>
      </c>
      <c r="H31" s="321">
        <v>0</v>
      </c>
      <c r="I31" s="318">
        <v>0</v>
      </c>
      <c r="J31" s="319">
        <v>-0.99537217372099995</v>
      </c>
      <c r="K31" s="322">
        <v>0</v>
      </c>
    </row>
    <row r="32" spans="1:11" ht="14.4" customHeight="1" thickBot="1" x14ac:dyDescent="0.35">
      <c r="A32" s="340" t="s">
        <v>218</v>
      </c>
      <c r="B32" s="318">
        <v>23.999999244057999</v>
      </c>
      <c r="C32" s="318">
        <v>1.05633</v>
      </c>
      <c r="D32" s="319">
        <v>-22.943669244058</v>
      </c>
      <c r="E32" s="320">
        <v>4.4013751386E-2</v>
      </c>
      <c r="F32" s="318">
        <v>1.0856315329620001</v>
      </c>
      <c r="G32" s="319">
        <v>0.36187717765400002</v>
      </c>
      <c r="H32" s="321">
        <v>0</v>
      </c>
      <c r="I32" s="318">
        <v>0</v>
      </c>
      <c r="J32" s="319">
        <v>-0.36187717765400002</v>
      </c>
      <c r="K32" s="322">
        <v>0</v>
      </c>
    </row>
    <row r="33" spans="1:11" ht="14.4" customHeight="1" thickBot="1" x14ac:dyDescent="0.35">
      <c r="A33" s="340" t="s">
        <v>219</v>
      </c>
      <c r="B33" s="318">
        <v>0.53956556866200001</v>
      </c>
      <c r="C33" s="318">
        <v>0.68244000000000005</v>
      </c>
      <c r="D33" s="319">
        <v>0.14287443133700001</v>
      </c>
      <c r="E33" s="320">
        <v>1.264795308736</v>
      </c>
      <c r="F33" s="318">
        <v>0.49058456454400001</v>
      </c>
      <c r="G33" s="319">
        <v>0.16352818818100001</v>
      </c>
      <c r="H33" s="321">
        <v>0</v>
      </c>
      <c r="I33" s="318">
        <v>0</v>
      </c>
      <c r="J33" s="319">
        <v>-0.16352818818100001</v>
      </c>
      <c r="K33" s="322">
        <v>0</v>
      </c>
    </row>
    <row r="34" spans="1:11" ht="14.4" customHeight="1" thickBot="1" x14ac:dyDescent="0.35">
      <c r="A34" s="343" t="s">
        <v>23</v>
      </c>
      <c r="B34" s="323">
        <v>0</v>
      </c>
      <c r="C34" s="323">
        <v>26.37</v>
      </c>
      <c r="D34" s="324">
        <v>26.37</v>
      </c>
      <c r="E34" s="331" t="s">
        <v>191</v>
      </c>
      <c r="F34" s="323">
        <v>0</v>
      </c>
      <c r="G34" s="324">
        <v>0</v>
      </c>
      <c r="H34" s="326">
        <v>1.1120000000000001</v>
      </c>
      <c r="I34" s="323">
        <v>4.8289999999999997</v>
      </c>
      <c r="J34" s="324">
        <v>4.8289999999999997</v>
      </c>
      <c r="K34" s="328" t="s">
        <v>191</v>
      </c>
    </row>
    <row r="35" spans="1:11" ht="14.4" customHeight="1" thickBot="1" x14ac:dyDescent="0.35">
      <c r="A35" s="339" t="s">
        <v>220</v>
      </c>
      <c r="B35" s="323">
        <v>0</v>
      </c>
      <c r="C35" s="323">
        <v>26.37</v>
      </c>
      <c r="D35" s="324">
        <v>26.37</v>
      </c>
      <c r="E35" s="331" t="s">
        <v>191</v>
      </c>
      <c r="F35" s="323">
        <v>0</v>
      </c>
      <c r="G35" s="324">
        <v>0</v>
      </c>
      <c r="H35" s="326">
        <v>1.1120000000000001</v>
      </c>
      <c r="I35" s="323">
        <v>4.8289999999999997</v>
      </c>
      <c r="J35" s="324">
        <v>4.8289999999999997</v>
      </c>
      <c r="K35" s="328" t="s">
        <v>191</v>
      </c>
    </row>
    <row r="36" spans="1:11" ht="14.4" customHeight="1" thickBot="1" x14ac:dyDescent="0.35">
      <c r="A36" s="340" t="s">
        <v>221</v>
      </c>
      <c r="B36" s="318">
        <v>0</v>
      </c>
      <c r="C36" s="318">
        <v>26.37</v>
      </c>
      <c r="D36" s="319">
        <v>26.37</v>
      </c>
      <c r="E36" s="330" t="s">
        <v>191</v>
      </c>
      <c r="F36" s="318">
        <v>0</v>
      </c>
      <c r="G36" s="319">
        <v>0</v>
      </c>
      <c r="H36" s="321">
        <v>1.1120000000000001</v>
      </c>
      <c r="I36" s="318">
        <v>4.8289999999999997</v>
      </c>
      <c r="J36" s="319">
        <v>4.8289999999999997</v>
      </c>
      <c r="K36" s="329" t="s">
        <v>191</v>
      </c>
    </row>
    <row r="37" spans="1:11" ht="14.4" customHeight="1" thickBot="1" x14ac:dyDescent="0.35">
      <c r="A37" s="338" t="s">
        <v>24</v>
      </c>
      <c r="B37" s="318">
        <v>84.607850376524993</v>
      </c>
      <c r="C37" s="318">
        <v>51.79457</v>
      </c>
      <c r="D37" s="319">
        <v>-32.813280376525</v>
      </c>
      <c r="E37" s="320">
        <v>0.61217215387799995</v>
      </c>
      <c r="F37" s="318">
        <v>54.179193872860999</v>
      </c>
      <c r="G37" s="319">
        <v>18.059731290953</v>
      </c>
      <c r="H37" s="321">
        <v>5.4043599999999996</v>
      </c>
      <c r="I37" s="318">
        <v>19.67502</v>
      </c>
      <c r="J37" s="319">
        <v>1.615288709046</v>
      </c>
      <c r="K37" s="322">
        <v>0.36314715287499999</v>
      </c>
    </row>
    <row r="38" spans="1:11" ht="14.4" customHeight="1" thickBot="1" x14ac:dyDescent="0.35">
      <c r="A38" s="339" t="s">
        <v>222</v>
      </c>
      <c r="B38" s="323">
        <v>8.8563115784110007</v>
      </c>
      <c r="C38" s="323">
        <v>8.3274299999999997</v>
      </c>
      <c r="D38" s="324">
        <v>-0.52888157841100003</v>
      </c>
      <c r="E38" s="325">
        <v>0.94028195894699995</v>
      </c>
      <c r="F38" s="323">
        <v>6.3397106026329997</v>
      </c>
      <c r="G38" s="324">
        <v>2.1132368675439999</v>
      </c>
      <c r="H38" s="326">
        <v>0.51593</v>
      </c>
      <c r="I38" s="323">
        <v>3.8481700000000001</v>
      </c>
      <c r="J38" s="324">
        <v>1.7349331324549999</v>
      </c>
      <c r="K38" s="327">
        <v>0.60699458401100004</v>
      </c>
    </row>
    <row r="39" spans="1:11" ht="14.4" customHeight="1" thickBot="1" x14ac:dyDescent="0.35">
      <c r="A39" s="340" t="s">
        <v>223</v>
      </c>
      <c r="B39" s="318">
        <v>6.2557766761220002</v>
      </c>
      <c r="C39" s="318">
        <v>6.5987999999999998</v>
      </c>
      <c r="D39" s="319">
        <v>0.34302332387700002</v>
      </c>
      <c r="E39" s="320">
        <v>1.0548330513749999</v>
      </c>
      <c r="F39" s="318">
        <v>4.4386377498779996</v>
      </c>
      <c r="G39" s="319">
        <v>1.4795459166260001</v>
      </c>
      <c r="H39" s="321">
        <v>0.49590000000000001</v>
      </c>
      <c r="I39" s="318">
        <v>2.4738000000000002</v>
      </c>
      <c r="J39" s="319">
        <v>0.99425408337300003</v>
      </c>
      <c r="K39" s="322">
        <v>0.55733315927100002</v>
      </c>
    </row>
    <row r="40" spans="1:11" ht="14.4" customHeight="1" thickBot="1" x14ac:dyDescent="0.35">
      <c r="A40" s="340" t="s">
        <v>224</v>
      </c>
      <c r="B40" s="318">
        <v>2.600534902288</v>
      </c>
      <c r="C40" s="318">
        <v>1.7286300000000001</v>
      </c>
      <c r="D40" s="319">
        <v>-0.87190490228799999</v>
      </c>
      <c r="E40" s="320">
        <v>0.66472093817199995</v>
      </c>
      <c r="F40" s="318">
        <v>1.901072852755</v>
      </c>
      <c r="G40" s="319">
        <v>0.63369095091799998</v>
      </c>
      <c r="H40" s="321">
        <v>2.0029999999999999E-2</v>
      </c>
      <c r="I40" s="318">
        <v>1.3743700000000001</v>
      </c>
      <c r="J40" s="319">
        <v>0.74067904908100002</v>
      </c>
      <c r="K40" s="322">
        <v>0.72294441425900002</v>
      </c>
    </row>
    <row r="41" spans="1:11" ht="14.4" customHeight="1" thickBot="1" x14ac:dyDescent="0.35">
      <c r="A41" s="339" t="s">
        <v>225</v>
      </c>
      <c r="B41" s="323">
        <v>4.9999998425119996</v>
      </c>
      <c r="C41" s="323">
        <v>4.4550000000000001</v>
      </c>
      <c r="D41" s="324">
        <v>-0.54499984251199995</v>
      </c>
      <c r="E41" s="325">
        <v>0.89100002806400003</v>
      </c>
      <c r="F41" s="323">
        <v>4.0000011026219999</v>
      </c>
      <c r="G41" s="324">
        <v>1.333333700874</v>
      </c>
      <c r="H41" s="326">
        <v>1.08</v>
      </c>
      <c r="I41" s="323">
        <v>2.16</v>
      </c>
      <c r="J41" s="324">
        <v>0.826666299125</v>
      </c>
      <c r="K41" s="327">
        <v>0.53999985114500004</v>
      </c>
    </row>
    <row r="42" spans="1:11" ht="14.4" customHeight="1" thickBot="1" x14ac:dyDescent="0.35">
      <c r="A42" s="340" t="s">
        <v>226</v>
      </c>
      <c r="B42" s="318">
        <v>4.9999998425119996</v>
      </c>
      <c r="C42" s="318">
        <v>4.4550000000000001</v>
      </c>
      <c r="D42" s="319">
        <v>-0.54499984251199995</v>
      </c>
      <c r="E42" s="320">
        <v>0.89100002806400003</v>
      </c>
      <c r="F42" s="318">
        <v>4.0000011026219999</v>
      </c>
      <c r="G42" s="319">
        <v>1.333333700874</v>
      </c>
      <c r="H42" s="321">
        <v>1.08</v>
      </c>
      <c r="I42" s="318">
        <v>2.16</v>
      </c>
      <c r="J42" s="319">
        <v>0.826666299125</v>
      </c>
      <c r="K42" s="322">
        <v>0.53999985114500004</v>
      </c>
    </row>
    <row r="43" spans="1:11" ht="14.4" customHeight="1" thickBot="1" x14ac:dyDescent="0.35">
      <c r="A43" s="339" t="s">
        <v>227</v>
      </c>
      <c r="B43" s="323">
        <v>70.751538955602001</v>
      </c>
      <c r="C43" s="323">
        <v>39.012140000000002</v>
      </c>
      <c r="D43" s="324">
        <v>-31.739398955601001</v>
      </c>
      <c r="E43" s="325">
        <v>0.55139634523600001</v>
      </c>
      <c r="F43" s="323">
        <v>39.839481064982003</v>
      </c>
      <c r="G43" s="324">
        <v>13.279827021659999</v>
      </c>
      <c r="H43" s="326">
        <v>3.4034300000000002</v>
      </c>
      <c r="I43" s="323">
        <v>13.261850000000001</v>
      </c>
      <c r="J43" s="324">
        <v>-1.7977021659999998E-2</v>
      </c>
      <c r="K43" s="327">
        <v>0.332882096992</v>
      </c>
    </row>
    <row r="44" spans="1:11" ht="14.4" customHeight="1" thickBot="1" x14ac:dyDescent="0.35">
      <c r="A44" s="340" t="s">
        <v>228</v>
      </c>
      <c r="B44" s="318">
        <v>67.518812293758998</v>
      </c>
      <c r="C44" s="318">
        <v>39.012140000000002</v>
      </c>
      <c r="D44" s="319">
        <v>-28.506672293758999</v>
      </c>
      <c r="E44" s="320">
        <v>0.57779659734300004</v>
      </c>
      <c r="F44" s="318">
        <v>39.839481064982003</v>
      </c>
      <c r="G44" s="319">
        <v>13.279827021659999</v>
      </c>
      <c r="H44" s="321">
        <v>3.4034300000000002</v>
      </c>
      <c r="I44" s="318">
        <v>13.261850000000001</v>
      </c>
      <c r="J44" s="319">
        <v>-1.7977021659999998E-2</v>
      </c>
      <c r="K44" s="322">
        <v>0.332882096992</v>
      </c>
    </row>
    <row r="45" spans="1:11" ht="14.4" customHeight="1" thickBot="1" x14ac:dyDescent="0.35">
      <c r="A45" s="340" t="s">
        <v>229</v>
      </c>
      <c r="B45" s="318">
        <v>3.2327266618419999</v>
      </c>
      <c r="C45" s="318">
        <v>0</v>
      </c>
      <c r="D45" s="319">
        <v>-3.2327266618419999</v>
      </c>
      <c r="E45" s="320">
        <v>0</v>
      </c>
      <c r="F45" s="318">
        <v>0</v>
      </c>
      <c r="G45" s="319">
        <v>0</v>
      </c>
      <c r="H45" s="321">
        <v>0</v>
      </c>
      <c r="I45" s="318">
        <v>0</v>
      </c>
      <c r="J45" s="319">
        <v>0</v>
      </c>
      <c r="K45" s="322">
        <v>4</v>
      </c>
    </row>
    <row r="46" spans="1:11" ht="14.4" customHeight="1" thickBot="1" x14ac:dyDescent="0.35">
      <c r="A46" s="339" t="s">
        <v>230</v>
      </c>
      <c r="B46" s="323">
        <v>0</v>
      </c>
      <c r="C46" s="323">
        <v>0</v>
      </c>
      <c r="D46" s="324">
        <v>0</v>
      </c>
      <c r="E46" s="331" t="s">
        <v>191</v>
      </c>
      <c r="F46" s="323">
        <v>4.0000011026219999</v>
      </c>
      <c r="G46" s="324">
        <v>1.333333700874</v>
      </c>
      <c r="H46" s="326">
        <v>0.40500000000000003</v>
      </c>
      <c r="I46" s="323">
        <v>0.40500000000000003</v>
      </c>
      <c r="J46" s="324">
        <v>-0.92833370087400002</v>
      </c>
      <c r="K46" s="327">
        <v>0.101249972089</v>
      </c>
    </row>
    <row r="47" spans="1:11" ht="14.4" customHeight="1" thickBot="1" x14ac:dyDescent="0.35">
      <c r="A47" s="340" t="s">
        <v>231</v>
      </c>
      <c r="B47" s="318">
        <v>0</v>
      </c>
      <c r="C47" s="318">
        <v>0</v>
      </c>
      <c r="D47" s="319">
        <v>0</v>
      </c>
      <c r="E47" s="330" t="s">
        <v>191</v>
      </c>
      <c r="F47" s="318">
        <v>4.0000011026219999</v>
      </c>
      <c r="G47" s="319">
        <v>1.333333700874</v>
      </c>
      <c r="H47" s="321">
        <v>0.40500000000000003</v>
      </c>
      <c r="I47" s="318">
        <v>0.40500000000000003</v>
      </c>
      <c r="J47" s="319">
        <v>-0.92833370087400002</v>
      </c>
      <c r="K47" s="322">
        <v>0.101249972089</v>
      </c>
    </row>
    <row r="48" spans="1:11" ht="14.4" customHeight="1" thickBot="1" x14ac:dyDescent="0.35">
      <c r="A48" s="337" t="s">
        <v>25</v>
      </c>
      <c r="B48" s="318">
        <v>7035.9997783830504</v>
      </c>
      <c r="C48" s="318">
        <v>7160.9778299999998</v>
      </c>
      <c r="D48" s="319">
        <v>124.97805161694799</v>
      </c>
      <c r="E48" s="320">
        <v>1.0177626571280001</v>
      </c>
      <c r="F48" s="318">
        <v>7196.0019836182701</v>
      </c>
      <c r="G48" s="319">
        <v>2398.6673278727599</v>
      </c>
      <c r="H48" s="321">
        <v>574.99995999999999</v>
      </c>
      <c r="I48" s="318">
        <v>2393.6000199999999</v>
      </c>
      <c r="J48" s="319">
        <v>-5.0673078727569996</v>
      </c>
      <c r="K48" s="322">
        <v>0.33262914955400003</v>
      </c>
    </row>
    <row r="49" spans="1:11" ht="14.4" customHeight="1" thickBot="1" x14ac:dyDescent="0.35">
      <c r="A49" s="343" t="s">
        <v>232</v>
      </c>
      <c r="B49" s="323">
        <v>5215.9998357086397</v>
      </c>
      <c r="C49" s="323">
        <v>5306.3630000000003</v>
      </c>
      <c r="D49" s="324">
        <v>90.363164291358004</v>
      </c>
      <c r="E49" s="325">
        <v>1.0173242268280001</v>
      </c>
      <c r="F49" s="323">
        <v>5315.00146510994</v>
      </c>
      <c r="G49" s="324">
        <v>1771.66715503665</v>
      </c>
      <c r="H49" s="326">
        <v>427.12</v>
      </c>
      <c r="I49" s="323">
        <v>1769.26</v>
      </c>
      <c r="J49" s="324">
        <v>-2.4071550366459999</v>
      </c>
      <c r="K49" s="327">
        <v>0.33288043504999998</v>
      </c>
    </row>
    <row r="50" spans="1:11" ht="14.4" customHeight="1" thickBot="1" x14ac:dyDescent="0.35">
      <c r="A50" s="339" t="s">
        <v>233</v>
      </c>
      <c r="B50" s="323">
        <v>5199.9998362125998</v>
      </c>
      <c r="C50" s="323">
        <v>5298.6679999999997</v>
      </c>
      <c r="D50" s="324">
        <v>98.668163787398001</v>
      </c>
      <c r="E50" s="325">
        <v>1.018974647479</v>
      </c>
      <c r="F50" s="323">
        <v>5300.0014609750997</v>
      </c>
      <c r="G50" s="324">
        <v>1766.6671536583699</v>
      </c>
      <c r="H50" s="326">
        <v>416.10300000000001</v>
      </c>
      <c r="I50" s="323">
        <v>1758.2429999999999</v>
      </c>
      <c r="J50" s="324">
        <v>-8.4241536583670005</v>
      </c>
      <c r="K50" s="327">
        <v>0.33174387081700002</v>
      </c>
    </row>
    <row r="51" spans="1:11" ht="14.4" customHeight="1" thickBot="1" x14ac:dyDescent="0.35">
      <c r="A51" s="340" t="s">
        <v>234</v>
      </c>
      <c r="B51" s="318">
        <v>5199.9998362125998</v>
      </c>
      <c r="C51" s="318">
        <v>5298.6679999999997</v>
      </c>
      <c r="D51" s="319">
        <v>98.668163787398001</v>
      </c>
      <c r="E51" s="320">
        <v>1.018974647479</v>
      </c>
      <c r="F51" s="318">
        <v>5300.0014609750997</v>
      </c>
      <c r="G51" s="319">
        <v>1766.6671536583699</v>
      </c>
      <c r="H51" s="321">
        <v>416.10300000000001</v>
      </c>
      <c r="I51" s="318">
        <v>1758.2429999999999</v>
      </c>
      <c r="J51" s="319">
        <v>-8.4241536583670005</v>
      </c>
      <c r="K51" s="322">
        <v>0.33174387081700002</v>
      </c>
    </row>
    <row r="52" spans="1:11" ht="14.4" customHeight="1" thickBot="1" x14ac:dyDescent="0.35">
      <c r="A52" s="339" t="s">
        <v>235</v>
      </c>
      <c r="B52" s="323">
        <v>15.999999496038001</v>
      </c>
      <c r="C52" s="323">
        <v>7.6950000000000003</v>
      </c>
      <c r="D52" s="324">
        <v>-8.3049994960380005</v>
      </c>
      <c r="E52" s="325">
        <v>0.48093751514799998</v>
      </c>
      <c r="F52" s="323">
        <v>15.000004134835001</v>
      </c>
      <c r="G52" s="324">
        <v>5.0000013782780002</v>
      </c>
      <c r="H52" s="326">
        <v>11.016999999999999</v>
      </c>
      <c r="I52" s="323">
        <v>11.016999999999999</v>
      </c>
      <c r="J52" s="324">
        <v>6.0169986217210001</v>
      </c>
      <c r="K52" s="327">
        <v>0.73446646420600004</v>
      </c>
    </row>
    <row r="53" spans="1:11" ht="14.4" customHeight="1" thickBot="1" x14ac:dyDescent="0.35">
      <c r="A53" s="340" t="s">
        <v>236</v>
      </c>
      <c r="B53" s="318">
        <v>15.999999496038001</v>
      </c>
      <c r="C53" s="318">
        <v>7.6950000000000003</v>
      </c>
      <c r="D53" s="319">
        <v>-8.3049994960380005</v>
      </c>
      <c r="E53" s="320">
        <v>0.48093751514799998</v>
      </c>
      <c r="F53" s="318">
        <v>15.000004134835001</v>
      </c>
      <c r="G53" s="319">
        <v>5.0000013782780002</v>
      </c>
      <c r="H53" s="321">
        <v>11.016999999999999</v>
      </c>
      <c r="I53" s="318">
        <v>11.016999999999999</v>
      </c>
      <c r="J53" s="319">
        <v>6.0169986217210001</v>
      </c>
      <c r="K53" s="322">
        <v>0.73446646420600004</v>
      </c>
    </row>
    <row r="54" spans="1:11" ht="14.4" customHeight="1" thickBot="1" x14ac:dyDescent="0.35">
      <c r="A54" s="338" t="s">
        <v>237</v>
      </c>
      <c r="B54" s="318">
        <v>1767.9999443122799</v>
      </c>
      <c r="C54" s="318">
        <v>1801.55223</v>
      </c>
      <c r="D54" s="319">
        <v>33.552285687714999</v>
      </c>
      <c r="E54" s="320">
        <v>1.018977537751</v>
      </c>
      <c r="F54" s="318">
        <v>1802.0004967315399</v>
      </c>
      <c r="G54" s="319">
        <v>600.66683224384496</v>
      </c>
      <c r="H54" s="321">
        <v>141.47375</v>
      </c>
      <c r="I54" s="318">
        <v>597.80130999999994</v>
      </c>
      <c r="J54" s="319">
        <v>-2.8655222438450001</v>
      </c>
      <c r="K54" s="322">
        <v>0.33174314384699999</v>
      </c>
    </row>
    <row r="55" spans="1:11" ht="14.4" customHeight="1" thickBot="1" x14ac:dyDescent="0.35">
      <c r="A55" s="339" t="s">
        <v>238</v>
      </c>
      <c r="B55" s="323">
        <v>467.99998525913401</v>
      </c>
      <c r="C55" s="323">
        <v>476.88522</v>
      </c>
      <c r="D55" s="324">
        <v>8.8852347408650001</v>
      </c>
      <c r="E55" s="325">
        <v>1.0189855449159999</v>
      </c>
      <c r="F55" s="323">
        <v>477.00013148775997</v>
      </c>
      <c r="G55" s="324">
        <v>159.000043829253</v>
      </c>
      <c r="H55" s="326">
        <v>37.448</v>
      </c>
      <c r="I55" s="323">
        <v>158.24055999999999</v>
      </c>
      <c r="J55" s="324">
        <v>-0.75948382925299995</v>
      </c>
      <c r="K55" s="327">
        <v>0.33174112448600002</v>
      </c>
    </row>
    <row r="56" spans="1:11" ht="14.4" customHeight="1" thickBot="1" x14ac:dyDescent="0.35">
      <c r="A56" s="340" t="s">
        <v>239</v>
      </c>
      <c r="B56" s="318">
        <v>467.99998525913401</v>
      </c>
      <c r="C56" s="318">
        <v>476.88522</v>
      </c>
      <c r="D56" s="319">
        <v>8.8852347408650001</v>
      </c>
      <c r="E56" s="320">
        <v>1.0189855449159999</v>
      </c>
      <c r="F56" s="318">
        <v>477.00013148775997</v>
      </c>
      <c r="G56" s="319">
        <v>159.000043829253</v>
      </c>
      <c r="H56" s="321">
        <v>37.448</v>
      </c>
      <c r="I56" s="318">
        <v>158.24055999999999</v>
      </c>
      <c r="J56" s="319">
        <v>-0.75948382925299995</v>
      </c>
      <c r="K56" s="322">
        <v>0.33174112448600002</v>
      </c>
    </row>
    <row r="57" spans="1:11" ht="14.4" customHeight="1" thickBot="1" x14ac:dyDescent="0.35">
      <c r="A57" s="339" t="s">
        <v>240</v>
      </c>
      <c r="B57" s="323">
        <v>1299.99995905315</v>
      </c>
      <c r="C57" s="323">
        <v>1324.6670099999999</v>
      </c>
      <c r="D57" s="324">
        <v>24.667050946848999</v>
      </c>
      <c r="E57" s="325">
        <v>1.018974655172</v>
      </c>
      <c r="F57" s="323">
        <v>1325.0003652437799</v>
      </c>
      <c r="G57" s="324">
        <v>441.66678841459202</v>
      </c>
      <c r="H57" s="326">
        <v>104.02575</v>
      </c>
      <c r="I57" s="323">
        <v>439.56074999999998</v>
      </c>
      <c r="J57" s="324">
        <v>-2.1060384145920001</v>
      </c>
      <c r="K57" s="327">
        <v>0.33174387081700002</v>
      </c>
    </row>
    <row r="58" spans="1:11" ht="14.4" customHeight="1" thickBot="1" x14ac:dyDescent="0.35">
      <c r="A58" s="340" t="s">
        <v>241</v>
      </c>
      <c r="B58" s="318">
        <v>1299.99995905315</v>
      </c>
      <c r="C58" s="318">
        <v>1324.6670099999999</v>
      </c>
      <c r="D58" s="319">
        <v>24.667050946848999</v>
      </c>
      <c r="E58" s="320">
        <v>1.018974655172</v>
      </c>
      <c r="F58" s="318">
        <v>1325.0003652437799</v>
      </c>
      <c r="G58" s="319">
        <v>441.66678841459202</v>
      </c>
      <c r="H58" s="321">
        <v>104.02575</v>
      </c>
      <c r="I58" s="318">
        <v>439.56074999999998</v>
      </c>
      <c r="J58" s="319">
        <v>-2.1060384145920001</v>
      </c>
      <c r="K58" s="322">
        <v>0.33174387081700002</v>
      </c>
    </row>
    <row r="59" spans="1:11" ht="14.4" customHeight="1" thickBot="1" x14ac:dyDescent="0.35">
      <c r="A59" s="338" t="s">
        <v>242</v>
      </c>
      <c r="B59" s="318">
        <v>51.999998362126</v>
      </c>
      <c r="C59" s="318">
        <v>53.062600000000003</v>
      </c>
      <c r="D59" s="319">
        <v>1.0626016378730001</v>
      </c>
      <c r="E59" s="320">
        <v>1.0204346475249999</v>
      </c>
      <c r="F59" s="318">
        <v>79.000021776797993</v>
      </c>
      <c r="G59" s="319">
        <v>26.333340592266001</v>
      </c>
      <c r="H59" s="321">
        <v>6.4062099999999997</v>
      </c>
      <c r="I59" s="318">
        <v>26.538709999999998</v>
      </c>
      <c r="J59" s="319">
        <v>0.205369407733</v>
      </c>
      <c r="K59" s="322">
        <v>0.33593294537200002</v>
      </c>
    </row>
    <row r="60" spans="1:11" ht="14.4" customHeight="1" thickBot="1" x14ac:dyDescent="0.35">
      <c r="A60" s="339" t="s">
        <v>243</v>
      </c>
      <c r="B60" s="323">
        <v>51.999998362126</v>
      </c>
      <c r="C60" s="323">
        <v>53.062600000000003</v>
      </c>
      <c r="D60" s="324">
        <v>1.0626016378730001</v>
      </c>
      <c r="E60" s="325">
        <v>1.0204346475249999</v>
      </c>
      <c r="F60" s="323">
        <v>79.000021776797993</v>
      </c>
      <c r="G60" s="324">
        <v>26.333340592266001</v>
      </c>
      <c r="H60" s="326">
        <v>6.4062099999999997</v>
      </c>
      <c r="I60" s="323">
        <v>26.538709999999998</v>
      </c>
      <c r="J60" s="324">
        <v>0.205369407733</v>
      </c>
      <c r="K60" s="327">
        <v>0.33593294537200002</v>
      </c>
    </row>
    <row r="61" spans="1:11" ht="14.4" customHeight="1" thickBot="1" x14ac:dyDescent="0.35">
      <c r="A61" s="340" t="s">
        <v>244</v>
      </c>
      <c r="B61" s="318">
        <v>51.999998362126</v>
      </c>
      <c r="C61" s="318">
        <v>53.062600000000003</v>
      </c>
      <c r="D61" s="319">
        <v>1.0626016378730001</v>
      </c>
      <c r="E61" s="320">
        <v>1.0204346475249999</v>
      </c>
      <c r="F61" s="318">
        <v>79.000021776797993</v>
      </c>
      <c r="G61" s="319">
        <v>26.333340592266001</v>
      </c>
      <c r="H61" s="321">
        <v>6.4062099999999997</v>
      </c>
      <c r="I61" s="318">
        <v>26.538709999999998</v>
      </c>
      <c r="J61" s="319">
        <v>0.205369407733</v>
      </c>
      <c r="K61" s="322">
        <v>0.33593294537200002</v>
      </c>
    </row>
    <row r="62" spans="1:11" ht="14.4" customHeight="1" thickBot="1" x14ac:dyDescent="0.35">
      <c r="A62" s="337" t="s">
        <v>245</v>
      </c>
      <c r="B62" s="318">
        <v>0</v>
      </c>
      <c r="C62" s="318">
        <v>70.935000000000002</v>
      </c>
      <c r="D62" s="319">
        <v>70.935000000000002</v>
      </c>
      <c r="E62" s="330" t="s">
        <v>191</v>
      </c>
      <c r="F62" s="318">
        <v>47.801185759269998</v>
      </c>
      <c r="G62" s="319">
        <v>15.933728586422999</v>
      </c>
      <c r="H62" s="321">
        <v>12</v>
      </c>
      <c r="I62" s="318">
        <v>27.7</v>
      </c>
      <c r="J62" s="319">
        <v>11.766271413576</v>
      </c>
      <c r="K62" s="322">
        <v>0.57948353288700005</v>
      </c>
    </row>
    <row r="63" spans="1:11" ht="14.4" customHeight="1" thickBot="1" x14ac:dyDescent="0.35">
      <c r="A63" s="338" t="s">
        <v>246</v>
      </c>
      <c r="B63" s="318">
        <v>0</v>
      </c>
      <c r="C63" s="318">
        <v>70.935000000000002</v>
      </c>
      <c r="D63" s="319">
        <v>70.935000000000002</v>
      </c>
      <c r="E63" s="330" t="s">
        <v>191</v>
      </c>
      <c r="F63" s="318">
        <v>47.801185759269998</v>
      </c>
      <c r="G63" s="319">
        <v>15.933728586422999</v>
      </c>
      <c r="H63" s="321">
        <v>12</v>
      </c>
      <c r="I63" s="318">
        <v>27.7</v>
      </c>
      <c r="J63" s="319">
        <v>11.766271413576</v>
      </c>
      <c r="K63" s="322">
        <v>0.57948353288700005</v>
      </c>
    </row>
    <row r="64" spans="1:11" ht="14.4" customHeight="1" thickBot="1" x14ac:dyDescent="0.35">
      <c r="A64" s="339" t="s">
        <v>247</v>
      </c>
      <c r="B64" s="323">
        <v>0</v>
      </c>
      <c r="C64" s="323">
        <v>8.0850000000000009</v>
      </c>
      <c r="D64" s="324">
        <v>8.0850000000000009</v>
      </c>
      <c r="E64" s="331" t="s">
        <v>191</v>
      </c>
      <c r="F64" s="323">
        <v>11.777843001941999</v>
      </c>
      <c r="G64" s="324">
        <v>3.9259476673139999</v>
      </c>
      <c r="H64" s="326">
        <v>0</v>
      </c>
      <c r="I64" s="323">
        <v>0</v>
      </c>
      <c r="J64" s="324">
        <v>-3.9259476673139999</v>
      </c>
      <c r="K64" s="327">
        <v>0</v>
      </c>
    </row>
    <row r="65" spans="1:11" ht="14.4" customHeight="1" thickBot="1" x14ac:dyDescent="0.35">
      <c r="A65" s="340" t="s">
        <v>248</v>
      </c>
      <c r="B65" s="318">
        <v>0</v>
      </c>
      <c r="C65" s="318">
        <v>0.14499999999999999</v>
      </c>
      <c r="D65" s="319">
        <v>0.14499999999999999</v>
      </c>
      <c r="E65" s="330" t="s">
        <v>191</v>
      </c>
      <c r="F65" s="318">
        <v>0</v>
      </c>
      <c r="G65" s="319">
        <v>0</v>
      </c>
      <c r="H65" s="321">
        <v>0</v>
      </c>
      <c r="I65" s="318">
        <v>0</v>
      </c>
      <c r="J65" s="319">
        <v>0</v>
      </c>
      <c r="K65" s="329" t="s">
        <v>191</v>
      </c>
    </row>
    <row r="66" spans="1:11" ht="14.4" customHeight="1" thickBot="1" x14ac:dyDescent="0.35">
      <c r="A66" s="340" t="s">
        <v>249</v>
      </c>
      <c r="B66" s="318">
        <v>0</v>
      </c>
      <c r="C66" s="318">
        <v>7.94</v>
      </c>
      <c r="D66" s="319">
        <v>7.94</v>
      </c>
      <c r="E66" s="330" t="s">
        <v>191</v>
      </c>
      <c r="F66" s="318">
        <v>11.777843001941999</v>
      </c>
      <c r="G66" s="319">
        <v>3.9259476673139999</v>
      </c>
      <c r="H66" s="321">
        <v>0</v>
      </c>
      <c r="I66" s="318">
        <v>0</v>
      </c>
      <c r="J66" s="319">
        <v>-3.9259476673139999</v>
      </c>
      <c r="K66" s="322">
        <v>0</v>
      </c>
    </row>
    <row r="67" spans="1:11" ht="14.4" customHeight="1" thickBot="1" x14ac:dyDescent="0.35">
      <c r="A67" s="342" t="s">
        <v>250</v>
      </c>
      <c r="B67" s="318">
        <v>0</v>
      </c>
      <c r="C67" s="318">
        <v>62.85</v>
      </c>
      <c r="D67" s="319">
        <v>62.85</v>
      </c>
      <c r="E67" s="330" t="s">
        <v>191</v>
      </c>
      <c r="F67" s="318">
        <v>36.023342757327001</v>
      </c>
      <c r="G67" s="319">
        <v>12.007780919109001</v>
      </c>
      <c r="H67" s="321">
        <v>12</v>
      </c>
      <c r="I67" s="318">
        <v>27.7</v>
      </c>
      <c r="J67" s="319">
        <v>15.69221908089</v>
      </c>
      <c r="K67" s="322">
        <v>0.76894585232099999</v>
      </c>
    </row>
    <row r="68" spans="1:11" ht="14.4" customHeight="1" thickBot="1" x14ac:dyDescent="0.35">
      <c r="A68" s="340" t="s">
        <v>251</v>
      </c>
      <c r="B68" s="318">
        <v>0</v>
      </c>
      <c r="C68" s="318">
        <v>62.85</v>
      </c>
      <c r="D68" s="319">
        <v>62.85</v>
      </c>
      <c r="E68" s="330" t="s">
        <v>191</v>
      </c>
      <c r="F68" s="318">
        <v>36.023342757327001</v>
      </c>
      <c r="G68" s="319">
        <v>12.007780919109001</v>
      </c>
      <c r="H68" s="321">
        <v>12</v>
      </c>
      <c r="I68" s="318">
        <v>27.7</v>
      </c>
      <c r="J68" s="319">
        <v>15.69221908089</v>
      </c>
      <c r="K68" s="322">
        <v>0.76894585232099999</v>
      </c>
    </row>
    <row r="69" spans="1:11" ht="14.4" customHeight="1" thickBot="1" x14ac:dyDescent="0.35">
      <c r="A69" s="337" t="s">
        <v>252</v>
      </c>
      <c r="B69" s="318">
        <v>42.999983767379</v>
      </c>
      <c r="C69" s="318">
        <v>62.68291</v>
      </c>
      <c r="D69" s="319">
        <v>19.682926232620002</v>
      </c>
      <c r="E69" s="320">
        <v>1.457742643325</v>
      </c>
      <c r="F69" s="318">
        <v>43.000107269357997</v>
      </c>
      <c r="G69" s="319">
        <v>14.333369089786</v>
      </c>
      <c r="H69" s="321">
        <v>3.5710000000000002</v>
      </c>
      <c r="I69" s="318">
        <v>14.284000000000001</v>
      </c>
      <c r="J69" s="319">
        <v>-4.9369089785999999E-2</v>
      </c>
      <c r="K69" s="322">
        <v>0.33218521782999999</v>
      </c>
    </row>
    <row r="70" spans="1:11" ht="14.4" customHeight="1" thickBot="1" x14ac:dyDescent="0.35">
      <c r="A70" s="338" t="s">
        <v>253</v>
      </c>
      <c r="B70" s="318">
        <v>42.999983767379</v>
      </c>
      <c r="C70" s="318">
        <v>42.511000000000003</v>
      </c>
      <c r="D70" s="319">
        <v>-0.48898376737900001</v>
      </c>
      <c r="E70" s="320">
        <v>0.98862828018600002</v>
      </c>
      <c r="F70" s="318">
        <v>43.000107269357997</v>
      </c>
      <c r="G70" s="319">
        <v>14.333369089786</v>
      </c>
      <c r="H70" s="321">
        <v>3.5710000000000002</v>
      </c>
      <c r="I70" s="318">
        <v>14.284000000000001</v>
      </c>
      <c r="J70" s="319">
        <v>-4.9369089785999999E-2</v>
      </c>
      <c r="K70" s="322">
        <v>0.33218521782999999</v>
      </c>
    </row>
    <row r="71" spans="1:11" ht="14.4" customHeight="1" thickBot="1" x14ac:dyDescent="0.35">
      <c r="A71" s="339" t="s">
        <v>254</v>
      </c>
      <c r="B71" s="323">
        <v>42.999983767379</v>
      </c>
      <c r="C71" s="323">
        <v>42.511000000000003</v>
      </c>
      <c r="D71" s="324">
        <v>-0.48898376737900001</v>
      </c>
      <c r="E71" s="325">
        <v>0.98862828018600002</v>
      </c>
      <c r="F71" s="323">
        <v>43.000107269357997</v>
      </c>
      <c r="G71" s="324">
        <v>14.333369089786</v>
      </c>
      <c r="H71" s="326">
        <v>3.5710000000000002</v>
      </c>
      <c r="I71" s="323">
        <v>14.284000000000001</v>
      </c>
      <c r="J71" s="324">
        <v>-4.9369089785999999E-2</v>
      </c>
      <c r="K71" s="327">
        <v>0.33218521782999999</v>
      </c>
    </row>
    <row r="72" spans="1:11" ht="14.4" customHeight="1" thickBot="1" x14ac:dyDescent="0.35">
      <c r="A72" s="340" t="s">
        <v>255</v>
      </c>
      <c r="B72" s="318">
        <v>24.999999212559999</v>
      </c>
      <c r="C72" s="318">
        <v>24.832000000000001</v>
      </c>
      <c r="D72" s="319">
        <v>-0.16799921256</v>
      </c>
      <c r="E72" s="320">
        <v>0.99328003128499998</v>
      </c>
      <c r="F72" s="318">
        <v>25.000062365906</v>
      </c>
      <c r="G72" s="319">
        <v>8.3333541219680001</v>
      </c>
      <c r="H72" s="321">
        <v>2.0950000000000002</v>
      </c>
      <c r="I72" s="318">
        <v>8.3800000000000008</v>
      </c>
      <c r="J72" s="319">
        <v>4.6645878031000003E-2</v>
      </c>
      <c r="K72" s="322">
        <v>0.33519916379999998</v>
      </c>
    </row>
    <row r="73" spans="1:11" ht="14.4" customHeight="1" thickBot="1" x14ac:dyDescent="0.35">
      <c r="A73" s="340" t="s">
        <v>256</v>
      </c>
      <c r="B73" s="318">
        <v>10.000083349596</v>
      </c>
      <c r="C73" s="318">
        <v>9.9120000000000008</v>
      </c>
      <c r="D73" s="319">
        <v>-8.8083349596000005E-2</v>
      </c>
      <c r="E73" s="320">
        <v>0.99119173845599995</v>
      </c>
      <c r="F73" s="318">
        <v>10.000024946362</v>
      </c>
      <c r="G73" s="319">
        <v>3.333341648787</v>
      </c>
      <c r="H73" s="321">
        <v>0.82599999999999996</v>
      </c>
      <c r="I73" s="318">
        <v>3.3039999999999998</v>
      </c>
      <c r="J73" s="319">
        <v>-2.9341648787000001E-2</v>
      </c>
      <c r="K73" s="322">
        <v>0.33039917577400002</v>
      </c>
    </row>
    <row r="74" spans="1:11" ht="14.4" customHeight="1" thickBot="1" x14ac:dyDescent="0.35">
      <c r="A74" s="340" t="s">
        <v>257</v>
      </c>
      <c r="B74" s="318">
        <v>7.9999012052219998</v>
      </c>
      <c r="C74" s="318">
        <v>7.7670000000000003</v>
      </c>
      <c r="D74" s="319">
        <v>-0.232901205222</v>
      </c>
      <c r="E74" s="320">
        <v>0.97088698981999999</v>
      </c>
      <c r="F74" s="318">
        <v>8.0000199570900001</v>
      </c>
      <c r="G74" s="319">
        <v>2.66667331903</v>
      </c>
      <c r="H74" s="321">
        <v>0.65</v>
      </c>
      <c r="I74" s="318">
        <v>2.6</v>
      </c>
      <c r="J74" s="319">
        <v>-6.6673319029999997E-2</v>
      </c>
      <c r="K74" s="322">
        <v>0.32499918924499999</v>
      </c>
    </row>
    <row r="75" spans="1:11" ht="14.4" customHeight="1" thickBot="1" x14ac:dyDescent="0.35">
      <c r="A75" s="338" t="s">
        <v>258</v>
      </c>
      <c r="B75" s="318">
        <v>0</v>
      </c>
      <c r="C75" s="318">
        <v>20.17191</v>
      </c>
      <c r="D75" s="319">
        <v>20.17191</v>
      </c>
      <c r="E75" s="330" t="s">
        <v>191</v>
      </c>
      <c r="F75" s="318">
        <v>0</v>
      </c>
      <c r="G75" s="319">
        <v>0</v>
      </c>
      <c r="H75" s="321">
        <v>0</v>
      </c>
      <c r="I75" s="318">
        <v>0</v>
      </c>
      <c r="J75" s="319">
        <v>0</v>
      </c>
      <c r="K75" s="329" t="s">
        <v>191</v>
      </c>
    </row>
    <row r="76" spans="1:11" ht="14.4" customHeight="1" thickBot="1" x14ac:dyDescent="0.35">
      <c r="A76" s="339" t="s">
        <v>259</v>
      </c>
      <c r="B76" s="323">
        <v>0</v>
      </c>
      <c r="C76" s="323">
        <v>20.17191</v>
      </c>
      <c r="D76" s="324">
        <v>20.17191</v>
      </c>
      <c r="E76" s="331" t="s">
        <v>191</v>
      </c>
      <c r="F76" s="323">
        <v>0</v>
      </c>
      <c r="G76" s="324">
        <v>0</v>
      </c>
      <c r="H76" s="326">
        <v>0</v>
      </c>
      <c r="I76" s="323">
        <v>0</v>
      </c>
      <c r="J76" s="324">
        <v>0</v>
      </c>
      <c r="K76" s="328" t="s">
        <v>191</v>
      </c>
    </row>
    <row r="77" spans="1:11" ht="14.4" customHeight="1" thickBot="1" x14ac:dyDescent="0.35">
      <c r="A77" s="340" t="s">
        <v>260</v>
      </c>
      <c r="B77" s="318">
        <v>0</v>
      </c>
      <c r="C77" s="318">
        <v>20.17191</v>
      </c>
      <c r="D77" s="319">
        <v>20.17191</v>
      </c>
      <c r="E77" s="330" t="s">
        <v>191</v>
      </c>
      <c r="F77" s="318">
        <v>0</v>
      </c>
      <c r="G77" s="319">
        <v>0</v>
      </c>
      <c r="H77" s="321">
        <v>0</v>
      </c>
      <c r="I77" s="318">
        <v>0</v>
      </c>
      <c r="J77" s="319">
        <v>0</v>
      </c>
      <c r="K77" s="329" t="s">
        <v>191</v>
      </c>
    </row>
    <row r="78" spans="1:11" ht="14.4" customHeight="1" thickBot="1" x14ac:dyDescent="0.35">
      <c r="A78" s="336" t="s">
        <v>261</v>
      </c>
      <c r="B78" s="318">
        <v>7662.58809836001</v>
      </c>
      <c r="C78" s="318">
        <v>8475.40906</v>
      </c>
      <c r="D78" s="319">
        <v>812.82096163998904</v>
      </c>
      <c r="E78" s="320">
        <v>1.106076556798</v>
      </c>
      <c r="F78" s="318">
        <v>8846.4635074222206</v>
      </c>
      <c r="G78" s="319">
        <v>2948.82116914074</v>
      </c>
      <c r="H78" s="321">
        <v>737.37625000000003</v>
      </c>
      <c r="I78" s="318">
        <v>3357.4632799999999</v>
      </c>
      <c r="J78" s="319">
        <v>408.64211085926098</v>
      </c>
      <c r="K78" s="322">
        <v>0.37952604192400002</v>
      </c>
    </row>
    <row r="79" spans="1:11" ht="14.4" customHeight="1" thickBot="1" x14ac:dyDescent="0.35">
      <c r="A79" s="337" t="s">
        <v>262</v>
      </c>
      <c r="B79" s="318">
        <v>7619.58809836001</v>
      </c>
      <c r="C79" s="318">
        <v>8425.4138999999996</v>
      </c>
      <c r="D79" s="319">
        <v>805.82580163998898</v>
      </c>
      <c r="E79" s="320">
        <v>1.1057571342750001</v>
      </c>
      <c r="F79" s="318">
        <v>8806.0725152696305</v>
      </c>
      <c r="G79" s="319">
        <v>2935.3575050898799</v>
      </c>
      <c r="H79" s="321">
        <v>733.01271999999994</v>
      </c>
      <c r="I79" s="318">
        <v>3343.7776199999998</v>
      </c>
      <c r="J79" s="319">
        <v>408.42011491012198</v>
      </c>
      <c r="K79" s="322">
        <v>0.37971270554499997</v>
      </c>
    </row>
    <row r="80" spans="1:11" ht="14.4" customHeight="1" thickBot="1" x14ac:dyDescent="0.35">
      <c r="A80" s="338" t="s">
        <v>263</v>
      </c>
      <c r="B80" s="318">
        <v>7619.58809836001</v>
      </c>
      <c r="C80" s="318">
        <v>8425.4138999999996</v>
      </c>
      <c r="D80" s="319">
        <v>805.82580163998898</v>
      </c>
      <c r="E80" s="320">
        <v>1.1057571342750001</v>
      </c>
      <c r="F80" s="318">
        <v>8806.0725152696305</v>
      </c>
      <c r="G80" s="319">
        <v>2935.3575050898799</v>
      </c>
      <c r="H80" s="321">
        <v>733.01271999999994</v>
      </c>
      <c r="I80" s="318">
        <v>3343.7776199999998</v>
      </c>
      <c r="J80" s="319">
        <v>408.42011491012198</v>
      </c>
      <c r="K80" s="322">
        <v>0.37971270554499997</v>
      </c>
    </row>
    <row r="81" spans="1:11" ht="14.4" customHeight="1" thickBot="1" x14ac:dyDescent="0.35">
      <c r="A81" s="339" t="s">
        <v>264</v>
      </c>
      <c r="B81" s="323">
        <v>21.588098358027001</v>
      </c>
      <c r="C81" s="323">
        <v>30.132470000000001</v>
      </c>
      <c r="D81" s="324">
        <v>8.5443716419720008</v>
      </c>
      <c r="E81" s="325">
        <v>1.3957908427250001</v>
      </c>
      <c r="F81" s="323">
        <v>25.256597930760002</v>
      </c>
      <c r="G81" s="324">
        <v>8.4188659769199994</v>
      </c>
      <c r="H81" s="326">
        <v>3.8976000000000002</v>
      </c>
      <c r="I81" s="323">
        <v>24.041920000000001</v>
      </c>
      <c r="J81" s="324">
        <v>15.623054023079</v>
      </c>
      <c r="K81" s="327">
        <v>0.95190651036600005</v>
      </c>
    </row>
    <row r="82" spans="1:11" ht="14.4" customHeight="1" thickBot="1" x14ac:dyDescent="0.35">
      <c r="A82" s="340" t="s">
        <v>265</v>
      </c>
      <c r="B82" s="318">
        <v>0</v>
      </c>
      <c r="C82" s="318">
        <v>2.3239999999999998</v>
      </c>
      <c r="D82" s="319">
        <v>2.3239999999999998</v>
      </c>
      <c r="E82" s="330" t="s">
        <v>217</v>
      </c>
      <c r="F82" s="318">
        <v>2.3863759235059998</v>
      </c>
      <c r="G82" s="319">
        <v>0.79545864116800002</v>
      </c>
      <c r="H82" s="321">
        <v>0</v>
      </c>
      <c r="I82" s="318">
        <v>0</v>
      </c>
      <c r="J82" s="319">
        <v>-0.79545864116800002</v>
      </c>
      <c r="K82" s="322">
        <v>0</v>
      </c>
    </row>
    <row r="83" spans="1:11" ht="14.4" customHeight="1" thickBot="1" x14ac:dyDescent="0.35">
      <c r="A83" s="340" t="s">
        <v>266</v>
      </c>
      <c r="B83" s="318">
        <v>21.41005050927</v>
      </c>
      <c r="C83" s="318">
        <v>27.80847</v>
      </c>
      <c r="D83" s="319">
        <v>6.3984194907290002</v>
      </c>
      <c r="E83" s="320">
        <v>1.298851209527</v>
      </c>
      <c r="F83" s="318">
        <v>22.870222007252998</v>
      </c>
      <c r="G83" s="319">
        <v>7.6234073357509997</v>
      </c>
      <c r="H83" s="321">
        <v>3.8976000000000002</v>
      </c>
      <c r="I83" s="318">
        <v>24.041920000000001</v>
      </c>
      <c r="J83" s="319">
        <v>16.418512664247999</v>
      </c>
      <c r="K83" s="322">
        <v>1.0512324713050001</v>
      </c>
    </row>
    <row r="84" spans="1:11" ht="14.4" customHeight="1" thickBot="1" x14ac:dyDescent="0.35">
      <c r="A84" s="340" t="s">
        <v>267</v>
      </c>
      <c r="B84" s="318">
        <v>0.178047848757</v>
      </c>
      <c r="C84" s="318">
        <v>0</v>
      </c>
      <c r="D84" s="319">
        <v>-0.178047848757</v>
      </c>
      <c r="E84" s="320">
        <v>0</v>
      </c>
      <c r="F84" s="318">
        <v>0</v>
      </c>
      <c r="G84" s="319">
        <v>0</v>
      </c>
      <c r="H84" s="321">
        <v>0</v>
      </c>
      <c r="I84" s="318">
        <v>0</v>
      </c>
      <c r="J84" s="319">
        <v>0</v>
      </c>
      <c r="K84" s="322">
        <v>4</v>
      </c>
    </row>
    <row r="85" spans="1:11" ht="14.4" customHeight="1" thickBot="1" x14ac:dyDescent="0.35">
      <c r="A85" s="339" t="s">
        <v>268</v>
      </c>
      <c r="B85" s="323">
        <v>10.000000000002</v>
      </c>
      <c r="C85" s="323">
        <v>15.4513</v>
      </c>
      <c r="D85" s="324">
        <v>5.4512999999970004</v>
      </c>
      <c r="E85" s="325">
        <v>1.545129999999</v>
      </c>
      <c r="F85" s="323">
        <v>22.817816053093001</v>
      </c>
      <c r="G85" s="324">
        <v>7.6059386843640002</v>
      </c>
      <c r="H85" s="326">
        <v>0</v>
      </c>
      <c r="I85" s="323">
        <v>1.3839999999999999</v>
      </c>
      <c r="J85" s="324">
        <v>-6.2219386843639999</v>
      </c>
      <c r="K85" s="327">
        <v>6.0654358715000002E-2</v>
      </c>
    </row>
    <row r="86" spans="1:11" ht="14.4" customHeight="1" thickBot="1" x14ac:dyDescent="0.35">
      <c r="A86" s="340" t="s">
        <v>269</v>
      </c>
      <c r="B86" s="318">
        <v>10.000000000002</v>
      </c>
      <c r="C86" s="318">
        <v>15.4513</v>
      </c>
      <c r="D86" s="319">
        <v>5.4512999999970004</v>
      </c>
      <c r="E86" s="320">
        <v>1.545129999999</v>
      </c>
      <c r="F86" s="318">
        <v>13.000001303492001</v>
      </c>
      <c r="G86" s="319">
        <v>4.3333337678300001</v>
      </c>
      <c r="H86" s="321">
        <v>0</v>
      </c>
      <c r="I86" s="318">
        <v>1.3839999999999999</v>
      </c>
      <c r="J86" s="319">
        <v>-2.9493337678299998</v>
      </c>
      <c r="K86" s="322">
        <v>0.106461527786</v>
      </c>
    </row>
    <row r="87" spans="1:11" ht="14.4" customHeight="1" thickBot="1" x14ac:dyDescent="0.35">
      <c r="A87" s="340" t="s">
        <v>270</v>
      </c>
      <c r="B87" s="318">
        <v>0</v>
      </c>
      <c r="C87" s="318">
        <v>-4.4408920985006301E-15</v>
      </c>
      <c r="D87" s="319">
        <v>-4.4408920985006301E-15</v>
      </c>
      <c r="E87" s="330" t="s">
        <v>217</v>
      </c>
      <c r="F87" s="318">
        <v>9.8178147496010002</v>
      </c>
      <c r="G87" s="319">
        <v>3.272604916533</v>
      </c>
      <c r="H87" s="321">
        <v>0</v>
      </c>
      <c r="I87" s="318">
        <v>0</v>
      </c>
      <c r="J87" s="319">
        <v>-3.272604916533</v>
      </c>
      <c r="K87" s="322">
        <v>0</v>
      </c>
    </row>
    <row r="88" spans="1:11" ht="14.4" customHeight="1" thickBot="1" x14ac:dyDescent="0.35">
      <c r="A88" s="339" t="s">
        <v>271</v>
      </c>
      <c r="B88" s="323">
        <v>4.0000000000010001</v>
      </c>
      <c r="C88" s="323">
        <v>6.5310800000000002</v>
      </c>
      <c r="D88" s="324">
        <v>2.531079999998</v>
      </c>
      <c r="E88" s="325">
        <v>1.632769999999</v>
      </c>
      <c r="F88" s="323">
        <v>11.997224336101</v>
      </c>
      <c r="G88" s="324">
        <v>3.9990747786999998</v>
      </c>
      <c r="H88" s="326">
        <v>0</v>
      </c>
      <c r="I88" s="323">
        <v>1.7430000000000001</v>
      </c>
      <c r="J88" s="324">
        <v>-2.2560747786999999</v>
      </c>
      <c r="K88" s="327">
        <v>0.145283604871</v>
      </c>
    </row>
    <row r="89" spans="1:11" ht="14.4" customHeight="1" thickBot="1" x14ac:dyDescent="0.35">
      <c r="A89" s="340" t="s">
        <v>272</v>
      </c>
      <c r="B89" s="318">
        <v>0</v>
      </c>
      <c r="C89" s="318">
        <v>3.5980799999999999</v>
      </c>
      <c r="D89" s="319">
        <v>3.5980799999999999</v>
      </c>
      <c r="E89" s="330" t="s">
        <v>217</v>
      </c>
      <c r="F89" s="318">
        <v>1.9972233334139999</v>
      </c>
      <c r="G89" s="319">
        <v>0.66574111113800005</v>
      </c>
      <c r="H89" s="321">
        <v>0</v>
      </c>
      <c r="I89" s="318">
        <v>0</v>
      </c>
      <c r="J89" s="319">
        <v>-0.66574111113800005</v>
      </c>
      <c r="K89" s="322">
        <v>0</v>
      </c>
    </row>
    <row r="90" spans="1:11" ht="14.4" customHeight="1" thickBot="1" x14ac:dyDescent="0.35">
      <c r="A90" s="340" t="s">
        <v>273</v>
      </c>
      <c r="B90" s="318">
        <v>4.0000000000010001</v>
      </c>
      <c r="C90" s="318">
        <v>2.9329999999999998</v>
      </c>
      <c r="D90" s="319">
        <v>-1.067000000001</v>
      </c>
      <c r="E90" s="320">
        <v>0.73324999999899998</v>
      </c>
      <c r="F90" s="318">
        <v>10.000001002686</v>
      </c>
      <c r="G90" s="319">
        <v>3.333333667562</v>
      </c>
      <c r="H90" s="321">
        <v>0</v>
      </c>
      <c r="I90" s="318">
        <v>1.7430000000000001</v>
      </c>
      <c r="J90" s="319">
        <v>-1.5903336675619999</v>
      </c>
      <c r="K90" s="322">
        <v>0.174299982523</v>
      </c>
    </row>
    <row r="91" spans="1:11" ht="14.4" customHeight="1" thickBot="1" x14ac:dyDescent="0.35">
      <c r="A91" s="339" t="s">
        <v>274</v>
      </c>
      <c r="B91" s="323">
        <v>7584.00000000198</v>
      </c>
      <c r="C91" s="323">
        <v>7987.0118599999996</v>
      </c>
      <c r="D91" s="324">
        <v>403.01185999802101</v>
      </c>
      <c r="E91" s="325">
        <v>1.0531397494720001</v>
      </c>
      <c r="F91" s="323">
        <v>8746.0008769496799</v>
      </c>
      <c r="G91" s="324">
        <v>2915.3336256498901</v>
      </c>
      <c r="H91" s="326">
        <v>729.11512000000005</v>
      </c>
      <c r="I91" s="323">
        <v>3280.92911</v>
      </c>
      <c r="J91" s="324">
        <v>365.59548435010799</v>
      </c>
      <c r="K91" s="327">
        <v>0.37513477944399998</v>
      </c>
    </row>
    <row r="92" spans="1:11" ht="14.4" customHeight="1" thickBot="1" x14ac:dyDescent="0.35">
      <c r="A92" s="340" t="s">
        <v>275</v>
      </c>
      <c r="B92" s="318">
        <v>2646.0000000006899</v>
      </c>
      <c r="C92" s="318">
        <v>2700.4295900000002</v>
      </c>
      <c r="D92" s="319">
        <v>54.429589999309997</v>
      </c>
      <c r="E92" s="320">
        <v>1.0205705177619999</v>
      </c>
      <c r="F92" s="318">
        <v>3259.0003267755501</v>
      </c>
      <c r="G92" s="319">
        <v>1086.3334422585201</v>
      </c>
      <c r="H92" s="321">
        <v>251.62562</v>
      </c>
      <c r="I92" s="318">
        <v>1113.4505799999999</v>
      </c>
      <c r="J92" s="319">
        <v>27.117137741482001</v>
      </c>
      <c r="K92" s="322">
        <v>0.34165402526999999</v>
      </c>
    </row>
    <row r="93" spans="1:11" ht="14.4" customHeight="1" thickBot="1" x14ac:dyDescent="0.35">
      <c r="A93" s="340" t="s">
        <v>276</v>
      </c>
      <c r="B93" s="318">
        <v>4938.0000000012897</v>
      </c>
      <c r="C93" s="318">
        <v>5286.5822699999999</v>
      </c>
      <c r="D93" s="319">
        <v>348.58226999871101</v>
      </c>
      <c r="E93" s="320">
        <v>1.0705917922229999</v>
      </c>
      <c r="F93" s="318">
        <v>5487.0005501741198</v>
      </c>
      <c r="G93" s="319">
        <v>1829.00018339137</v>
      </c>
      <c r="H93" s="321">
        <v>477.48950000000002</v>
      </c>
      <c r="I93" s="318">
        <v>2167.4785299999999</v>
      </c>
      <c r="J93" s="319">
        <v>338.478346608626</v>
      </c>
      <c r="K93" s="322">
        <v>0.39502065111500001</v>
      </c>
    </row>
    <row r="94" spans="1:11" ht="14.4" customHeight="1" thickBot="1" x14ac:dyDescent="0.35">
      <c r="A94" s="339" t="s">
        <v>277</v>
      </c>
      <c r="B94" s="323">
        <v>0</v>
      </c>
      <c r="C94" s="323">
        <v>386.28719000000001</v>
      </c>
      <c r="D94" s="324">
        <v>386.28719000000001</v>
      </c>
      <c r="E94" s="331" t="s">
        <v>191</v>
      </c>
      <c r="F94" s="323">
        <v>0</v>
      </c>
      <c r="G94" s="324">
        <v>0</v>
      </c>
      <c r="H94" s="326">
        <v>0</v>
      </c>
      <c r="I94" s="323">
        <v>35.679589999999997</v>
      </c>
      <c r="J94" s="324">
        <v>35.679589999999997</v>
      </c>
      <c r="K94" s="328" t="s">
        <v>191</v>
      </c>
    </row>
    <row r="95" spans="1:11" ht="14.4" customHeight="1" thickBot="1" x14ac:dyDescent="0.35">
      <c r="A95" s="340" t="s">
        <v>278</v>
      </c>
      <c r="B95" s="318">
        <v>0</v>
      </c>
      <c r="C95" s="318">
        <v>65.845410000000001</v>
      </c>
      <c r="D95" s="319">
        <v>65.845410000000001</v>
      </c>
      <c r="E95" s="330" t="s">
        <v>191</v>
      </c>
      <c r="F95" s="318">
        <v>0</v>
      </c>
      <c r="G95" s="319">
        <v>0</v>
      </c>
      <c r="H95" s="321">
        <v>0</v>
      </c>
      <c r="I95" s="318">
        <v>0</v>
      </c>
      <c r="J95" s="319">
        <v>0</v>
      </c>
      <c r="K95" s="329" t="s">
        <v>191</v>
      </c>
    </row>
    <row r="96" spans="1:11" ht="14.4" customHeight="1" thickBot="1" x14ac:dyDescent="0.35">
      <c r="A96" s="340" t="s">
        <v>279</v>
      </c>
      <c r="B96" s="318">
        <v>0</v>
      </c>
      <c r="C96" s="318">
        <v>320.44177999999999</v>
      </c>
      <c r="D96" s="319">
        <v>320.44177999999999</v>
      </c>
      <c r="E96" s="330" t="s">
        <v>191</v>
      </c>
      <c r="F96" s="318">
        <v>0</v>
      </c>
      <c r="G96" s="319">
        <v>0</v>
      </c>
      <c r="H96" s="321">
        <v>0</v>
      </c>
      <c r="I96" s="318">
        <v>35.679589999999997</v>
      </c>
      <c r="J96" s="319">
        <v>35.679589999999997</v>
      </c>
      <c r="K96" s="329" t="s">
        <v>191</v>
      </c>
    </row>
    <row r="97" spans="1:11" ht="14.4" customHeight="1" thickBot="1" x14ac:dyDescent="0.35">
      <c r="A97" s="337" t="s">
        <v>280</v>
      </c>
      <c r="B97" s="318">
        <v>43</v>
      </c>
      <c r="C97" s="318">
        <v>49.995159999999998</v>
      </c>
      <c r="D97" s="319">
        <v>6.9951600000000003</v>
      </c>
      <c r="E97" s="320">
        <v>1.162678139534</v>
      </c>
      <c r="F97" s="318">
        <v>40.390992152583003</v>
      </c>
      <c r="G97" s="319">
        <v>13.463664050861</v>
      </c>
      <c r="H97" s="321">
        <v>4.3635299999999999</v>
      </c>
      <c r="I97" s="318">
        <v>13.68566</v>
      </c>
      <c r="J97" s="319">
        <v>0.221995949138</v>
      </c>
      <c r="K97" s="322">
        <v>0.33882950803200002</v>
      </c>
    </row>
    <row r="98" spans="1:11" ht="14.4" customHeight="1" thickBot="1" x14ac:dyDescent="0.35">
      <c r="A98" s="343" t="s">
        <v>281</v>
      </c>
      <c r="B98" s="323">
        <v>43</v>
      </c>
      <c r="C98" s="323">
        <v>49.995159999999998</v>
      </c>
      <c r="D98" s="324">
        <v>6.9951600000000003</v>
      </c>
      <c r="E98" s="325">
        <v>1.162678139534</v>
      </c>
      <c r="F98" s="323">
        <v>40.390992152583003</v>
      </c>
      <c r="G98" s="324">
        <v>13.463664050861</v>
      </c>
      <c r="H98" s="326">
        <v>4.3635299999999999</v>
      </c>
      <c r="I98" s="323">
        <v>13.68566</v>
      </c>
      <c r="J98" s="324">
        <v>0.221995949138</v>
      </c>
      <c r="K98" s="327">
        <v>0.33882950803200002</v>
      </c>
    </row>
    <row r="99" spans="1:11" ht="14.4" customHeight="1" thickBot="1" x14ac:dyDescent="0.35">
      <c r="A99" s="339" t="s">
        <v>282</v>
      </c>
      <c r="B99" s="323">
        <v>0</v>
      </c>
      <c r="C99" s="323">
        <v>-8.0000000000000007E-5</v>
      </c>
      <c r="D99" s="324">
        <v>-8.0000000000000007E-5</v>
      </c>
      <c r="E99" s="331" t="s">
        <v>191</v>
      </c>
      <c r="F99" s="323">
        <v>0</v>
      </c>
      <c r="G99" s="324">
        <v>0</v>
      </c>
      <c r="H99" s="326">
        <v>2.0000000000000002E-5</v>
      </c>
      <c r="I99" s="323">
        <v>6.0000000000000002E-5</v>
      </c>
      <c r="J99" s="324">
        <v>6.0000000000000002E-5</v>
      </c>
      <c r="K99" s="328" t="s">
        <v>191</v>
      </c>
    </row>
    <row r="100" spans="1:11" ht="14.4" customHeight="1" thickBot="1" x14ac:dyDescent="0.35">
      <c r="A100" s="340" t="s">
        <v>283</v>
      </c>
      <c r="B100" s="318">
        <v>0</v>
      </c>
      <c r="C100" s="318">
        <v>-8.0000000000000007E-5</v>
      </c>
      <c r="D100" s="319">
        <v>-8.0000000000000007E-5</v>
      </c>
      <c r="E100" s="330" t="s">
        <v>191</v>
      </c>
      <c r="F100" s="318">
        <v>0</v>
      </c>
      <c r="G100" s="319">
        <v>0</v>
      </c>
      <c r="H100" s="321">
        <v>2.0000000000000002E-5</v>
      </c>
      <c r="I100" s="318">
        <v>6.0000000000000002E-5</v>
      </c>
      <c r="J100" s="319">
        <v>6.0000000000000002E-5</v>
      </c>
      <c r="K100" s="329" t="s">
        <v>191</v>
      </c>
    </row>
    <row r="101" spans="1:11" ht="14.4" customHeight="1" thickBot="1" x14ac:dyDescent="0.35">
      <c r="A101" s="339" t="s">
        <v>284</v>
      </c>
      <c r="B101" s="323">
        <v>43</v>
      </c>
      <c r="C101" s="323">
        <v>49.995240000000003</v>
      </c>
      <c r="D101" s="324">
        <v>6.9952399999999999</v>
      </c>
      <c r="E101" s="325">
        <v>1.1626799999999999</v>
      </c>
      <c r="F101" s="323">
        <v>40.390992152583003</v>
      </c>
      <c r="G101" s="324">
        <v>13.463664050861</v>
      </c>
      <c r="H101" s="326">
        <v>4.3635099999999998</v>
      </c>
      <c r="I101" s="323">
        <v>13.685600000000001</v>
      </c>
      <c r="J101" s="324">
        <v>0.22193594913799999</v>
      </c>
      <c r="K101" s="327">
        <v>0.33882802255200001</v>
      </c>
    </row>
    <row r="102" spans="1:11" ht="14.4" customHeight="1" thickBot="1" x14ac:dyDescent="0.35">
      <c r="A102" s="340" t="s">
        <v>285</v>
      </c>
      <c r="B102" s="318">
        <v>0</v>
      </c>
      <c r="C102" s="318">
        <v>2.9090000000000001E-2</v>
      </c>
      <c r="D102" s="319">
        <v>2.9090000000000001E-2</v>
      </c>
      <c r="E102" s="330" t="s">
        <v>217</v>
      </c>
      <c r="F102" s="318">
        <v>2.4745445117000001E-2</v>
      </c>
      <c r="G102" s="319">
        <v>8.2484817049999996E-3</v>
      </c>
      <c r="H102" s="321">
        <v>0</v>
      </c>
      <c r="I102" s="318">
        <v>0</v>
      </c>
      <c r="J102" s="319">
        <v>-8.2484817049999996E-3</v>
      </c>
      <c r="K102" s="322">
        <v>0</v>
      </c>
    </row>
    <row r="103" spans="1:11" ht="14.4" customHeight="1" thickBot="1" x14ac:dyDescent="0.35">
      <c r="A103" s="340" t="s">
        <v>286</v>
      </c>
      <c r="B103" s="318">
        <v>43</v>
      </c>
      <c r="C103" s="318">
        <v>49.966149999999999</v>
      </c>
      <c r="D103" s="319">
        <v>6.9661499999999998</v>
      </c>
      <c r="E103" s="320">
        <v>1.1620034883720001</v>
      </c>
      <c r="F103" s="318">
        <v>40.366246707465997</v>
      </c>
      <c r="G103" s="319">
        <v>13.455415569155001</v>
      </c>
      <c r="H103" s="321">
        <v>4.3635099999999998</v>
      </c>
      <c r="I103" s="318">
        <v>13.685600000000001</v>
      </c>
      <c r="J103" s="319">
        <v>0.230184430844</v>
      </c>
      <c r="K103" s="322">
        <v>0.33903573198600001</v>
      </c>
    </row>
    <row r="104" spans="1:11" ht="14.4" customHeight="1" thickBot="1" x14ac:dyDescent="0.35">
      <c r="A104" s="336" t="s">
        <v>287</v>
      </c>
      <c r="B104" s="318">
        <v>1007.7928227074</v>
      </c>
      <c r="C104" s="318">
        <v>988.11292000000105</v>
      </c>
      <c r="D104" s="319">
        <v>-19.679902707397002</v>
      </c>
      <c r="E104" s="320">
        <v>0.98047227340300003</v>
      </c>
      <c r="F104" s="318">
        <v>0</v>
      </c>
      <c r="G104" s="319">
        <v>0</v>
      </c>
      <c r="H104" s="321">
        <v>77.546899999999994</v>
      </c>
      <c r="I104" s="318">
        <v>309.12401999999997</v>
      </c>
      <c r="J104" s="319">
        <v>309.12401999999997</v>
      </c>
      <c r="K104" s="329" t="s">
        <v>217</v>
      </c>
    </row>
    <row r="105" spans="1:11" ht="14.4" customHeight="1" thickBot="1" x14ac:dyDescent="0.35">
      <c r="A105" s="341" t="s">
        <v>288</v>
      </c>
      <c r="B105" s="323">
        <v>1007.7928227074</v>
      </c>
      <c r="C105" s="323">
        <v>988.11292000000105</v>
      </c>
      <c r="D105" s="324">
        <v>-19.679902707397002</v>
      </c>
      <c r="E105" s="325">
        <v>0.98047227340300003</v>
      </c>
      <c r="F105" s="323">
        <v>0</v>
      </c>
      <c r="G105" s="324">
        <v>0</v>
      </c>
      <c r="H105" s="326">
        <v>77.546899999999994</v>
      </c>
      <c r="I105" s="323">
        <v>309.12401999999997</v>
      </c>
      <c r="J105" s="324">
        <v>309.12401999999997</v>
      </c>
      <c r="K105" s="328" t="s">
        <v>217</v>
      </c>
    </row>
    <row r="106" spans="1:11" ht="14.4" customHeight="1" thickBot="1" x14ac:dyDescent="0.35">
      <c r="A106" s="343" t="s">
        <v>31</v>
      </c>
      <c r="B106" s="323">
        <v>1007.7928227074</v>
      </c>
      <c r="C106" s="323">
        <v>988.11292000000105</v>
      </c>
      <c r="D106" s="324">
        <v>-19.679902707397002</v>
      </c>
      <c r="E106" s="325">
        <v>0.98047227340300003</v>
      </c>
      <c r="F106" s="323">
        <v>0</v>
      </c>
      <c r="G106" s="324">
        <v>0</v>
      </c>
      <c r="H106" s="326">
        <v>77.546899999999994</v>
      </c>
      <c r="I106" s="323">
        <v>309.12401999999997</v>
      </c>
      <c r="J106" s="324">
        <v>309.12401999999997</v>
      </c>
      <c r="K106" s="328" t="s">
        <v>217</v>
      </c>
    </row>
    <row r="107" spans="1:11" ht="14.4" customHeight="1" thickBot="1" x14ac:dyDescent="0.35">
      <c r="A107" s="339" t="s">
        <v>289</v>
      </c>
      <c r="B107" s="323">
        <v>5.6063242827430004</v>
      </c>
      <c r="C107" s="323">
        <v>6.7910000000000004</v>
      </c>
      <c r="D107" s="324">
        <v>1.1846757172560001</v>
      </c>
      <c r="E107" s="325">
        <v>1.2113105945189999</v>
      </c>
      <c r="F107" s="323">
        <v>0</v>
      </c>
      <c r="G107" s="324">
        <v>0</v>
      </c>
      <c r="H107" s="326">
        <v>0.49399999999999999</v>
      </c>
      <c r="I107" s="323">
        <v>1.976</v>
      </c>
      <c r="J107" s="324">
        <v>1.976</v>
      </c>
      <c r="K107" s="328" t="s">
        <v>217</v>
      </c>
    </row>
    <row r="108" spans="1:11" ht="14.4" customHeight="1" thickBot="1" x14ac:dyDescent="0.35">
      <c r="A108" s="340" t="s">
        <v>290</v>
      </c>
      <c r="B108" s="318">
        <v>5.6063242827430004</v>
      </c>
      <c r="C108" s="318">
        <v>6.7910000000000004</v>
      </c>
      <c r="D108" s="319">
        <v>1.1846757172560001</v>
      </c>
      <c r="E108" s="320">
        <v>1.2113105945189999</v>
      </c>
      <c r="F108" s="318">
        <v>0</v>
      </c>
      <c r="G108" s="319">
        <v>0</v>
      </c>
      <c r="H108" s="321">
        <v>0.49399999999999999</v>
      </c>
      <c r="I108" s="318">
        <v>1.976</v>
      </c>
      <c r="J108" s="319">
        <v>1.976</v>
      </c>
      <c r="K108" s="329" t="s">
        <v>217</v>
      </c>
    </row>
    <row r="109" spans="1:11" ht="14.4" customHeight="1" thickBot="1" x14ac:dyDescent="0.35">
      <c r="A109" s="339" t="s">
        <v>291</v>
      </c>
      <c r="B109" s="323">
        <v>2.6522028483960001</v>
      </c>
      <c r="C109" s="323">
        <v>1.3965000000000001</v>
      </c>
      <c r="D109" s="324">
        <v>-1.255702848396</v>
      </c>
      <c r="E109" s="325">
        <v>0.52654343571200002</v>
      </c>
      <c r="F109" s="323">
        <v>0</v>
      </c>
      <c r="G109" s="324">
        <v>0</v>
      </c>
      <c r="H109" s="326">
        <v>0</v>
      </c>
      <c r="I109" s="323">
        <v>0</v>
      </c>
      <c r="J109" s="324">
        <v>0</v>
      </c>
      <c r="K109" s="327">
        <v>0</v>
      </c>
    </row>
    <row r="110" spans="1:11" ht="14.4" customHeight="1" thickBot="1" x14ac:dyDescent="0.35">
      <c r="A110" s="340" t="s">
        <v>292</v>
      </c>
      <c r="B110" s="318">
        <v>2.6522028483960001</v>
      </c>
      <c r="C110" s="318">
        <v>1.3965000000000001</v>
      </c>
      <c r="D110" s="319">
        <v>-1.255702848396</v>
      </c>
      <c r="E110" s="320">
        <v>0.52654343571200002</v>
      </c>
      <c r="F110" s="318">
        <v>0</v>
      </c>
      <c r="G110" s="319">
        <v>0</v>
      </c>
      <c r="H110" s="321">
        <v>0</v>
      </c>
      <c r="I110" s="318">
        <v>0</v>
      </c>
      <c r="J110" s="319">
        <v>0</v>
      </c>
      <c r="K110" s="322">
        <v>0</v>
      </c>
    </row>
    <row r="111" spans="1:11" ht="14.4" customHeight="1" thickBot="1" x14ac:dyDescent="0.35">
      <c r="A111" s="339" t="s">
        <v>293</v>
      </c>
      <c r="B111" s="323">
        <v>0</v>
      </c>
      <c r="C111" s="323">
        <v>0.53200000000000003</v>
      </c>
      <c r="D111" s="324">
        <v>0.53200000000000003</v>
      </c>
      <c r="E111" s="331" t="s">
        <v>191</v>
      </c>
      <c r="F111" s="323">
        <v>0</v>
      </c>
      <c r="G111" s="324">
        <v>0</v>
      </c>
      <c r="H111" s="326">
        <v>0</v>
      </c>
      <c r="I111" s="323">
        <v>0.16800000000000001</v>
      </c>
      <c r="J111" s="324">
        <v>0.16800000000000001</v>
      </c>
      <c r="K111" s="328" t="s">
        <v>217</v>
      </c>
    </row>
    <row r="112" spans="1:11" ht="14.4" customHeight="1" thickBot="1" x14ac:dyDescent="0.35">
      <c r="A112" s="340" t="s">
        <v>294</v>
      </c>
      <c r="B112" s="318">
        <v>0</v>
      </c>
      <c r="C112" s="318">
        <v>0.53200000000000003</v>
      </c>
      <c r="D112" s="319">
        <v>0.53200000000000003</v>
      </c>
      <c r="E112" s="330" t="s">
        <v>191</v>
      </c>
      <c r="F112" s="318">
        <v>0</v>
      </c>
      <c r="G112" s="319">
        <v>0</v>
      </c>
      <c r="H112" s="321">
        <v>0</v>
      </c>
      <c r="I112" s="318">
        <v>0.16800000000000001</v>
      </c>
      <c r="J112" s="319">
        <v>0.16800000000000001</v>
      </c>
      <c r="K112" s="329" t="s">
        <v>217</v>
      </c>
    </row>
    <row r="113" spans="1:11" ht="14.4" customHeight="1" thickBot="1" x14ac:dyDescent="0.35">
      <c r="A113" s="339" t="s">
        <v>295</v>
      </c>
      <c r="B113" s="323">
        <v>250</v>
      </c>
      <c r="C113" s="323">
        <v>228.59584000000001</v>
      </c>
      <c r="D113" s="324">
        <v>-21.404159999998999</v>
      </c>
      <c r="E113" s="325">
        <v>0.91438335999999998</v>
      </c>
      <c r="F113" s="323">
        <v>0</v>
      </c>
      <c r="G113" s="324">
        <v>0</v>
      </c>
      <c r="H113" s="326">
        <v>12.544420000000001</v>
      </c>
      <c r="I113" s="323">
        <v>58.356879999999997</v>
      </c>
      <c r="J113" s="324">
        <v>58.356879999999997</v>
      </c>
      <c r="K113" s="328" t="s">
        <v>217</v>
      </c>
    </row>
    <row r="114" spans="1:11" ht="14.4" customHeight="1" thickBot="1" x14ac:dyDescent="0.35">
      <c r="A114" s="340" t="s">
        <v>296</v>
      </c>
      <c r="B114" s="318">
        <v>250</v>
      </c>
      <c r="C114" s="318">
        <v>228.59584000000001</v>
      </c>
      <c r="D114" s="319">
        <v>-21.404159999998999</v>
      </c>
      <c r="E114" s="320">
        <v>0.91438335999999998</v>
      </c>
      <c r="F114" s="318">
        <v>0</v>
      </c>
      <c r="G114" s="319">
        <v>0</v>
      </c>
      <c r="H114" s="321">
        <v>12.544420000000001</v>
      </c>
      <c r="I114" s="318">
        <v>58.356879999999997</v>
      </c>
      <c r="J114" s="319">
        <v>58.356879999999997</v>
      </c>
      <c r="K114" s="329" t="s">
        <v>217</v>
      </c>
    </row>
    <row r="115" spans="1:11" ht="14.4" customHeight="1" thickBot="1" x14ac:dyDescent="0.35">
      <c r="A115" s="339" t="s">
        <v>297</v>
      </c>
      <c r="B115" s="323">
        <v>749.53429557625896</v>
      </c>
      <c r="C115" s="323">
        <v>750.79758000000095</v>
      </c>
      <c r="D115" s="324">
        <v>1.2632844237409999</v>
      </c>
      <c r="E115" s="325">
        <v>1.0016854257779999</v>
      </c>
      <c r="F115" s="323">
        <v>0</v>
      </c>
      <c r="G115" s="324">
        <v>0</v>
      </c>
      <c r="H115" s="326">
        <v>64.508480000000006</v>
      </c>
      <c r="I115" s="323">
        <v>248.62314000000001</v>
      </c>
      <c r="J115" s="324">
        <v>248.62314000000001</v>
      </c>
      <c r="K115" s="328" t="s">
        <v>217</v>
      </c>
    </row>
    <row r="116" spans="1:11" ht="14.4" customHeight="1" thickBot="1" x14ac:dyDescent="0.35">
      <c r="A116" s="340" t="s">
        <v>298</v>
      </c>
      <c r="B116" s="318">
        <v>749.53429557625896</v>
      </c>
      <c r="C116" s="318">
        <v>750.79758000000095</v>
      </c>
      <c r="D116" s="319">
        <v>1.2632844237409999</v>
      </c>
      <c r="E116" s="320">
        <v>1.0016854257779999</v>
      </c>
      <c r="F116" s="318">
        <v>0</v>
      </c>
      <c r="G116" s="319">
        <v>0</v>
      </c>
      <c r="H116" s="321">
        <v>64.508480000000006</v>
      </c>
      <c r="I116" s="318">
        <v>248.62314000000001</v>
      </c>
      <c r="J116" s="319">
        <v>248.62314000000001</v>
      </c>
      <c r="K116" s="329" t="s">
        <v>217</v>
      </c>
    </row>
    <row r="117" spans="1:11" ht="14.4" customHeight="1" thickBot="1" x14ac:dyDescent="0.35">
      <c r="A117" s="344"/>
      <c r="B117" s="318">
        <v>-755.77248448578405</v>
      </c>
      <c r="C117" s="318">
        <v>-89.941110000002993</v>
      </c>
      <c r="D117" s="319">
        <v>665.831374485781</v>
      </c>
      <c r="E117" s="320">
        <v>0.119005536515</v>
      </c>
      <c r="F117" s="318">
        <v>1271.9063034256001</v>
      </c>
      <c r="G117" s="319">
        <v>423.96876780853398</v>
      </c>
      <c r="H117" s="321">
        <v>54.435199999999</v>
      </c>
      <c r="I117" s="318">
        <v>537.85654</v>
      </c>
      <c r="J117" s="319">
        <v>113.887772191466</v>
      </c>
      <c r="K117" s="322">
        <v>0.42287434109799998</v>
      </c>
    </row>
    <row r="118" spans="1:11" ht="14.4" customHeight="1" thickBot="1" x14ac:dyDescent="0.35">
      <c r="A118" s="345" t="s">
        <v>43</v>
      </c>
      <c r="B118" s="332">
        <v>-755.77248448578405</v>
      </c>
      <c r="C118" s="332">
        <v>-89.941110000002993</v>
      </c>
      <c r="D118" s="333">
        <v>665.83137448577997</v>
      </c>
      <c r="E118" s="334">
        <v>-0.89688650209599996</v>
      </c>
      <c r="F118" s="332">
        <v>1271.9063034256001</v>
      </c>
      <c r="G118" s="333">
        <v>423.96876780853501</v>
      </c>
      <c r="H118" s="332">
        <v>54.435199999999</v>
      </c>
      <c r="I118" s="332">
        <v>537.85654</v>
      </c>
      <c r="J118" s="333">
        <v>113.887772191465</v>
      </c>
      <c r="K118" s="335">
        <v>0.42287434109799998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7" customWidth="1"/>
    <col min="2" max="2" width="61.109375" style="177" customWidth="1"/>
    <col min="3" max="3" width="9.5546875" style="102" customWidth="1"/>
    <col min="4" max="4" width="9.5546875" style="178" customWidth="1"/>
    <col min="5" max="5" width="2.21875" style="178" customWidth="1"/>
    <col min="6" max="6" width="9.5546875" style="179" customWidth="1"/>
    <col min="7" max="7" width="9.5546875" style="176" customWidth="1"/>
    <col min="8" max="9" width="9.5546875" style="102" customWidth="1"/>
    <col min="10" max="10" width="0" style="102" hidden="1" customWidth="1"/>
    <col min="11" max="16384" width="8.88671875" style="102"/>
  </cols>
  <sheetData>
    <row r="1" spans="1:10" ht="18.600000000000001" customHeight="1" thickBot="1" x14ac:dyDescent="0.4">
      <c r="A1" s="291" t="s">
        <v>104</v>
      </c>
      <c r="B1" s="292"/>
      <c r="C1" s="292"/>
      <c r="D1" s="292"/>
      <c r="E1" s="292"/>
      <c r="F1" s="292"/>
      <c r="G1" s="263"/>
      <c r="H1" s="293"/>
      <c r="I1" s="293"/>
    </row>
    <row r="2" spans="1:10" ht="14.4" customHeight="1" thickBot="1" x14ac:dyDescent="0.35">
      <c r="A2" s="194" t="s">
        <v>190</v>
      </c>
      <c r="B2" s="175"/>
      <c r="C2" s="175"/>
      <c r="D2" s="175"/>
      <c r="E2" s="175"/>
      <c r="F2" s="175"/>
    </row>
    <row r="3" spans="1:10" ht="14.4" customHeight="1" thickBot="1" x14ac:dyDescent="0.35">
      <c r="A3" s="194"/>
      <c r="B3" s="175"/>
      <c r="C3" s="240">
        <v>2014</v>
      </c>
      <c r="D3" s="241">
        <v>2015</v>
      </c>
      <c r="E3" s="7"/>
      <c r="F3" s="286">
        <v>2016</v>
      </c>
      <c r="G3" s="287"/>
      <c r="H3" s="287"/>
      <c r="I3" s="288"/>
    </row>
    <row r="4" spans="1:10" ht="14.4" customHeight="1" thickBot="1" x14ac:dyDescent="0.35">
      <c r="A4" s="245" t="s">
        <v>0</v>
      </c>
      <c r="B4" s="246" t="s">
        <v>157</v>
      </c>
      <c r="C4" s="289" t="s">
        <v>50</v>
      </c>
      <c r="D4" s="290"/>
      <c r="E4" s="247"/>
      <c r="F4" s="242" t="s">
        <v>50</v>
      </c>
      <c r="G4" s="243" t="s">
        <v>51</v>
      </c>
      <c r="H4" s="243" t="s">
        <v>45</v>
      </c>
      <c r="I4" s="244" t="s">
        <v>52</v>
      </c>
    </row>
    <row r="5" spans="1:10" ht="14.4" customHeight="1" x14ac:dyDescent="0.3">
      <c r="A5" s="346" t="s">
        <v>299</v>
      </c>
      <c r="B5" s="347" t="s">
        <v>300</v>
      </c>
      <c r="C5" s="348" t="s">
        <v>301</v>
      </c>
      <c r="D5" s="348" t="s">
        <v>301</v>
      </c>
      <c r="E5" s="348"/>
      <c r="F5" s="348" t="s">
        <v>301</v>
      </c>
      <c r="G5" s="348" t="s">
        <v>301</v>
      </c>
      <c r="H5" s="348" t="s">
        <v>301</v>
      </c>
      <c r="I5" s="349" t="s">
        <v>301</v>
      </c>
      <c r="J5" s="350" t="s">
        <v>46</v>
      </c>
    </row>
    <row r="6" spans="1:10" ht="14.4" customHeight="1" x14ac:dyDescent="0.3">
      <c r="A6" s="346" t="s">
        <v>299</v>
      </c>
      <c r="B6" s="347" t="s">
        <v>197</v>
      </c>
      <c r="C6" s="348">
        <v>0</v>
      </c>
      <c r="D6" s="348">
        <v>0</v>
      </c>
      <c r="E6" s="348"/>
      <c r="F6" s="348">
        <v>0</v>
      </c>
      <c r="G6" s="348">
        <v>0.33333342521833331</v>
      </c>
      <c r="H6" s="348">
        <v>-0.33333342521833331</v>
      </c>
      <c r="I6" s="349">
        <v>0</v>
      </c>
      <c r="J6" s="350" t="s">
        <v>1</v>
      </c>
    </row>
    <row r="7" spans="1:10" ht="14.4" customHeight="1" x14ac:dyDescent="0.3">
      <c r="A7" s="346" t="s">
        <v>299</v>
      </c>
      <c r="B7" s="347" t="s">
        <v>302</v>
      </c>
      <c r="C7" s="348">
        <v>0</v>
      </c>
      <c r="D7" s="348">
        <v>0</v>
      </c>
      <c r="E7" s="348"/>
      <c r="F7" s="348">
        <v>0</v>
      </c>
      <c r="G7" s="348">
        <v>0.33333342521833331</v>
      </c>
      <c r="H7" s="348">
        <v>-0.33333342521833331</v>
      </c>
      <c r="I7" s="349">
        <v>0</v>
      </c>
      <c r="J7" s="350" t="s">
        <v>303</v>
      </c>
    </row>
    <row r="9" spans="1:10" ht="14.4" customHeight="1" x14ac:dyDescent="0.3">
      <c r="A9" s="346" t="s">
        <v>299</v>
      </c>
      <c r="B9" s="347" t="s">
        <v>300</v>
      </c>
      <c r="C9" s="348" t="s">
        <v>301</v>
      </c>
      <c r="D9" s="348" t="s">
        <v>301</v>
      </c>
      <c r="E9" s="348"/>
      <c r="F9" s="348" t="s">
        <v>301</v>
      </c>
      <c r="G9" s="348" t="s">
        <v>301</v>
      </c>
      <c r="H9" s="348" t="s">
        <v>301</v>
      </c>
      <c r="I9" s="349" t="s">
        <v>301</v>
      </c>
      <c r="J9" s="350" t="s">
        <v>46</v>
      </c>
    </row>
    <row r="10" spans="1:10" ht="14.4" customHeight="1" x14ac:dyDescent="0.3">
      <c r="A10" s="346" t="s">
        <v>304</v>
      </c>
      <c r="B10" s="347" t="s">
        <v>305</v>
      </c>
      <c r="C10" s="348" t="s">
        <v>301</v>
      </c>
      <c r="D10" s="348" t="s">
        <v>301</v>
      </c>
      <c r="E10" s="348"/>
      <c r="F10" s="348" t="s">
        <v>301</v>
      </c>
      <c r="G10" s="348" t="s">
        <v>301</v>
      </c>
      <c r="H10" s="348" t="s">
        <v>301</v>
      </c>
      <c r="I10" s="349" t="s">
        <v>301</v>
      </c>
      <c r="J10" s="350" t="s">
        <v>0</v>
      </c>
    </row>
    <row r="11" spans="1:10" ht="14.4" customHeight="1" x14ac:dyDescent="0.3">
      <c r="A11" s="346" t="s">
        <v>304</v>
      </c>
      <c r="B11" s="347" t="s">
        <v>197</v>
      </c>
      <c r="C11" s="348">
        <v>0</v>
      </c>
      <c r="D11" s="348">
        <v>0</v>
      </c>
      <c r="E11" s="348"/>
      <c r="F11" s="348">
        <v>0</v>
      </c>
      <c r="G11" s="348">
        <v>0.33333342521833331</v>
      </c>
      <c r="H11" s="348">
        <v>-0.33333342521833331</v>
      </c>
      <c r="I11" s="349">
        <v>0</v>
      </c>
      <c r="J11" s="350" t="s">
        <v>1</v>
      </c>
    </row>
    <row r="12" spans="1:10" ht="14.4" customHeight="1" x14ac:dyDescent="0.3">
      <c r="A12" s="346" t="s">
        <v>304</v>
      </c>
      <c r="B12" s="347" t="s">
        <v>306</v>
      </c>
      <c r="C12" s="348">
        <v>0</v>
      </c>
      <c r="D12" s="348">
        <v>0</v>
      </c>
      <c r="E12" s="348"/>
      <c r="F12" s="348">
        <v>0</v>
      </c>
      <c r="G12" s="348">
        <v>0.33333342521833331</v>
      </c>
      <c r="H12" s="348">
        <v>-0.33333342521833331</v>
      </c>
      <c r="I12" s="349">
        <v>0</v>
      </c>
      <c r="J12" s="350" t="s">
        <v>307</v>
      </c>
    </row>
    <row r="13" spans="1:10" ht="14.4" customHeight="1" x14ac:dyDescent="0.3">
      <c r="A13" s="346" t="s">
        <v>301</v>
      </c>
      <c r="B13" s="347" t="s">
        <v>301</v>
      </c>
      <c r="C13" s="348" t="s">
        <v>301</v>
      </c>
      <c r="D13" s="348" t="s">
        <v>301</v>
      </c>
      <c r="E13" s="348"/>
      <c r="F13" s="348" t="s">
        <v>301</v>
      </c>
      <c r="G13" s="348" t="s">
        <v>301</v>
      </c>
      <c r="H13" s="348" t="s">
        <v>301</v>
      </c>
      <c r="I13" s="349" t="s">
        <v>301</v>
      </c>
      <c r="J13" s="350" t="s">
        <v>308</v>
      </c>
    </row>
    <row r="14" spans="1:10" ht="14.4" customHeight="1" x14ac:dyDescent="0.3">
      <c r="A14" s="346" t="s">
        <v>299</v>
      </c>
      <c r="B14" s="347" t="s">
        <v>302</v>
      </c>
      <c r="C14" s="348">
        <v>0</v>
      </c>
      <c r="D14" s="348">
        <v>0</v>
      </c>
      <c r="E14" s="348"/>
      <c r="F14" s="348">
        <v>0</v>
      </c>
      <c r="G14" s="348">
        <v>0.33333342521833331</v>
      </c>
      <c r="H14" s="348">
        <v>-0.33333342521833331</v>
      </c>
      <c r="I14" s="349">
        <v>0</v>
      </c>
      <c r="J14" s="350" t="s">
        <v>303</v>
      </c>
    </row>
  </sheetData>
  <mergeCells count="3">
    <mergeCell ref="F3:I3"/>
    <mergeCell ref="C4:D4"/>
    <mergeCell ref="A1:I1"/>
  </mergeCells>
  <conditionalFormatting sqref="F8 F15:F65537">
    <cfRule type="cellIs" dxfId="38" priority="18" stopIfTrue="1" operator="greaterThan">
      <formula>1</formula>
    </cfRule>
  </conditionalFormatting>
  <conditionalFormatting sqref="H5:H7">
    <cfRule type="expression" dxfId="37" priority="14">
      <formula>$H5&gt;0</formula>
    </cfRule>
  </conditionalFormatting>
  <conditionalFormatting sqref="I5:I7">
    <cfRule type="expression" dxfId="36" priority="15">
      <formula>$I5&gt;1</formula>
    </cfRule>
  </conditionalFormatting>
  <conditionalFormatting sqref="B5:B7">
    <cfRule type="expression" dxfId="35" priority="11">
      <formula>OR($J5="NS",$J5="SumaNS",$J5="Účet")</formula>
    </cfRule>
  </conditionalFormatting>
  <conditionalFormatting sqref="B5:D7 F5:I7">
    <cfRule type="expression" dxfId="34" priority="17">
      <formula>AND($J5&lt;&gt;"",$J5&lt;&gt;"mezeraKL")</formula>
    </cfRule>
  </conditionalFormatting>
  <conditionalFormatting sqref="B5:D7 F5:I7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2" priority="13">
      <formula>OR($J5="SumaNS",$J5="NS")</formula>
    </cfRule>
  </conditionalFormatting>
  <conditionalFormatting sqref="A5:A7">
    <cfRule type="expression" dxfId="31" priority="9">
      <formula>AND($J5&lt;&gt;"mezeraKL",$J5&lt;&gt;"")</formula>
    </cfRule>
  </conditionalFormatting>
  <conditionalFormatting sqref="A5:A7">
    <cfRule type="expression" dxfId="30" priority="10">
      <formula>AND($J5&lt;&gt;"",$J5&lt;&gt;"mezeraKL")</formula>
    </cfRule>
  </conditionalFormatting>
  <conditionalFormatting sqref="H9:H14">
    <cfRule type="expression" dxfId="29" priority="5">
      <formula>$H9&gt;0</formula>
    </cfRule>
  </conditionalFormatting>
  <conditionalFormatting sqref="A9:A14">
    <cfRule type="expression" dxfId="28" priority="2">
      <formula>AND($J9&lt;&gt;"mezeraKL",$J9&lt;&gt;"")</formula>
    </cfRule>
  </conditionalFormatting>
  <conditionalFormatting sqref="I9:I14">
    <cfRule type="expression" dxfId="27" priority="6">
      <formula>$I9&gt;1</formula>
    </cfRule>
  </conditionalFormatting>
  <conditionalFormatting sqref="B9:B14">
    <cfRule type="expression" dxfId="26" priority="1">
      <formula>OR($J9="NS",$J9="SumaNS",$J9="Účet")</formula>
    </cfRule>
  </conditionalFormatting>
  <conditionalFormatting sqref="A9:D14 F9:I14">
    <cfRule type="expression" dxfId="25" priority="8">
      <formula>AND($J9&lt;&gt;"",$J9&lt;&gt;"mezeraKL")</formula>
    </cfRule>
  </conditionalFormatting>
  <conditionalFormatting sqref="B9:D14 F9:I14">
    <cfRule type="expression" dxfId="24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3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7" customWidth="1"/>
    <col min="2" max="2" width="61.109375" style="177" customWidth="1"/>
    <col min="3" max="3" width="9.5546875" style="102" customWidth="1"/>
    <col min="4" max="4" width="9.5546875" style="178" customWidth="1"/>
    <col min="5" max="5" width="2.21875" style="178" customWidth="1"/>
    <col min="6" max="6" width="9.5546875" style="179" customWidth="1"/>
    <col min="7" max="7" width="9.5546875" style="176" customWidth="1"/>
    <col min="8" max="9" width="9.5546875" style="102" customWidth="1"/>
    <col min="10" max="10" width="0" style="102" hidden="1" customWidth="1"/>
    <col min="11" max="16384" width="8.88671875" style="102"/>
  </cols>
  <sheetData>
    <row r="1" spans="1:10" ht="18.600000000000001" customHeight="1" thickBot="1" x14ac:dyDescent="0.4">
      <c r="A1" s="291" t="s">
        <v>105</v>
      </c>
      <c r="B1" s="292"/>
      <c r="C1" s="292"/>
      <c r="D1" s="292"/>
      <c r="E1" s="292"/>
      <c r="F1" s="292"/>
      <c r="G1" s="263"/>
      <c r="H1" s="293"/>
      <c r="I1" s="293"/>
    </row>
    <row r="2" spans="1:10" ht="14.4" customHeight="1" thickBot="1" x14ac:dyDescent="0.35">
      <c r="A2" s="194" t="s">
        <v>190</v>
      </c>
      <c r="B2" s="175"/>
      <c r="C2" s="175"/>
      <c r="D2" s="175"/>
      <c r="E2" s="175"/>
      <c r="F2" s="175"/>
    </row>
    <row r="3" spans="1:10" ht="14.4" customHeight="1" thickBot="1" x14ac:dyDescent="0.35">
      <c r="A3" s="194"/>
      <c r="B3" s="175"/>
      <c r="C3" s="240">
        <v>2014</v>
      </c>
      <c r="D3" s="241">
        <v>2015</v>
      </c>
      <c r="E3" s="7"/>
      <c r="F3" s="286">
        <v>2016</v>
      </c>
      <c r="G3" s="287"/>
      <c r="H3" s="287"/>
      <c r="I3" s="288"/>
    </row>
    <row r="4" spans="1:10" ht="14.4" customHeight="1" thickBot="1" x14ac:dyDescent="0.35">
      <c r="A4" s="245" t="s">
        <v>0</v>
      </c>
      <c r="B4" s="246" t="s">
        <v>157</v>
      </c>
      <c r="C4" s="289" t="s">
        <v>50</v>
      </c>
      <c r="D4" s="290"/>
      <c r="E4" s="247"/>
      <c r="F4" s="242" t="s">
        <v>50</v>
      </c>
      <c r="G4" s="243" t="s">
        <v>51</v>
      </c>
      <c r="H4" s="243" t="s">
        <v>45</v>
      </c>
      <c r="I4" s="244" t="s">
        <v>52</v>
      </c>
    </row>
    <row r="5" spans="1:10" ht="14.4" customHeight="1" x14ac:dyDescent="0.3">
      <c r="A5" s="346" t="s">
        <v>299</v>
      </c>
      <c r="B5" s="347" t="s">
        <v>300</v>
      </c>
      <c r="C5" s="348" t="s">
        <v>301</v>
      </c>
      <c r="D5" s="348" t="s">
        <v>301</v>
      </c>
      <c r="E5" s="348"/>
      <c r="F5" s="348" t="s">
        <v>301</v>
      </c>
      <c r="G5" s="348" t="s">
        <v>301</v>
      </c>
      <c r="H5" s="348" t="s">
        <v>301</v>
      </c>
      <c r="I5" s="349" t="s">
        <v>301</v>
      </c>
      <c r="J5" s="350" t="s">
        <v>46</v>
      </c>
    </row>
    <row r="6" spans="1:10" ht="14.4" customHeight="1" x14ac:dyDescent="0.3">
      <c r="A6" s="346" t="s">
        <v>299</v>
      </c>
      <c r="B6" s="347" t="s">
        <v>309</v>
      </c>
      <c r="C6" s="348">
        <v>0</v>
      </c>
      <c r="D6" s="348" t="s">
        <v>301</v>
      </c>
      <c r="E6" s="348"/>
      <c r="F6" s="348" t="s">
        <v>301</v>
      </c>
      <c r="G6" s="348" t="s">
        <v>301</v>
      </c>
      <c r="H6" s="348" t="s">
        <v>301</v>
      </c>
      <c r="I6" s="349" t="s">
        <v>301</v>
      </c>
      <c r="J6" s="350" t="s">
        <v>1</v>
      </c>
    </row>
    <row r="7" spans="1:10" ht="14.4" customHeight="1" x14ac:dyDescent="0.3">
      <c r="A7" s="346" t="s">
        <v>299</v>
      </c>
      <c r="B7" s="347" t="s">
        <v>310</v>
      </c>
      <c r="C7" s="348">
        <v>0</v>
      </c>
      <c r="D7" s="348" t="s">
        <v>301</v>
      </c>
      <c r="E7" s="348"/>
      <c r="F7" s="348" t="s">
        <v>301</v>
      </c>
      <c r="G7" s="348" t="s">
        <v>301</v>
      </c>
      <c r="H7" s="348" t="s">
        <v>301</v>
      </c>
      <c r="I7" s="349" t="s">
        <v>301</v>
      </c>
      <c r="J7" s="350" t="s">
        <v>1</v>
      </c>
    </row>
    <row r="8" spans="1:10" ht="14.4" customHeight="1" x14ac:dyDescent="0.3">
      <c r="A8" s="346" t="s">
        <v>299</v>
      </c>
      <c r="B8" s="347" t="s">
        <v>302</v>
      </c>
      <c r="C8" s="348">
        <v>0</v>
      </c>
      <c r="D8" s="348" t="s">
        <v>301</v>
      </c>
      <c r="E8" s="348"/>
      <c r="F8" s="348" t="s">
        <v>301</v>
      </c>
      <c r="G8" s="348" t="s">
        <v>301</v>
      </c>
      <c r="H8" s="348" t="s">
        <v>301</v>
      </c>
      <c r="I8" s="349" t="s">
        <v>301</v>
      </c>
      <c r="J8" s="350" t="s">
        <v>303</v>
      </c>
    </row>
    <row r="10" spans="1:10" ht="14.4" customHeight="1" x14ac:dyDescent="0.3">
      <c r="A10" s="346" t="s">
        <v>299</v>
      </c>
      <c r="B10" s="347" t="s">
        <v>300</v>
      </c>
      <c r="C10" s="348" t="s">
        <v>301</v>
      </c>
      <c r="D10" s="348" t="s">
        <v>301</v>
      </c>
      <c r="E10" s="348"/>
      <c r="F10" s="348" t="s">
        <v>301</v>
      </c>
      <c r="G10" s="348" t="s">
        <v>301</v>
      </c>
      <c r="H10" s="348" t="s">
        <v>301</v>
      </c>
      <c r="I10" s="349" t="s">
        <v>301</v>
      </c>
      <c r="J10" s="350" t="s">
        <v>46</v>
      </c>
    </row>
    <row r="11" spans="1:10" ht="14.4" customHeight="1" x14ac:dyDescent="0.3">
      <c r="A11" s="346" t="s">
        <v>304</v>
      </c>
      <c r="B11" s="347" t="s">
        <v>305</v>
      </c>
      <c r="C11" s="348" t="s">
        <v>301</v>
      </c>
      <c r="D11" s="348" t="s">
        <v>301</v>
      </c>
      <c r="E11" s="348"/>
      <c r="F11" s="348" t="s">
        <v>301</v>
      </c>
      <c r="G11" s="348" t="s">
        <v>301</v>
      </c>
      <c r="H11" s="348" t="s">
        <v>301</v>
      </c>
      <c r="I11" s="349" t="s">
        <v>301</v>
      </c>
      <c r="J11" s="350" t="s">
        <v>0</v>
      </c>
    </row>
    <row r="12" spans="1:10" ht="14.4" customHeight="1" x14ac:dyDescent="0.3">
      <c r="A12" s="346" t="s">
        <v>304</v>
      </c>
      <c r="B12" s="347" t="s">
        <v>309</v>
      </c>
      <c r="C12" s="348">
        <v>0</v>
      </c>
      <c r="D12" s="348" t="s">
        <v>301</v>
      </c>
      <c r="E12" s="348"/>
      <c r="F12" s="348" t="s">
        <v>301</v>
      </c>
      <c r="G12" s="348" t="s">
        <v>301</v>
      </c>
      <c r="H12" s="348" t="s">
        <v>301</v>
      </c>
      <c r="I12" s="349" t="s">
        <v>301</v>
      </c>
      <c r="J12" s="350" t="s">
        <v>1</v>
      </c>
    </row>
    <row r="13" spans="1:10" ht="14.4" customHeight="1" x14ac:dyDescent="0.3">
      <c r="A13" s="346" t="s">
        <v>304</v>
      </c>
      <c r="B13" s="347" t="s">
        <v>310</v>
      </c>
      <c r="C13" s="348">
        <v>0</v>
      </c>
      <c r="D13" s="348" t="s">
        <v>301</v>
      </c>
      <c r="E13" s="348"/>
      <c r="F13" s="348" t="s">
        <v>301</v>
      </c>
      <c r="G13" s="348" t="s">
        <v>301</v>
      </c>
      <c r="H13" s="348" t="s">
        <v>301</v>
      </c>
      <c r="I13" s="349" t="s">
        <v>301</v>
      </c>
      <c r="J13" s="350" t="s">
        <v>1</v>
      </c>
    </row>
    <row r="14" spans="1:10" ht="14.4" customHeight="1" x14ac:dyDescent="0.3">
      <c r="A14" s="346" t="s">
        <v>304</v>
      </c>
      <c r="B14" s="347" t="s">
        <v>306</v>
      </c>
      <c r="C14" s="348">
        <v>0</v>
      </c>
      <c r="D14" s="348" t="s">
        <v>301</v>
      </c>
      <c r="E14" s="348"/>
      <c r="F14" s="348" t="s">
        <v>301</v>
      </c>
      <c r="G14" s="348" t="s">
        <v>301</v>
      </c>
      <c r="H14" s="348" t="s">
        <v>301</v>
      </c>
      <c r="I14" s="349" t="s">
        <v>301</v>
      </c>
      <c r="J14" s="350" t="s">
        <v>307</v>
      </c>
    </row>
    <row r="15" spans="1:10" ht="14.4" customHeight="1" x14ac:dyDescent="0.3">
      <c r="A15" s="346" t="s">
        <v>301</v>
      </c>
      <c r="B15" s="347" t="s">
        <v>301</v>
      </c>
      <c r="C15" s="348" t="s">
        <v>301</v>
      </c>
      <c r="D15" s="348" t="s">
        <v>301</v>
      </c>
      <c r="E15" s="348"/>
      <c r="F15" s="348" t="s">
        <v>301</v>
      </c>
      <c r="G15" s="348" t="s">
        <v>301</v>
      </c>
      <c r="H15" s="348" t="s">
        <v>301</v>
      </c>
      <c r="I15" s="349" t="s">
        <v>301</v>
      </c>
      <c r="J15" s="350" t="s">
        <v>308</v>
      </c>
    </row>
    <row r="16" spans="1:10" ht="14.4" customHeight="1" x14ac:dyDescent="0.3">
      <c r="A16" s="346" t="s">
        <v>299</v>
      </c>
      <c r="B16" s="347" t="s">
        <v>302</v>
      </c>
      <c r="C16" s="348">
        <v>0</v>
      </c>
      <c r="D16" s="348" t="s">
        <v>301</v>
      </c>
      <c r="E16" s="348"/>
      <c r="F16" s="348" t="s">
        <v>301</v>
      </c>
      <c r="G16" s="348" t="s">
        <v>301</v>
      </c>
      <c r="H16" s="348" t="s">
        <v>301</v>
      </c>
      <c r="I16" s="349" t="s">
        <v>301</v>
      </c>
      <c r="J16" s="350" t="s">
        <v>303</v>
      </c>
    </row>
  </sheetData>
  <mergeCells count="3">
    <mergeCell ref="A1:I1"/>
    <mergeCell ref="F3:I3"/>
    <mergeCell ref="C4:D4"/>
  </mergeCells>
  <conditionalFormatting sqref="F9 F17:F65537">
    <cfRule type="cellIs" dxfId="22" priority="18" stopIfTrue="1" operator="greaterThan">
      <formula>1</formula>
    </cfRule>
  </conditionalFormatting>
  <conditionalFormatting sqref="H5:H8">
    <cfRule type="expression" dxfId="21" priority="14">
      <formula>$H5&gt;0</formula>
    </cfRule>
  </conditionalFormatting>
  <conditionalFormatting sqref="I5:I8">
    <cfRule type="expression" dxfId="20" priority="15">
      <formula>$I5&gt;1</formula>
    </cfRule>
  </conditionalFormatting>
  <conditionalFormatting sqref="B5:B8">
    <cfRule type="expression" dxfId="19" priority="11">
      <formula>OR($J5="NS",$J5="SumaNS",$J5="Účet")</formula>
    </cfRule>
  </conditionalFormatting>
  <conditionalFormatting sqref="F5:I8 B5:D8">
    <cfRule type="expression" dxfId="18" priority="17">
      <formula>AND($J5&lt;&gt;"",$J5&lt;&gt;"mezeraKL")</formula>
    </cfRule>
  </conditionalFormatting>
  <conditionalFormatting sqref="B5:D8 F5:I8">
    <cfRule type="expression" dxfId="17" priority="12">
      <formula>OR($J5="KL",$J5="SumaKL")</formula>
    </cfRule>
    <cfRule type="expression" priority="16" stopIfTrue="1">
      <formula>OR($J5="mezeraNS",$J5="mezeraKL")</formula>
    </cfRule>
  </conditionalFormatting>
  <conditionalFormatting sqref="B5:D8 F5:I8">
    <cfRule type="expression" dxfId="16" priority="13">
      <formula>OR($J5="SumaNS",$J5="NS")</formula>
    </cfRule>
  </conditionalFormatting>
  <conditionalFormatting sqref="A5:A8">
    <cfRule type="expression" dxfId="15" priority="9">
      <formula>AND($J5&lt;&gt;"mezeraKL",$J5&lt;&gt;"")</formula>
    </cfRule>
  </conditionalFormatting>
  <conditionalFormatting sqref="A5:A8">
    <cfRule type="expression" dxfId="14" priority="10">
      <formula>AND($J5&lt;&gt;"",$J5&lt;&gt;"mezeraKL")</formula>
    </cfRule>
  </conditionalFormatting>
  <conditionalFormatting sqref="H10:H16">
    <cfRule type="expression" dxfId="13" priority="5">
      <formula>$H10&gt;0</formula>
    </cfRule>
  </conditionalFormatting>
  <conditionalFormatting sqref="A10:A16">
    <cfRule type="expression" dxfId="12" priority="2">
      <formula>AND($J10&lt;&gt;"mezeraKL",$J10&lt;&gt;"")</formula>
    </cfRule>
  </conditionalFormatting>
  <conditionalFormatting sqref="I10:I16">
    <cfRule type="expression" dxfId="11" priority="6">
      <formula>$I10&gt;1</formula>
    </cfRule>
  </conditionalFormatting>
  <conditionalFormatting sqref="B10:B16">
    <cfRule type="expression" dxfId="10" priority="1">
      <formula>OR($J10="NS",$J10="SumaNS",$J10="Účet")</formula>
    </cfRule>
  </conditionalFormatting>
  <conditionalFormatting sqref="A10:D16 F10:I16">
    <cfRule type="expression" dxfId="9" priority="8">
      <formula>AND($J10&lt;&gt;"",$J10&lt;&gt;"mezeraKL")</formula>
    </cfRule>
  </conditionalFormatting>
  <conditionalFormatting sqref="B10:D16 F10:I16">
    <cfRule type="expression" dxfId="8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7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7" width="13.109375" customWidth="1"/>
  </cols>
  <sheetData>
    <row r="1" spans="1:8" ht="18.600000000000001" thickBot="1" x14ac:dyDescent="0.4">
      <c r="A1" s="296" t="s">
        <v>83</v>
      </c>
      <c r="B1" s="293"/>
      <c r="C1" s="293"/>
      <c r="D1" s="293"/>
      <c r="E1" s="293"/>
      <c r="F1" s="293"/>
      <c r="G1" s="293"/>
    </row>
    <row r="2" spans="1:8" ht="15" thickBot="1" x14ac:dyDescent="0.35">
      <c r="A2" s="194" t="s">
        <v>190</v>
      </c>
      <c r="B2" s="195"/>
      <c r="C2" s="195"/>
      <c r="D2" s="195"/>
      <c r="E2" s="195"/>
    </row>
    <row r="3" spans="1:8" x14ac:dyDescent="0.3">
      <c r="A3" s="211" t="s">
        <v>148</v>
      </c>
      <c r="B3" s="294" t="s">
        <v>132</v>
      </c>
      <c r="C3" s="214">
        <v>302</v>
      </c>
      <c r="D3" s="214">
        <v>521</v>
      </c>
      <c r="E3" s="214">
        <v>522</v>
      </c>
      <c r="F3" s="196">
        <v>743</v>
      </c>
      <c r="G3" s="359">
        <v>930</v>
      </c>
      <c r="H3" s="374"/>
    </row>
    <row r="4" spans="1:8" ht="36.6" outlineLevel="1" thickBot="1" x14ac:dyDescent="0.35">
      <c r="A4" s="212">
        <v>2016</v>
      </c>
      <c r="B4" s="295"/>
      <c r="C4" s="215" t="s">
        <v>163</v>
      </c>
      <c r="D4" s="215" t="s">
        <v>164</v>
      </c>
      <c r="E4" s="215" t="s">
        <v>165</v>
      </c>
      <c r="F4" s="197" t="s">
        <v>156</v>
      </c>
      <c r="G4" s="360" t="s">
        <v>150</v>
      </c>
      <c r="H4" s="374"/>
    </row>
    <row r="5" spans="1:8" x14ac:dyDescent="0.3">
      <c r="A5" s="198" t="s">
        <v>133</v>
      </c>
      <c r="B5" s="228"/>
      <c r="C5" s="229"/>
      <c r="D5" s="229"/>
      <c r="E5" s="229"/>
      <c r="F5" s="229"/>
      <c r="G5" s="361"/>
      <c r="H5" s="374"/>
    </row>
    <row r="6" spans="1:8" ht="15" collapsed="1" thickBot="1" x14ac:dyDescent="0.35">
      <c r="A6" s="199" t="s">
        <v>50</v>
      </c>
      <c r="B6" s="230">
        <f xml:space="preserve">
TRUNC(IF($A$4&lt;=12,SUMIFS('ON Data'!F:F,'ON Data'!$D:$D,$A$4,'ON Data'!$E:$E,1),SUMIFS('ON Data'!F:F,'ON Data'!$E:$E,1)/'ON Data'!$D$3),1)</f>
        <v>13.6</v>
      </c>
      <c r="C6" s="231">
        <f xml:space="preserve">
TRUNC(IF($A$4&lt;=12,SUMIFS('ON Data'!O:O,'ON Data'!$D:$D,$A$4,'ON Data'!$E:$E,1),SUMIFS('ON Data'!O:O,'ON Data'!$E:$E,1)/'ON Data'!$D$3),1)</f>
        <v>0</v>
      </c>
      <c r="D6" s="231">
        <f xml:space="preserve">
TRUNC(IF($A$4&lt;=12,SUMIFS('ON Data'!AE:AE,'ON Data'!$D:$D,$A$4,'ON Data'!$E:$E,1),SUMIFS('ON Data'!AE:AE,'ON Data'!$E:$E,1)/'ON Data'!$D$3),1)</f>
        <v>9</v>
      </c>
      <c r="E6" s="231">
        <f xml:space="preserve">
TRUNC(IF($A$4&lt;=12,SUMIFS('ON Data'!AF:AF,'ON Data'!$D:$D,$A$4,'ON Data'!$E:$E,1),SUMIFS('ON Data'!AF:AF,'ON Data'!$E:$E,1)/'ON Data'!$D$3),1)</f>
        <v>1</v>
      </c>
      <c r="F6" s="231">
        <f xml:space="preserve">
TRUNC(IF($A$4&lt;=12,SUMIFS('ON Data'!AS:AS,'ON Data'!$D:$D,$A$4,'ON Data'!$E:$E,1),SUMIFS('ON Data'!AS:AS,'ON Data'!$E:$E,1)/'ON Data'!$D$3),1)</f>
        <v>2.6</v>
      </c>
      <c r="G6" s="362">
        <f xml:space="preserve">
TRUNC(IF($A$4&lt;=12,SUMIFS('ON Data'!AW:AW,'ON Data'!$D:$D,$A$4,'ON Data'!$E:$E,1),SUMIFS('ON Data'!AW:AW,'ON Data'!$E:$E,1)/'ON Data'!$D$3),1)</f>
        <v>1</v>
      </c>
      <c r="H6" s="374"/>
    </row>
    <row r="7" spans="1:8" ht="15" hidden="1" outlineLevel="1" thickBot="1" x14ac:dyDescent="0.35">
      <c r="A7" s="199" t="s">
        <v>84</v>
      </c>
      <c r="B7" s="230"/>
      <c r="C7" s="231"/>
      <c r="D7" s="231"/>
      <c r="E7" s="231"/>
      <c r="F7" s="231"/>
      <c r="G7" s="362"/>
      <c r="H7" s="374"/>
    </row>
    <row r="8" spans="1:8" ht="15" hidden="1" outlineLevel="1" thickBot="1" x14ac:dyDescent="0.35">
      <c r="A8" s="199" t="s">
        <v>52</v>
      </c>
      <c r="B8" s="230"/>
      <c r="C8" s="231"/>
      <c r="D8" s="231"/>
      <c r="E8" s="231"/>
      <c r="F8" s="231"/>
      <c r="G8" s="362"/>
      <c r="H8" s="374"/>
    </row>
    <row r="9" spans="1:8" ht="15" hidden="1" outlineLevel="1" thickBot="1" x14ac:dyDescent="0.35">
      <c r="A9" s="200" t="s">
        <v>45</v>
      </c>
      <c r="B9" s="232"/>
      <c r="C9" s="233"/>
      <c r="D9" s="233"/>
      <c r="E9" s="233"/>
      <c r="F9" s="233"/>
      <c r="G9" s="363"/>
      <c r="H9" s="374"/>
    </row>
    <row r="10" spans="1:8" x14ac:dyDescent="0.3">
      <c r="A10" s="201" t="s">
        <v>134</v>
      </c>
      <c r="B10" s="216"/>
      <c r="C10" s="217"/>
      <c r="D10" s="217"/>
      <c r="E10" s="217"/>
      <c r="F10" s="217"/>
      <c r="G10" s="364"/>
      <c r="H10" s="374"/>
    </row>
    <row r="11" spans="1:8" x14ac:dyDescent="0.3">
      <c r="A11" s="202" t="s">
        <v>135</v>
      </c>
      <c r="B11" s="218">
        <f xml:space="preserve">
IF($A$4&lt;=12,SUMIFS('ON Data'!F:F,'ON Data'!$D:$D,$A$4,'ON Data'!$E:$E,2),SUMIFS('ON Data'!F:F,'ON Data'!$E:$E,2))</f>
        <v>8490.5</v>
      </c>
      <c r="C11" s="219">
        <f xml:space="preserve">
IF($A$4&lt;=12,SUMIFS('ON Data'!O:O,'ON Data'!$D:$D,$A$4,'ON Data'!$E:$E,2),SUMIFS('ON Data'!O:O,'ON Data'!$E:$E,2))</f>
        <v>0</v>
      </c>
      <c r="D11" s="219">
        <f xml:space="preserve">
IF($A$4&lt;=12,SUMIFS('ON Data'!AE:AE,'ON Data'!$D:$D,$A$4,'ON Data'!$E:$E,2),SUMIFS('ON Data'!AE:AE,'ON Data'!$E:$E,2))</f>
        <v>5618.5</v>
      </c>
      <c r="E11" s="219">
        <f xml:space="preserve">
IF($A$4&lt;=12,SUMIFS('ON Data'!AF:AF,'ON Data'!$D:$D,$A$4,'ON Data'!$E:$E,2),SUMIFS('ON Data'!AF:AF,'ON Data'!$E:$E,2))</f>
        <v>632</v>
      </c>
      <c r="F11" s="219">
        <f xml:space="preserve">
IF($A$4&lt;=12,SUMIFS('ON Data'!AS:AS,'ON Data'!$D:$D,$A$4,'ON Data'!$E:$E,2),SUMIFS('ON Data'!AS:AS,'ON Data'!$E:$E,2))</f>
        <v>1552</v>
      </c>
      <c r="G11" s="365">
        <f xml:space="preserve">
IF($A$4&lt;=12,SUMIFS('ON Data'!AW:AW,'ON Data'!$D:$D,$A$4,'ON Data'!$E:$E,2),SUMIFS('ON Data'!AW:AW,'ON Data'!$E:$E,2))</f>
        <v>688</v>
      </c>
      <c r="H11" s="374"/>
    </row>
    <row r="12" spans="1:8" x14ac:dyDescent="0.3">
      <c r="A12" s="202" t="s">
        <v>136</v>
      </c>
      <c r="B12" s="218">
        <f xml:space="preserve">
IF($A$4&lt;=12,SUMIFS('ON Data'!F:F,'ON Data'!$D:$D,$A$4,'ON Data'!$E:$E,3),SUMIFS('ON Data'!F:F,'ON Data'!$E:$E,3))</f>
        <v>0</v>
      </c>
      <c r="C12" s="219">
        <f xml:space="preserve">
IF($A$4&lt;=12,SUMIFS('ON Data'!O:O,'ON Data'!$D:$D,$A$4,'ON Data'!$E:$E,3),SUMIFS('ON Data'!O:O,'ON Data'!$E:$E,3))</f>
        <v>0</v>
      </c>
      <c r="D12" s="219">
        <f xml:space="preserve">
IF($A$4&lt;=12,SUMIFS('ON Data'!AE:AE,'ON Data'!$D:$D,$A$4,'ON Data'!$E:$E,3),SUMIFS('ON Data'!AE:AE,'ON Data'!$E:$E,3))</f>
        <v>0</v>
      </c>
      <c r="E12" s="219">
        <f xml:space="preserve">
IF($A$4&lt;=12,SUMIFS('ON Data'!AF:AF,'ON Data'!$D:$D,$A$4,'ON Data'!$E:$E,3),SUMIFS('ON Data'!AF:AF,'ON Data'!$E:$E,3))</f>
        <v>0</v>
      </c>
      <c r="F12" s="219">
        <f xml:space="preserve">
IF($A$4&lt;=12,SUMIFS('ON Data'!AS:AS,'ON Data'!$D:$D,$A$4,'ON Data'!$E:$E,3),SUMIFS('ON Data'!AS:AS,'ON Data'!$E:$E,3))</f>
        <v>0</v>
      </c>
      <c r="G12" s="365">
        <f xml:space="preserve">
IF($A$4&lt;=12,SUMIFS('ON Data'!AW:AW,'ON Data'!$D:$D,$A$4,'ON Data'!$E:$E,3),SUMIFS('ON Data'!AW:AW,'ON Data'!$E:$E,3))</f>
        <v>0</v>
      </c>
      <c r="H12" s="374"/>
    </row>
    <row r="13" spans="1:8" x14ac:dyDescent="0.3">
      <c r="A13" s="202" t="s">
        <v>143</v>
      </c>
      <c r="B13" s="218">
        <f xml:space="preserve">
IF($A$4&lt;=12,SUMIFS('ON Data'!F:F,'ON Data'!$D:$D,$A$4,'ON Data'!$E:$E,4),SUMIFS('ON Data'!F:F,'ON Data'!$E:$E,4))</f>
        <v>0</v>
      </c>
      <c r="C13" s="219">
        <f xml:space="preserve">
IF($A$4&lt;=12,SUMIFS('ON Data'!O:O,'ON Data'!$D:$D,$A$4,'ON Data'!$E:$E,4),SUMIFS('ON Data'!O:O,'ON Data'!$E:$E,4))</f>
        <v>0</v>
      </c>
      <c r="D13" s="219">
        <f xml:space="preserve">
IF($A$4&lt;=12,SUMIFS('ON Data'!AE:AE,'ON Data'!$D:$D,$A$4,'ON Data'!$E:$E,4),SUMIFS('ON Data'!AE:AE,'ON Data'!$E:$E,4))</f>
        <v>0</v>
      </c>
      <c r="E13" s="219">
        <f xml:space="preserve">
IF($A$4&lt;=12,SUMIFS('ON Data'!AF:AF,'ON Data'!$D:$D,$A$4,'ON Data'!$E:$E,4),SUMIFS('ON Data'!AF:AF,'ON Data'!$E:$E,4))</f>
        <v>0</v>
      </c>
      <c r="F13" s="219">
        <f xml:space="preserve">
IF($A$4&lt;=12,SUMIFS('ON Data'!AS:AS,'ON Data'!$D:$D,$A$4,'ON Data'!$E:$E,4),SUMIFS('ON Data'!AS:AS,'ON Data'!$E:$E,4))</f>
        <v>0</v>
      </c>
      <c r="G13" s="365">
        <f xml:space="preserve">
IF($A$4&lt;=12,SUMIFS('ON Data'!AW:AW,'ON Data'!$D:$D,$A$4,'ON Data'!$E:$E,4),SUMIFS('ON Data'!AW:AW,'ON Data'!$E:$E,4))</f>
        <v>0</v>
      </c>
      <c r="H13" s="374"/>
    </row>
    <row r="14" spans="1:8" ht="15" thickBot="1" x14ac:dyDescent="0.35">
      <c r="A14" s="203" t="s">
        <v>137</v>
      </c>
      <c r="B14" s="220">
        <f xml:space="preserve">
IF($A$4&lt;=12,SUMIFS('ON Data'!F:F,'ON Data'!$D:$D,$A$4,'ON Data'!$E:$E,5),SUMIFS('ON Data'!F:F,'ON Data'!$E:$E,5))</f>
        <v>0</v>
      </c>
      <c r="C14" s="221">
        <f xml:space="preserve">
IF($A$4&lt;=12,SUMIFS('ON Data'!O:O,'ON Data'!$D:$D,$A$4,'ON Data'!$E:$E,5),SUMIFS('ON Data'!O:O,'ON Data'!$E:$E,5))</f>
        <v>0</v>
      </c>
      <c r="D14" s="221">
        <f xml:space="preserve">
IF($A$4&lt;=12,SUMIFS('ON Data'!AE:AE,'ON Data'!$D:$D,$A$4,'ON Data'!$E:$E,5),SUMIFS('ON Data'!AE:AE,'ON Data'!$E:$E,5))</f>
        <v>0</v>
      </c>
      <c r="E14" s="221">
        <f xml:space="preserve">
IF($A$4&lt;=12,SUMIFS('ON Data'!AF:AF,'ON Data'!$D:$D,$A$4,'ON Data'!$E:$E,5),SUMIFS('ON Data'!AF:AF,'ON Data'!$E:$E,5))</f>
        <v>0</v>
      </c>
      <c r="F14" s="221">
        <f xml:space="preserve">
IF($A$4&lt;=12,SUMIFS('ON Data'!AS:AS,'ON Data'!$D:$D,$A$4,'ON Data'!$E:$E,5),SUMIFS('ON Data'!AS:AS,'ON Data'!$E:$E,5))</f>
        <v>0</v>
      </c>
      <c r="G14" s="366">
        <f xml:space="preserve">
IF($A$4&lt;=12,SUMIFS('ON Data'!AW:AW,'ON Data'!$D:$D,$A$4,'ON Data'!$E:$E,5),SUMIFS('ON Data'!AW:AW,'ON Data'!$E:$E,5))</f>
        <v>0</v>
      </c>
      <c r="H14" s="374"/>
    </row>
    <row r="15" spans="1:8" x14ac:dyDescent="0.3">
      <c r="A15" s="132" t="s">
        <v>147</v>
      </c>
      <c r="B15" s="222"/>
      <c r="C15" s="223"/>
      <c r="D15" s="223"/>
      <c r="E15" s="223"/>
      <c r="F15" s="223"/>
      <c r="G15" s="367"/>
      <c r="H15" s="374"/>
    </row>
    <row r="16" spans="1:8" x14ac:dyDescent="0.3">
      <c r="A16" s="204" t="s">
        <v>138</v>
      </c>
      <c r="B16" s="218">
        <f xml:space="preserve">
IF($A$4&lt;=12,SUMIFS('ON Data'!F:F,'ON Data'!$D:$D,$A$4,'ON Data'!$E:$E,7),SUMIFS('ON Data'!F:F,'ON Data'!$E:$E,7))</f>
        <v>0</v>
      </c>
      <c r="C16" s="219">
        <f xml:space="preserve">
IF($A$4&lt;=12,SUMIFS('ON Data'!O:O,'ON Data'!$D:$D,$A$4,'ON Data'!$E:$E,7),SUMIFS('ON Data'!O:O,'ON Data'!$E:$E,7))</f>
        <v>0</v>
      </c>
      <c r="D16" s="219">
        <f xml:space="preserve">
IF($A$4&lt;=12,SUMIFS('ON Data'!AE:AE,'ON Data'!$D:$D,$A$4,'ON Data'!$E:$E,7),SUMIFS('ON Data'!AE:AE,'ON Data'!$E:$E,7))</f>
        <v>0</v>
      </c>
      <c r="E16" s="219">
        <f xml:space="preserve">
IF($A$4&lt;=12,SUMIFS('ON Data'!AF:AF,'ON Data'!$D:$D,$A$4,'ON Data'!$E:$E,7),SUMIFS('ON Data'!AF:AF,'ON Data'!$E:$E,7))</f>
        <v>0</v>
      </c>
      <c r="F16" s="219">
        <f xml:space="preserve">
IF($A$4&lt;=12,SUMIFS('ON Data'!AS:AS,'ON Data'!$D:$D,$A$4,'ON Data'!$E:$E,7),SUMIFS('ON Data'!AS:AS,'ON Data'!$E:$E,7))</f>
        <v>0</v>
      </c>
      <c r="G16" s="365">
        <f xml:space="preserve">
IF($A$4&lt;=12,SUMIFS('ON Data'!AW:AW,'ON Data'!$D:$D,$A$4,'ON Data'!$E:$E,7),SUMIFS('ON Data'!AW:AW,'ON Data'!$E:$E,7))</f>
        <v>0</v>
      </c>
      <c r="H16" s="374"/>
    </row>
    <row r="17" spans="1:8" x14ac:dyDescent="0.3">
      <c r="A17" s="204" t="s">
        <v>139</v>
      </c>
      <c r="B17" s="218">
        <f xml:space="preserve">
IF($A$4&lt;=12,SUMIFS('ON Data'!F:F,'ON Data'!$D:$D,$A$4,'ON Data'!$E:$E,8),SUMIFS('ON Data'!F:F,'ON Data'!$E:$E,8))</f>
        <v>0</v>
      </c>
      <c r="C17" s="219">
        <f xml:space="preserve">
IF($A$4&lt;=12,SUMIFS('ON Data'!O:O,'ON Data'!$D:$D,$A$4,'ON Data'!$E:$E,8),SUMIFS('ON Data'!O:O,'ON Data'!$E:$E,8))</f>
        <v>0</v>
      </c>
      <c r="D17" s="219">
        <f xml:space="preserve">
IF($A$4&lt;=12,SUMIFS('ON Data'!AE:AE,'ON Data'!$D:$D,$A$4,'ON Data'!$E:$E,8),SUMIFS('ON Data'!AE:AE,'ON Data'!$E:$E,8))</f>
        <v>0</v>
      </c>
      <c r="E17" s="219">
        <f xml:space="preserve">
IF($A$4&lt;=12,SUMIFS('ON Data'!AF:AF,'ON Data'!$D:$D,$A$4,'ON Data'!$E:$E,8),SUMIFS('ON Data'!AF:AF,'ON Data'!$E:$E,8))</f>
        <v>0</v>
      </c>
      <c r="F17" s="219">
        <f xml:space="preserve">
IF($A$4&lt;=12,SUMIFS('ON Data'!AS:AS,'ON Data'!$D:$D,$A$4,'ON Data'!$E:$E,8),SUMIFS('ON Data'!AS:AS,'ON Data'!$E:$E,8))</f>
        <v>0</v>
      </c>
      <c r="G17" s="365">
        <f xml:space="preserve">
IF($A$4&lt;=12,SUMIFS('ON Data'!AW:AW,'ON Data'!$D:$D,$A$4,'ON Data'!$E:$E,8),SUMIFS('ON Data'!AW:AW,'ON Data'!$E:$E,8))</f>
        <v>0</v>
      </c>
      <c r="H17" s="374"/>
    </row>
    <row r="18" spans="1:8" x14ac:dyDescent="0.3">
      <c r="A18" s="204" t="s">
        <v>140</v>
      </c>
      <c r="B18" s="218">
        <f xml:space="preserve">
B19-B16-B17</f>
        <v>17664</v>
      </c>
      <c r="C18" s="219">
        <f t="shared" ref="C18:E18" si="0" xml:space="preserve">
C19-C16-C17</f>
        <v>0</v>
      </c>
      <c r="D18" s="219">
        <f t="shared" si="0"/>
        <v>16439</v>
      </c>
      <c r="E18" s="219">
        <f t="shared" si="0"/>
        <v>1225</v>
      </c>
      <c r="F18" s="219">
        <f t="shared" ref="F18:G18" si="1" xml:space="preserve">
F19-F16-F17</f>
        <v>0</v>
      </c>
      <c r="G18" s="365">
        <f t="shared" si="1"/>
        <v>0</v>
      </c>
      <c r="H18" s="374"/>
    </row>
    <row r="19" spans="1:8" ht="15" thickBot="1" x14ac:dyDescent="0.35">
      <c r="A19" s="205" t="s">
        <v>141</v>
      </c>
      <c r="B19" s="224">
        <f xml:space="preserve">
IF($A$4&lt;=12,SUMIFS('ON Data'!F:F,'ON Data'!$D:$D,$A$4,'ON Data'!$E:$E,9),SUMIFS('ON Data'!F:F,'ON Data'!$E:$E,9))</f>
        <v>17664</v>
      </c>
      <c r="C19" s="225">
        <f xml:space="preserve">
IF($A$4&lt;=12,SUMIFS('ON Data'!O:O,'ON Data'!$D:$D,$A$4,'ON Data'!$E:$E,9),SUMIFS('ON Data'!O:O,'ON Data'!$E:$E,9))</f>
        <v>0</v>
      </c>
      <c r="D19" s="225">
        <f xml:space="preserve">
IF($A$4&lt;=12,SUMIFS('ON Data'!AE:AE,'ON Data'!$D:$D,$A$4,'ON Data'!$E:$E,9),SUMIFS('ON Data'!AE:AE,'ON Data'!$E:$E,9))</f>
        <v>16439</v>
      </c>
      <c r="E19" s="225">
        <f xml:space="preserve">
IF($A$4&lt;=12,SUMIFS('ON Data'!AF:AF,'ON Data'!$D:$D,$A$4,'ON Data'!$E:$E,9),SUMIFS('ON Data'!AF:AF,'ON Data'!$E:$E,9))</f>
        <v>1225</v>
      </c>
      <c r="F19" s="225">
        <f xml:space="preserve">
IF($A$4&lt;=12,SUMIFS('ON Data'!AS:AS,'ON Data'!$D:$D,$A$4,'ON Data'!$E:$E,9),SUMIFS('ON Data'!AS:AS,'ON Data'!$E:$E,9))</f>
        <v>0</v>
      </c>
      <c r="G19" s="368">
        <f xml:space="preserve">
IF($A$4&lt;=12,SUMIFS('ON Data'!AW:AW,'ON Data'!$D:$D,$A$4,'ON Data'!$E:$E,9),SUMIFS('ON Data'!AW:AW,'ON Data'!$E:$E,9))</f>
        <v>0</v>
      </c>
      <c r="H19" s="374"/>
    </row>
    <row r="20" spans="1:8" ht="15" collapsed="1" thickBot="1" x14ac:dyDescent="0.35">
      <c r="A20" s="206" t="s">
        <v>50</v>
      </c>
      <c r="B20" s="226">
        <f xml:space="preserve">
IF($A$4&lt;=12,SUMIFS('ON Data'!F:F,'ON Data'!$D:$D,$A$4,'ON Data'!$E:$E,6),SUMIFS('ON Data'!F:F,'ON Data'!$E:$E,6))</f>
        <v>1769260</v>
      </c>
      <c r="C20" s="227">
        <f xml:space="preserve">
IF($A$4&lt;=12,SUMIFS('ON Data'!O:O,'ON Data'!$D:$D,$A$4,'ON Data'!$E:$E,6),SUMIFS('ON Data'!O:O,'ON Data'!$E:$E,6))</f>
        <v>0</v>
      </c>
      <c r="D20" s="227">
        <f xml:space="preserve">
IF($A$4&lt;=12,SUMIFS('ON Data'!AE:AE,'ON Data'!$D:$D,$A$4,'ON Data'!$E:$E,6),SUMIFS('ON Data'!AE:AE,'ON Data'!$E:$E,6))</f>
        <v>1189536</v>
      </c>
      <c r="E20" s="227">
        <f xml:space="preserve">
IF($A$4&lt;=12,SUMIFS('ON Data'!AF:AF,'ON Data'!$D:$D,$A$4,'ON Data'!$E:$E,6),SUMIFS('ON Data'!AF:AF,'ON Data'!$E:$E,6))</f>
        <v>218242</v>
      </c>
      <c r="F20" s="227">
        <f xml:space="preserve">
IF($A$4&lt;=12,SUMIFS('ON Data'!AS:AS,'ON Data'!$D:$D,$A$4,'ON Data'!$E:$E,6),SUMIFS('ON Data'!AS:AS,'ON Data'!$E:$E,6))</f>
        <v>275761</v>
      </c>
      <c r="G20" s="369">
        <f xml:space="preserve">
IF($A$4&lt;=12,SUMIFS('ON Data'!AW:AW,'ON Data'!$D:$D,$A$4,'ON Data'!$E:$E,6),SUMIFS('ON Data'!AW:AW,'ON Data'!$E:$E,6))</f>
        <v>85721</v>
      </c>
      <c r="H20" s="374"/>
    </row>
    <row r="21" spans="1:8" ht="15" hidden="1" outlineLevel="1" thickBot="1" x14ac:dyDescent="0.35">
      <c r="A21" s="199" t="s">
        <v>84</v>
      </c>
      <c r="B21" s="218">
        <f xml:space="preserve">
IF($A$4&lt;=12,SUMIFS('ON Data'!F:F,'ON Data'!$D:$D,$A$4,'ON Data'!$E:$E,12),SUMIFS('ON Data'!F:F,'ON Data'!$E:$E,12))</f>
        <v>0</v>
      </c>
      <c r="C21" s="219">
        <f xml:space="preserve">
IF($A$4&lt;=12,SUMIFS('ON Data'!O:O,'ON Data'!$D:$D,$A$4,'ON Data'!$E:$E,12),SUMIFS('ON Data'!O:O,'ON Data'!$E:$E,12))</f>
        <v>0</v>
      </c>
      <c r="D21" s="219">
        <f xml:space="preserve">
IF($A$4&lt;=12,SUMIFS('ON Data'!AE:AE,'ON Data'!$D:$D,$A$4,'ON Data'!$E:$E,12),SUMIFS('ON Data'!AE:AE,'ON Data'!$E:$E,12))</f>
        <v>0</v>
      </c>
      <c r="E21" s="219">
        <f xml:space="preserve">
IF($A$4&lt;=12,SUMIFS('ON Data'!AF:AF,'ON Data'!$D:$D,$A$4,'ON Data'!$E:$E,12),SUMIFS('ON Data'!AF:AF,'ON Data'!$E:$E,12))</f>
        <v>0</v>
      </c>
      <c r="H21" s="374"/>
    </row>
    <row r="22" spans="1:8" ht="15" hidden="1" outlineLevel="1" thickBot="1" x14ac:dyDescent="0.35">
      <c r="A22" s="199" t="s">
        <v>52</v>
      </c>
      <c r="B22" s="255" t="str">
        <f xml:space="preserve">
IF(OR(B21="",B21=0),"",B20/B21)</f>
        <v/>
      </c>
      <c r="C22" s="256" t="str">
        <f t="shared" ref="C22:E22" si="2" xml:space="preserve">
IF(OR(C21="",C21=0),"",C20/C21)</f>
        <v/>
      </c>
      <c r="D22" s="256" t="str">
        <f t="shared" si="2"/>
        <v/>
      </c>
      <c r="E22" s="256" t="str">
        <f t="shared" si="2"/>
        <v/>
      </c>
      <c r="H22" s="374"/>
    </row>
    <row r="23" spans="1:8" ht="15" hidden="1" outlineLevel="1" thickBot="1" x14ac:dyDescent="0.35">
      <c r="A23" s="207" t="s">
        <v>45</v>
      </c>
      <c r="B23" s="220">
        <f xml:space="preserve">
IF(B21="","",B20-B21)</f>
        <v>1769260</v>
      </c>
      <c r="C23" s="221">
        <f t="shared" ref="C23:E23" si="3" xml:space="preserve">
IF(C21="","",C20-C21)</f>
        <v>0</v>
      </c>
      <c r="D23" s="221">
        <f t="shared" si="3"/>
        <v>1189536</v>
      </c>
      <c r="E23" s="221">
        <f t="shared" si="3"/>
        <v>218242</v>
      </c>
      <c r="H23" s="374"/>
    </row>
    <row r="24" spans="1:8" x14ac:dyDescent="0.3">
      <c r="A24" s="201" t="s">
        <v>142</v>
      </c>
      <c r="B24" s="238" t="s">
        <v>3</v>
      </c>
      <c r="C24" s="375" t="s">
        <v>153</v>
      </c>
      <c r="D24" s="351"/>
      <c r="E24" s="352"/>
      <c r="F24" s="352"/>
      <c r="G24" s="370" t="s">
        <v>154</v>
      </c>
      <c r="H24" s="374"/>
    </row>
    <row r="25" spans="1:8" x14ac:dyDescent="0.3">
      <c r="A25" s="202" t="s">
        <v>50</v>
      </c>
      <c r="B25" s="218">
        <f xml:space="preserve">
SUM(C25:G25)</f>
        <v>15700</v>
      </c>
      <c r="C25" s="376">
        <f xml:space="preserve">
IF($A$4&lt;=12,SUMIFS('ON Data'!O:O,'ON Data'!$D:$D,$A$4,'ON Data'!$E:$E,10),SUMIFS('ON Data'!O:O,'ON Data'!$E:$E,10))</f>
        <v>15700</v>
      </c>
      <c r="D25" s="353"/>
      <c r="E25" s="354"/>
      <c r="F25" s="354"/>
      <c r="G25" s="371">
        <f xml:space="preserve">
IF($A$4&lt;=12,SUMIFS('ON Data'!AW:AW,'ON Data'!$D:$D,$A$4,'ON Data'!$E:$E,10),SUMIFS('ON Data'!AW:AW,'ON Data'!$E:$E,10))</f>
        <v>0</v>
      </c>
      <c r="H25" s="374"/>
    </row>
    <row r="26" spans="1:8" x14ac:dyDescent="0.3">
      <c r="A26" s="208" t="s">
        <v>152</v>
      </c>
      <c r="B26" s="224">
        <f xml:space="preserve">
SUM(C26:G26)</f>
        <v>10000</v>
      </c>
      <c r="C26" s="377">
        <f xml:space="preserve">
IF($A$4&lt;=12,SUMIFS('ON Data'!O:O,'ON Data'!$D:$D,$A$4,'ON Data'!$E:$E,11),SUMIFS('ON Data'!O:O,'ON Data'!$E:$E,11))</f>
        <v>10000</v>
      </c>
      <c r="D26" s="355"/>
      <c r="E26" s="356"/>
      <c r="F26" s="356"/>
      <c r="G26" s="371">
        <f xml:space="preserve">
IF($A$4&lt;=12,SUMIFS('ON Data'!AW:AW,'ON Data'!$D:$D,$A$4,'ON Data'!$E:$E,11),SUMIFS('ON Data'!AW:AW,'ON Data'!$E:$E,11))</f>
        <v>0</v>
      </c>
      <c r="H26" s="374"/>
    </row>
    <row r="27" spans="1:8" x14ac:dyDescent="0.3">
      <c r="A27" s="208" t="s">
        <v>52</v>
      </c>
      <c r="B27" s="239">
        <f xml:space="preserve">
IF(B26=0,0,B25/B26)</f>
        <v>1.57</v>
      </c>
      <c r="C27" s="378">
        <f xml:space="preserve">
IF(C26=0,0,C25/C26)</f>
        <v>1.57</v>
      </c>
      <c r="D27" s="353"/>
      <c r="E27" s="354"/>
      <c r="F27" s="354"/>
      <c r="G27" s="372">
        <f xml:space="preserve">
IF(G26=0,0,G25/G26)</f>
        <v>0</v>
      </c>
      <c r="H27" s="374"/>
    </row>
    <row r="28" spans="1:8" ht="15" thickBot="1" x14ac:dyDescent="0.35">
      <c r="A28" s="208" t="s">
        <v>151</v>
      </c>
      <c r="B28" s="224">
        <f xml:space="preserve">
SUM(C28:G28)</f>
        <v>-5700</v>
      </c>
      <c r="C28" s="379">
        <f xml:space="preserve">
C26-C25</f>
        <v>-5700</v>
      </c>
      <c r="D28" s="357"/>
      <c r="E28" s="358"/>
      <c r="F28" s="358"/>
      <c r="G28" s="373">
        <f xml:space="preserve">
G26-G25</f>
        <v>0</v>
      </c>
      <c r="H28" s="374"/>
    </row>
    <row r="29" spans="1:8" x14ac:dyDescent="0.3">
      <c r="A29" s="209"/>
      <c r="B29" s="209"/>
      <c r="C29" s="210"/>
      <c r="D29" s="210"/>
      <c r="E29" s="210"/>
    </row>
    <row r="30" spans="1:8" x14ac:dyDescent="0.3">
      <c r="A30" s="85" t="s">
        <v>115</v>
      </c>
      <c r="B30" s="102"/>
      <c r="C30" s="102"/>
      <c r="D30" s="102"/>
      <c r="E30" s="102"/>
    </row>
    <row r="31" spans="1:8" x14ac:dyDescent="0.3">
      <c r="A31" s="86" t="s">
        <v>149</v>
      </c>
      <c r="B31" s="102"/>
      <c r="C31" s="102"/>
      <c r="D31" s="102"/>
      <c r="E31" s="102"/>
    </row>
    <row r="32" spans="1:8" ht="14.4" customHeight="1" x14ac:dyDescent="0.3">
      <c r="A32" s="235" t="s">
        <v>146</v>
      </c>
      <c r="B32" s="236"/>
      <c r="C32" s="236"/>
      <c r="D32" s="236"/>
      <c r="E32" s="236"/>
    </row>
    <row r="33" spans="1:1" x14ac:dyDescent="0.3">
      <c r="A33" s="237" t="s">
        <v>166</v>
      </c>
    </row>
    <row r="34" spans="1:1" x14ac:dyDescent="0.3">
      <c r="A34" s="237" t="s">
        <v>167</v>
      </c>
    </row>
    <row r="35" spans="1:1" x14ac:dyDescent="0.3">
      <c r="A35" s="237" t="s">
        <v>168</v>
      </c>
    </row>
    <row r="36" spans="1:1" x14ac:dyDescent="0.3">
      <c r="A36" s="237" t="s">
        <v>155</v>
      </c>
    </row>
  </sheetData>
  <mergeCells count="7">
    <mergeCell ref="B3:B4"/>
    <mergeCell ref="A1:G1"/>
    <mergeCell ref="C27:F27"/>
    <mergeCell ref="C28:F28"/>
    <mergeCell ref="C24:F24"/>
    <mergeCell ref="C25:F25"/>
    <mergeCell ref="C26:F26"/>
  </mergeCells>
  <conditionalFormatting sqref="B22:E22">
    <cfRule type="cellIs" dxfId="6" priority="6" operator="greaterThan">
      <formula>1</formula>
    </cfRule>
  </conditionalFormatting>
  <conditionalFormatting sqref="B23:E23">
    <cfRule type="cellIs" dxfId="5" priority="5" operator="greaterThan">
      <formula>0</formula>
    </cfRule>
  </conditionalFormatting>
  <conditionalFormatting sqref="G27">
    <cfRule type="cellIs" dxfId="4" priority="4" operator="greaterThan">
      <formula>1</formula>
    </cfRule>
  </conditionalFormatting>
  <conditionalFormatting sqref="G28">
    <cfRule type="cellIs" dxfId="3" priority="3" operator="lessThan">
      <formula>0</formula>
    </cfRule>
  </conditionalFormatting>
  <conditionalFormatting sqref="C28">
    <cfRule type="cellIs" dxfId="2" priority="1" operator="lessThan">
      <formula>0</formula>
    </cfRule>
  </conditionalFormatting>
  <conditionalFormatting sqref="C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</vt:i4>
      </vt:variant>
    </vt:vector>
  </HeadingPairs>
  <TitlesOfParts>
    <vt:vector size="16" baseType="lpstr">
      <vt:lpstr>Obsah</vt:lpstr>
      <vt:lpstr>Motivace</vt:lpstr>
      <vt:lpstr>HI</vt:lpstr>
      <vt:lpstr>HI Graf</vt:lpstr>
      <vt:lpstr>Man Tab</vt:lpstr>
      <vt:lpstr>HV</vt:lpstr>
      <vt:lpstr>Léky Žádanky</vt:lpstr>
      <vt:lpstr>Materiál Žádanky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2016-05-23T12:12:25Z</dcterms:modified>
</cp:coreProperties>
</file>