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20" r:id="rId9"/>
    <sheet name="Osobní náklady" sheetId="419" r:id="rId10"/>
    <sheet name="ON Data" sheetId="418" state="hidden" r:id="rId11"/>
    <sheet name="ZV Vykáz.-A" sheetId="344" r:id="rId12"/>
    <sheet name="ZV Vykáz.-A Lékaři" sheetId="429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3" hidden="1">'ZV Vykáz.-A Detail'!$A$5:$Q$5</definedName>
    <definedName name="_xlnm._FilterDatabase" localSheetId="12" hidden="1">'ZV Vykáz.-A Lékaři'!$A$4:$A$5</definedName>
    <definedName name="_xlnm._FilterDatabase" localSheetId="15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7" i="419" s="1"/>
  <c r="G25" i="419"/>
  <c r="C26" i="419"/>
  <c r="G28" i="419" l="1"/>
  <c r="C25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AW3" i="418"/>
  <c r="AV3" i="418"/>
  <c r="AU3" i="418"/>
  <c r="AT3" i="418"/>
  <c r="AS3" i="418"/>
  <c r="AR3" i="418"/>
  <c r="AQ3" i="418"/>
  <c r="AP3" i="418"/>
  <c r="F18" i="419" l="1"/>
  <c r="G18" i="419"/>
  <c r="B25" i="419"/>
  <c r="C27" i="419" l="1"/>
  <c r="B26" i="419"/>
  <c r="B27" i="419" s="1"/>
  <c r="C28" i="419"/>
  <c r="A7" i="414"/>
  <c r="F3" i="344" l="1"/>
  <c r="D3" i="344"/>
  <c r="B3" i="344"/>
  <c r="E21" i="419" l="1"/>
  <c r="D21" i="419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D18" i="419"/>
  <c r="C23" i="419"/>
  <c r="D23" i="419"/>
  <c r="E23" i="419"/>
  <c r="E18" i="419"/>
  <c r="C22" i="419"/>
  <c r="D22" i="419"/>
  <c r="E22" i="419"/>
  <c r="M3" i="418"/>
  <c r="B21" i="419" l="1"/>
  <c r="B22" i="419" l="1"/>
  <c r="A18" i="383"/>
  <c r="G3" i="429"/>
  <c r="F3" i="429"/>
  <c r="E3" i="429"/>
  <c r="D3" i="429"/>
  <c r="C3" i="429"/>
  <c r="B3" i="429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M3" i="220" l="1"/>
  <c r="L3" i="220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C18" i="414"/>
  <c r="D18" i="414"/>
  <c r="F13" i="339" l="1"/>
  <c r="E13" i="339"/>
  <c r="E15" i="339" s="1"/>
  <c r="H12" i="339"/>
  <c r="G12" i="339"/>
  <c r="A4" i="383"/>
  <c r="A21" i="383"/>
  <c r="A20" i="383"/>
  <c r="A19" i="383"/>
  <c r="A17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<sst xmlns="http://schemas.openxmlformats.org/spreadsheetml/2006/main" count="1160" uniqueCount="444">
  <si>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</si>
  <si>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</si>
  <si>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</si>
  <si>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</si>
  <si>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</si>
  <si>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</si>
  <si>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</si>
  <si>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</si>
  <si>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</si>
  <si>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</si>
  <si>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</si>
  <si>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</si>
  <si>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</si>
  <si>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</si>
  <si>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</si>
  <si>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</si>
  <si>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</si>
  <si>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</si>
  <si>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</si>
  <si>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</si>
  <si>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</si>
  <si>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</si>
  <si>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</si>
  <si>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</si>
  <si>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</si>
  <si>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</si>
  <si>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</si>
  <si>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</si>
  <si>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</si>
  <si>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</si>
  <si>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</si>
  <si>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</si>
  <si>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</si>
  <si>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</si>
  <si>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</si>
  <si>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</si>
  <si>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</si>
  <si>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</si>
  <si>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</si>
  <si>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</si>
  <si>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</si>
  <si>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</si>
  <si>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</si>
  <si>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</si>
  <si>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</si>
  <si>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</si>
  <si>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</si>
  <si>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</si>
  <si>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</si>
  <si>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</si>
  <si>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</si>
  <si>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</si>
  <si>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</si>
  <si>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</si>
  <si>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</si>
  <si>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</si>
  <si>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</si>
  <si>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</si>
  <si>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</si>
  <si>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</si>
  <si>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</si>
  <si>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</si>
  <si>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</si>
  <si>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</si>
  <si>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</si>
  <si>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</si>
  <si>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</si>
  <si>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</si>
  <si>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</si>
  <si>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</si>
  <si>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</si>
  <si>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</si>
  <si>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</si>
  <si>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</si>
  <si>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</si>
  <si>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</si>
  <si>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</si>
  <si>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</si>
  <si>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</si>
  <si>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</si>
  <si>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</si>
  <si>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</si>
  <si>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</si>
  <si>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</si>
  <si>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</si>
  <si>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</si>
  <si>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</si>
  <si>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</si>
  <si>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</si>
  <si>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</si>
  <si>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</si>
  <si>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</si>
  <si>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</si>
  <si>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</si>
  <si>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</si>
  <si>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</si>
  <si>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</si>
  <si>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</si>
  <si>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</si>
  <si>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</si>
  <si>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</si>
  <si>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</si>
  <si>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</si>
  <si>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</si>
  <si>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</si>
  <si>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</si>
  <si>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</si>
  <si>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</si>
  <si>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</si>
  <si>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</si>
  <si>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</si>
  <si>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</si>
  <si>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</si>
  <si>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</si>
  <si>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</si>
  <si>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</si>
  <si>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</si>
  <si>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</si>
  <si>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</si>
  <si>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</si>
  <si>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</si>
  <si>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</si>
  <si>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</si>
  <si>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</si>
  <si>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</si>
  <si>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</si>
  <si>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</si>
  <si>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</si>
  <si>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</si>
  <si>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</si>
  <si>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</si>
  <si>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</si>
  <si>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</si>
  <si>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</si>
  <si>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</si>
  <si>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</si>
  <si>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</si>
  <si>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</si>
  <si>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</si>
  <si>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</si>
  <si>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</si>
  <si>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</si>
  <si>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</si>
  <si>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</si>
  <si>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</si>
  <si>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</si>
  <si>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</si>
  <si>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</si>
  <si>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</si>
  <si>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</si>
  <si>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</si>
  <si>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</si>
  <si>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</si>
  <si>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</si>
  <si>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</si>
  <si>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</si>
  <si>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</si>
  <si>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</si>
  <si>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</si>
  <si>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</si>
  <si>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</si>
  <si>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</si>
  <si>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</si>
  <si>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</si>
  <si>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</si>
  <si>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</si>
  <si>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</si>
  <si>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</si>
  <si>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</si>
  <si>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psychologové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</si>
  <si>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</si>
  <si>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</si>
  <si>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</si>
  <si>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</si>
  <si>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</si>
  <si>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</si>
  <si>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</si>
  <si>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</si>
  <si>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</si>
  <si>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</si>
  <si>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</si>
  <si>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</si>
  <si>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</si>
  <si>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</si>
  <si>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</si>
  <si>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</si>
  <si>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</si>
  <si>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</si>
  <si>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</si>
  <si>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</si>
  <si>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</si>
  <si>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</si>
  <si>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</si>
  <si>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</si>
  <si>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</si>
  <si>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</si>
  <si>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</si>
  <si>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</si>
  <si>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</si>
  <si>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</si>
  <si>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</si>
  <si>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</si>
  <si>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</si>
  <si>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</si>
  <si>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</si>
  <si>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</si>
  <si>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</si>
  <si>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</si>
  <si>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</si>
  <si>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</si>
  <si>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</si>
  <si>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</si>
  <si>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</si>
  <si>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</si>
  <si>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</si>
  <si>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</si>
  <si>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</si>
  <si>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</si>
  <si>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</si>
  <si>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</si>
  <si>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</si>
  <si>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</si>
  <si>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</si>
  <si>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</si>
  <si>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</si>
  <si>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</si>
  <si>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</si>
  <si>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</si>
  <si>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</si>
  <si>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</si>
  <si>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--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</si>
  <si>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</si>
  <si>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</si>
  <si>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</si>
  <si>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</si>
  <si>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</si>
  <si>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</si>
  <si>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</si>
  <si>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</si>
  <si>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</si>
  <si>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</si>
  <si>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</si>
  <si>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</si>
  <si>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</si>
  <si>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</si>
  <si>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</si>
  <si>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</si>
  <si>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</si>
  <si>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</si>
  <si>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</si>
  <si>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</si>
  <si>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</si>
  <si>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</si>
  <si>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</si>
  <si>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</si>
  <si>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</si>
  <si>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</si>
  <si>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</si>
  <si>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</si>
  <si>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</si>
  <si>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</si>
  <si>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</si>
  <si>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</si>
  <si>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</si>
  <si>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</si>
  <si>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</si>
  <si>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</si>
  <si>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</si>
  <si>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</si>
  <si>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</si>
  <si>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</si>
  <si>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</si>
  <si>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</si>
  <si>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</si>
  <si>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</si>
  <si>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</si>
  <si>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</si>
  <si>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</si>
  <si>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</si>
  <si>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</si>
  <si>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</si>
  <si>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</si>
  <si>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</si>
  <si>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</si>
  <si>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</si>
  <si>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</si>
  <si>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</si>
  <si>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</si>
  <si>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</si>
  <si>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</si>
  <si>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</si>
  <si>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</si>
  <si>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</si>
  <si>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</si>
  <si>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</si>
  <si>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</si>
  <si>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</si>
  <si>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</si>
  <si>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</si>
  <si>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</si>
  <si>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</si>
  <si>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</si>
  <si>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</si>
  <si>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</si>
  <si>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</si>
  <si>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</si>
  <si>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</si>
  <si>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</si>
  <si>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</si>
  <si>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</si>
  <si>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</si>
  <si>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</si>
  <si>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</si>
  <si>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</si>
  <si>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</si>
  <si>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</si>
  <si>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</si>
  <si>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</si>
  <si>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</si>
  <si>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</si>
  <si>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</si>
  <si>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</si>
  <si>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50113016</t>
  </si>
  <si>
    <t>O</t>
  </si>
  <si>
    <t>127283</t>
  </si>
  <si>
    <t>27283</t>
  </si>
  <si>
    <t>REMICADE 100 MG</t>
  </si>
  <si>
    <t>INF PLV SOL 1X100MG</t>
  </si>
  <si>
    <t>27918</t>
  </si>
  <si>
    <t>HUMIRA 40 MG</t>
  </si>
  <si>
    <t>INJ SOL 2X0.8ML/40MG PEN</t>
  </si>
  <si>
    <t>OKPSY: ambulance - odborná poradna</t>
  </si>
  <si>
    <t>Lékárna - centrové léky</t>
  </si>
  <si>
    <t>50115050     obvazový materiál (Z502)</t>
  </si>
  <si>
    <t>50115060     ZPr - ostatní (Z503)</t>
  </si>
  <si>
    <t>ON Data</t>
  </si>
  <si>
    <t>901 - Pracoviště klinické psychologie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</si>
  <si>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</si>
  <si>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</si>
  <si>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</si>
  <si>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</si>
  <si>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Dařílková Naděžda</t>
  </si>
  <si>
    <t>Dlabačová Marie</t>
  </si>
  <si>
    <t>Halířová Monika</t>
  </si>
  <si>
    <t>Hradilová Michaela</t>
  </si>
  <si>
    <t>Hubáčková Lia</t>
  </si>
  <si>
    <t>Kasalová Petra</t>
  </si>
  <si>
    <t>Kolářová Jana</t>
  </si>
  <si>
    <t>Kreiselová Silvie</t>
  </si>
  <si>
    <t>Kubíček Zdenek</t>
  </si>
  <si>
    <t>Machová Karolína</t>
  </si>
  <si>
    <t>Otipková Denisa</t>
  </si>
  <si>
    <t>Škrobánková Alexandra</t>
  </si>
  <si>
    <t>Šmídová Magdaléna</t>
  </si>
  <si>
    <t>Štecková Tereza</t>
  </si>
  <si>
    <t>Tenglerová Petra</t>
  </si>
  <si>
    <t>Večerková Markéta</t>
  </si>
  <si>
    <t>Zdravotní výkony vykázané na pracovišti v rámci ambulantní péče dle lékařů *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</si>
  <si>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</si>
  <si>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</si>
  <si>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</si>
  <si>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</si>
  <si>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</si>
  <si>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</si>
  <si>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</si>
  <si>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</si>
  <si>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</si>
  <si>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</si>
  <si>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</si>
  <si>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</si>
  <si>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</si>
  <si>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</si>
  <si>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</si>
  <si>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</si>
  <si>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</si>
  <si>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</si>
  <si>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</si>
  <si>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</si>
  <si>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</si>
  <si>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</si>
  <si>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</si>
  <si>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</si>
  <si>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</si>
  <si>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</si>
  <si>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</si>
  <si>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</si>
  <si>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</si>
  <si>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</si>
  <si>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</si>
  <si>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</si>
  <si>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</si>
  <si>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</si>
  <si>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</si>
  <si>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</si>
  <si>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</si>
  <si>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</si>
  <si>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</si>
  <si>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</si>
  <si>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</si>
  <si>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</si>
  <si>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</si>
  <si>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</si>
  <si>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</si>
  <si>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</si>
  <si>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</si>
  <si>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</si>
  <si>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</si>
  <si>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</si>
  <si>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</si>
  <si>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</si>
  <si>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</si>
  <si>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</si>
  <si>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</si>
  <si>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</si>
  <si>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</si>
  <si>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</si>
  <si>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</si>
  <si>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</si>
  <si>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</si>
  <si>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</si>
  <si>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</si>
  <si>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</si>
  <si>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</si>
  <si>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</si>
  <si>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</si>
  <si>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</si>
  <si>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</si>
  <si>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</si>
  <si>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</si>
  <si>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</si>
  <si>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</si>
  <si>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</si>
  <si>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</si>
  <si>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</si>
  <si>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37125</t>
  </si>
  <si>
    <t>EMERGENTNÍ PSYCHOTERAPIE Á 60 MINUT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</si>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</sst>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1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4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4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50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50" fillId="4" borderId="4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3" fillId="8" borderId="59" xfId="0" applyNumberFormat="1" applyFont="1" applyFill="1" applyBorder="1"/>
    <xf numFmtId="3" fontId="53" fillId="8" borderId="58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3" xfId="0" applyFont="1" applyFill="1" applyBorder="1" applyAlignment="1">
      <alignment horizontal="center" vertical="center"/>
    </xf>
    <xf numFmtId="0" fontId="55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78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78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3" xfId="0" applyFont="1" applyBorder="1"/>
    <xf numFmtId="3" fontId="32" fillId="0" borderId="83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2" xfId="0" applyNumberFormat="1" applyFont="1" applyFill="1" applyBorder="1" applyAlignment="1">
      <alignment horizontal="center" vertical="center"/>
    </xf>
    <xf numFmtId="3" fontId="55" fillId="2" borderId="80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3" xfId="0" applyNumberFormat="1" applyFont="1" applyBorder="1"/>
    <xf numFmtId="173" fontId="39" fillId="0" borderId="79" xfId="0" applyNumberFormat="1" applyFont="1" applyBorder="1"/>
    <xf numFmtId="173" fontId="32" fillId="0" borderId="66" xfId="0" applyNumberFormat="1" applyFont="1" applyBorder="1"/>
    <xf numFmtId="173" fontId="39" fillId="2" borderId="81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9" fillId="0" borderId="69" xfId="0" applyNumberFormat="1" applyFont="1" applyBorder="1"/>
    <xf numFmtId="173" fontId="32" fillId="0" borderId="63" xfId="0" applyNumberFormat="1" applyFont="1" applyBorder="1"/>
    <xf numFmtId="174" fontId="39" fillId="2" borderId="69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3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89" xfId="74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3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1" xfId="0" applyNumberFormat="1" applyFont="1" applyBorder="1"/>
    <xf numFmtId="9" fontId="32" fillId="0" borderId="73" xfId="0" applyNumberFormat="1" applyFont="1" applyBorder="1"/>
    <xf numFmtId="0" fontId="40" fillId="0" borderId="83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9" xfId="80" applyFont="1" applyFill="1" applyBorder="1" applyAlignment="1">
      <alignment horizontal="center"/>
    </xf>
    <xf numFmtId="0" fontId="31" fillId="2" borderId="87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1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4" fillId="2" borderId="42" xfId="0" applyNumberFormat="1" applyFont="1" applyFill="1" applyBorder="1" applyAlignment="1">
      <alignment horizontal="center" vertical="top"/>
    </xf>
    <xf numFmtId="0" fontId="31" fillId="2" borderId="60" xfId="0" applyNumberFormat="1" applyFont="1" applyFill="1" applyBorder="1" applyAlignment="1">
      <alignment horizontal="center" vertical="top"/>
    </xf>
    <xf numFmtId="0" fontId="31" fillId="2" borderId="60" xfId="0" applyFont="1" applyFill="1" applyBorder="1" applyAlignment="1">
      <alignment horizontal="center" vertical="top" wrapText="1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4" fillId="2" borderId="42" xfId="0" applyNumberFormat="1" applyFont="1" applyFill="1" applyBorder="1" applyAlignment="1">
      <alignment horizontal="center" vertical="top"/>
    </xf>
    <xf numFmtId="3" fontId="33" fillId="9" borderId="92" xfId="0" applyNumberFormat="1" applyFont="1" applyFill="1" applyBorder="1" applyAlignment="1">
      <alignment horizontal="right" vertical="top"/>
    </xf>
    <xf numFmtId="3" fontId="33" fillId="9" borderId="93" xfId="0" applyNumberFormat="1" applyFont="1" applyFill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7" fillId="10" borderId="91" xfId="0" applyFont="1" applyFill="1" applyBorder="1" applyAlignment="1">
      <alignment vertical="top"/>
    </xf>
    <xf numFmtId="0" fontId="37" fillId="10" borderId="91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4"/>
    </xf>
    <xf numFmtId="0" fontId="38" fillId="10" borderId="96" xfId="0" applyFont="1" applyFill="1" applyBorder="1" applyAlignment="1">
      <alignment vertical="top" indent="6"/>
    </xf>
    <xf numFmtId="0" fontId="37" fillId="10" borderId="91" xfId="0" applyFont="1" applyFill="1" applyBorder="1" applyAlignment="1">
      <alignment vertical="top" indent="8"/>
    </xf>
    <xf numFmtId="0" fontId="38" fillId="10" borderId="96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6"/>
    </xf>
    <xf numFmtId="0" fontId="38" fillId="10" borderId="96" xfId="0" applyFont="1" applyFill="1" applyBorder="1" applyAlignment="1">
      <alignment vertical="top" indent="4"/>
    </xf>
    <xf numFmtId="0" fontId="32" fillId="10" borderId="91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5" xfId="53" applyNumberFormat="1" applyFont="1" applyFill="1" applyBorder="1" applyAlignment="1">
      <alignment horizontal="left"/>
    </xf>
    <xf numFmtId="164" fontId="31" fillId="2" borderId="106" xfId="53" applyNumberFormat="1" applyFont="1" applyFill="1" applyBorder="1" applyAlignment="1">
      <alignment horizontal="left"/>
    </xf>
    <xf numFmtId="164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0" fillId="0" borderId="107" xfId="0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109" xfId="0" applyBorder="1" applyAlignment="1">
      <alignment horizontal="right"/>
    </xf>
    <xf numFmtId="0" fontId="0" fillId="0" borderId="110" xfId="0" applyBorder="1" applyAlignment="1">
      <alignment horizontal="right"/>
    </xf>
    <xf numFmtId="0" fontId="0" fillId="0" borderId="109" xfId="0" applyBorder="1" applyAlignment="1">
      <alignment horizontal="right" wrapText="1"/>
    </xf>
    <xf numFmtId="0" fontId="0" fillId="0" borderId="110" xfId="0" applyBorder="1" applyAlignment="1">
      <alignment horizontal="right" wrapText="1"/>
    </xf>
    <xf numFmtId="0" fontId="0" fillId="0" borderId="111" xfId="0" applyBorder="1" applyAlignment="1">
      <alignment horizontal="right"/>
    </xf>
    <xf numFmtId="0" fontId="0" fillId="0" borderId="112" xfId="0" applyBorder="1" applyAlignment="1">
      <alignment horizontal="right"/>
    </xf>
    <xf numFmtId="0" fontId="39" fillId="2" borderId="86" xfId="0" applyFont="1" applyFill="1" applyBorder="1" applyAlignment="1">
      <alignment horizontal="center" vertical="center"/>
    </xf>
    <xf numFmtId="0" fontId="55" fillId="2" borderId="85" xfId="0" applyFont="1" applyFill="1" applyBorder="1" applyAlignment="1">
      <alignment horizontal="center" vertical="center" wrapText="1"/>
    </xf>
    <xf numFmtId="174" fontId="32" fillId="2" borderId="86" xfId="0" applyNumberFormat="1" applyFont="1" applyFill="1" applyBorder="1" applyAlignment="1"/>
    <xf numFmtId="174" fontId="32" fillId="0" borderId="84" xfId="0" applyNumberFormat="1" applyFont="1" applyBorder="1"/>
    <xf numFmtId="174" fontId="32" fillId="0" borderId="114" xfId="0" applyNumberFormat="1" applyFont="1" applyBorder="1"/>
    <xf numFmtId="173" fontId="39" fillId="4" borderId="86" xfId="0" applyNumberFormat="1" applyFont="1" applyFill="1" applyBorder="1" applyAlignment="1"/>
    <xf numFmtId="173" fontId="32" fillId="0" borderId="84" xfId="0" applyNumberFormat="1" applyFont="1" applyBorder="1"/>
    <xf numFmtId="173" fontId="32" fillId="0" borderId="85" xfId="0" applyNumberFormat="1" applyFont="1" applyBorder="1"/>
    <xf numFmtId="173" fontId="39" fillId="2" borderId="86" xfId="0" applyNumberFormat="1" applyFont="1" applyFill="1" applyBorder="1" applyAlignment="1"/>
    <xf numFmtId="173" fontId="32" fillId="0" borderId="114" xfId="0" applyNumberFormat="1" applyFont="1" applyBorder="1"/>
    <xf numFmtId="173" fontId="32" fillId="0" borderId="86" xfId="0" applyNumberFormat="1" applyFont="1" applyBorder="1"/>
    <xf numFmtId="173" fontId="39" fillId="4" borderId="115" xfId="0" applyNumberFormat="1" applyFont="1" applyFill="1" applyBorder="1" applyAlignment="1">
      <alignment horizontal="center"/>
    </xf>
    <xf numFmtId="173" fontId="32" fillId="0" borderId="116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0" fontId="0" fillId="0" borderId="113" xfId="0" applyBorder="1"/>
    <xf numFmtId="173" fontId="39" fillId="4" borderId="68" xfId="0" applyNumberFormat="1" applyFont="1" applyFill="1" applyBorder="1" applyAlignment="1">
      <alignment horizontal="center"/>
    </xf>
    <xf numFmtId="173" fontId="32" fillId="0" borderId="70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 wrapText="1"/>
    </xf>
    <xf numFmtId="175" fontId="32" fillId="0" borderId="70" xfId="0" applyNumberFormat="1" applyFont="1" applyBorder="1" applyAlignment="1">
      <alignment horizontal="right"/>
    </xf>
    <xf numFmtId="173" fontId="32" fillId="0" borderId="78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3" xfId="0" applyNumberFormat="1" applyFont="1" applyFill="1" applyBorder="1"/>
    <xf numFmtId="169" fontId="32" fillId="0" borderId="64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63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9" fontId="32" fillId="0" borderId="66" xfId="0" applyNumberFormat="1" applyFont="1" applyFill="1" applyBorder="1"/>
    <xf numFmtId="9" fontId="32" fillId="0" borderId="64" xfId="0" applyNumberFormat="1" applyFont="1" applyFill="1" applyBorder="1"/>
    <xf numFmtId="9" fontId="32" fillId="0" borderId="74" xfId="0" applyNumberFormat="1" applyFont="1" applyFill="1" applyBorder="1"/>
    <xf numFmtId="9" fontId="32" fillId="0" borderId="67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0.73907345627480969</c:v>
                </c:pt>
                <c:pt idx="1">
                  <c:v>0.70259883623489106</c:v>
                </c:pt>
                <c:pt idx="2">
                  <c:v>0.71887611503542836</c:v>
                </c:pt>
                <c:pt idx="3">
                  <c:v>0.70522493379281248</c:v>
                </c:pt>
                <c:pt idx="4">
                  <c:v>0.70070780815557465</c:v>
                </c:pt>
                <c:pt idx="5">
                  <c:v>0.69056886117016048</c:v>
                </c:pt>
                <c:pt idx="6">
                  <c:v>0.62419152516998699</c:v>
                </c:pt>
                <c:pt idx="7">
                  <c:v>0.60435095179585663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92132416"/>
        <c:axId val="-14921340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0.57150628226348177</c:v>
                </c:pt>
                <c:pt idx="1">
                  <c:v>0.57150628226348177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92133504"/>
        <c:axId val="-1492136768"/>
      </c:scatterChart>
      <c:catAx>
        <c:axId val="-149213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9213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92134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92132416"/>
        <c:crosses val="autoZero"/>
        <c:crossBetween val="between"/>
      </c:valAx>
      <c:valAx>
        <c:axId val="-14921335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92136768"/>
        <c:crosses val="max"/>
        <c:crossBetween val="midCat"/>
      </c:valAx>
      <c:valAx>
        <c:axId val="-14921367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4921335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68" t="s">
        <v>94</v>
      </c>
      <c r="B1" s="268"/>
    </row>
    <row r="2" spans="1:3" ht="14.4" customHeight="1" thickBot="1" x14ac:dyDescent="0.35">
      <c r="A2" s="200" t="s">
        <v>203</v>
      </c>
      <c r="B2" s="41"/>
    </row>
    <row r="3" spans="1:3" ht="14.4" customHeight="1" thickBot="1" x14ac:dyDescent="0.35">
      <c r="A3" s="264" t="s">
        <v>116</v>
      </c>
      <c r="B3" s="265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205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66" t="s">
        <v>95</v>
      </c>
      <c r="B10" s="265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100</v>
      </c>
    </row>
    <row r="12" spans="1:3" ht="14.4" customHeight="1" x14ac:dyDescent="0.3">
      <c r="A12" s="119" t="str">
        <f t="shared" ref="A12:A14" si="2">HYPERLINK("#'"&amp;C12&amp;"'!A1",C12)</f>
        <v>LŽ Detail</v>
      </c>
      <c r="B12" s="66" t="s">
        <v>130</v>
      </c>
      <c r="C12" s="42" t="s">
        <v>101</v>
      </c>
    </row>
    <row r="13" spans="1:3" ht="14.4" customHeight="1" x14ac:dyDescent="0.3">
      <c r="A13" s="121" t="str">
        <f t="shared" ref="A13" si="3">HYPERLINK("#'"&amp;C13&amp;"'!A1",C13)</f>
        <v>Materiál Žádanky</v>
      </c>
      <c r="B13" s="66" t="s">
        <v>115</v>
      </c>
      <c r="C13" s="42" t="s">
        <v>102</v>
      </c>
    </row>
    <row r="14" spans="1:3" ht="14.4" customHeight="1" thickBot="1" x14ac:dyDescent="0.35">
      <c r="A14" s="121" t="str">
        <f t="shared" si="2"/>
        <v>Osobní náklady</v>
      </c>
      <c r="B14" s="66" t="s">
        <v>92</v>
      </c>
      <c r="C14" s="42" t="s">
        <v>103</v>
      </c>
    </row>
    <row r="15" spans="1:3" ht="14.4" customHeight="1" thickBot="1" x14ac:dyDescent="0.35">
      <c r="A15" s="69"/>
      <c r="B15" s="69"/>
    </row>
    <row r="16" spans="1:3" ht="14.4" customHeight="1" thickBot="1" x14ac:dyDescent="0.35">
      <c r="A16" s="267" t="s">
        <v>96</v>
      </c>
      <c r="B16" s="265"/>
    </row>
    <row r="17" spans="1:3" ht="14.4" customHeight="1" x14ac:dyDescent="0.3">
      <c r="A17" s="122" t="str">
        <f t="shared" ref="A17:A21" si="4">HYPERLINK("#'"&amp;C17&amp;"'!A1",C17)</f>
        <v>ZV Vykáz.-A</v>
      </c>
      <c r="B17" s="65" t="s">
        <v>337</v>
      </c>
      <c r="C17" s="42" t="s">
        <v>106</v>
      </c>
    </row>
    <row r="18" spans="1:3" ht="14.4" customHeight="1" x14ac:dyDescent="0.3">
      <c r="A18" s="119" t="str">
        <f t="shared" ref="A18" si="5">HYPERLINK("#'"&amp;C18&amp;"'!A1",C18)</f>
        <v>ZV Vykáz.-A Lékaři</v>
      </c>
      <c r="B18" s="66" t="s">
        <v>357</v>
      </c>
      <c r="C18" s="42" t="s">
        <v>173</v>
      </c>
    </row>
    <row r="19" spans="1:3" ht="14.4" customHeight="1" x14ac:dyDescent="0.3">
      <c r="A19" s="119" t="str">
        <f t="shared" si="4"/>
        <v>ZV Vykáz.-A Detail</v>
      </c>
      <c r="B19" s="66" t="s">
        <v>388</v>
      </c>
      <c r="C19" s="42" t="s">
        <v>107</v>
      </c>
    </row>
    <row r="20" spans="1:3" ht="14.4" customHeight="1" x14ac:dyDescent="0.3">
      <c r="A20" s="119" t="str">
        <f t="shared" si="4"/>
        <v>ZV Vykáz.-H</v>
      </c>
      <c r="B20" s="66" t="s">
        <v>110</v>
      </c>
      <c r="C20" s="42" t="s">
        <v>108</v>
      </c>
    </row>
    <row r="21" spans="1:3" ht="14.4" customHeight="1" x14ac:dyDescent="0.3">
      <c r="A21" s="119" t="str">
        <f t="shared" si="4"/>
        <v>ZV Vykáz.-H Detail</v>
      </c>
      <c r="B21" s="66" t="s">
        <v>443</v>
      </c>
      <c r="C21" s="42" t="s">
        <v>109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7" width="13.109375" customWidth="1"/>
  </cols>
  <sheetData>
    <row r="1" spans="1:8" ht="18.600000000000001" thickBot="1" x14ac:dyDescent="0.4">
      <c r="A1" s="307" t="s">
        <v>92</v>
      </c>
      <c r="B1" s="299"/>
      <c r="C1" s="299"/>
      <c r="D1" s="299"/>
      <c r="E1" s="299"/>
      <c r="F1" s="299"/>
      <c r="G1" s="299"/>
    </row>
    <row r="2" spans="1:8" ht="15" thickBot="1" x14ac:dyDescent="0.35">
      <c r="A2" s="200" t="s">
        <v>203</v>
      </c>
      <c r="B2" s="201"/>
      <c r="C2" s="201"/>
      <c r="D2" s="201"/>
      <c r="E2" s="201"/>
    </row>
    <row r="3" spans="1:8" x14ac:dyDescent="0.3">
      <c r="A3" s="217" t="s">
        <v>161</v>
      </c>
      <c r="B3" s="305" t="s">
        <v>145</v>
      </c>
      <c r="C3" s="220">
        <v>302</v>
      </c>
      <c r="D3" s="220">
        <v>521</v>
      </c>
      <c r="E3" s="220">
        <v>522</v>
      </c>
      <c r="F3" s="202">
        <v>743</v>
      </c>
      <c r="G3" s="387">
        <v>930</v>
      </c>
      <c r="H3" s="402"/>
    </row>
    <row r="4" spans="1:8" ht="36.6" outlineLevel="1" thickBot="1" x14ac:dyDescent="0.35">
      <c r="A4" s="218">
        <v>2016</v>
      </c>
      <c r="B4" s="306"/>
      <c r="C4" s="221" t="s">
        <v>176</v>
      </c>
      <c r="D4" s="221" t="s">
        <v>177</v>
      </c>
      <c r="E4" s="221" t="s">
        <v>178</v>
      </c>
      <c r="F4" s="203" t="s">
        <v>169</v>
      </c>
      <c r="G4" s="388" t="s">
        <v>163</v>
      </c>
      <c r="H4" s="402"/>
    </row>
    <row r="5" spans="1:8" x14ac:dyDescent="0.3">
      <c r="A5" s="204" t="s">
        <v>146</v>
      </c>
      <c r="B5" s="234"/>
      <c r="C5" s="235"/>
      <c r="D5" s="235"/>
      <c r="E5" s="235"/>
      <c r="F5" s="235"/>
      <c r="G5" s="389"/>
      <c r="H5" s="402"/>
    </row>
    <row r="6" spans="1:8" ht="15" collapsed="1" thickBot="1" x14ac:dyDescent="0.35">
      <c r="A6" s="205" t="s">
        <v>59</v>
      </c>
      <c r="B6" s="236">
        <f xml:space="preserve">
TRUNC(IF($A$4&lt;=12,SUMIFS('ON Data'!F:F,'ON Data'!$D:$D,$A$4,'ON Data'!$E:$E,1),SUMIFS('ON Data'!F:F,'ON Data'!$E:$E,1)/'ON Data'!$D$3),1)</f>
        <v>13.6</v>
      </c>
      <c r="C6" s="237">
        <f xml:space="preserve">
TRUNC(IF($A$4&lt;=12,SUMIFS('ON Data'!O:O,'ON Data'!$D:$D,$A$4,'ON Data'!$E:$E,1),SUMIFS('ON Data'!O:O,'ON Data'!$E:$E,1)/'ON Data'!$D$3),1)</f>
        <v>0</v>
      </c>
      <c r="D6" s="237">
        <f xml:space="preserve">
TRUNC(IF($A$4&lt;=12,SUMIFS('ON Data'!AE:AE,'ON Data'!$D:$D,$A$4,'ON Data'!$E:$E,1),SUMIFS('ON Data'!AE:AE,'ON Data'!$E:$E,1)/'ON Data'!$D$3),1)</f>
        <v>9</v>
      </c>
      <c r="E6" s="237">
        <f xml:space="preserve">
TRUNC(IF($A$4&lt;=12,SUMIFS('ON Data'!AF:AF,'ON Data'!$D:$D,$A$4,'ON Data'!$E:$E,1),SUMIFS('ON Data'!AF:AF,'ON Data'!$E:$E,1)/'ON Data'!$D$3),1)</f>
        <v>1</v>
      </c>
      <c r="F6" s="237">
        <f xml:space="preserve">
TRUNC(IF($A$4&lt;=12,SUMIFS('ON Data'!AS:AS,'ON Data'!$D:$D,$A$4,'ON Data'!$E:$E,1),SUMIFS('ON Data'!AS:AS,'ON Data'!$E:$E,1)/'ON Data'!$D$3),1)</f>
        <v>2.6</v>
      </c>
      <c r="G6" s="390">
        <f xml:space="preserve">
TRUNC(IF($A$4&lt;=12,SUMIFS('ON Data'!AW:AW,'ON Data'!$D:$D,$A$4,'ON Data'!$E:$E,1),SUMIFS('ON Data'!AW:AW,'ON Data'!$E:$E,1)/'ON Data'!$D$3),1)</f>
        <v>1</v>
      </c>
      <c r="H6" s="402"/>
    </row>
    <row r="7" spans="1:8" ht="15" hidden="1" outlineLevel="1" thickBot="1" x14ac:dyDescent="0.35">
      <c r="A7" s="205" t="s">
        <v>93</v>
      </c>
      <c r="B7" s="236"/>
      <c r="C7" s="237"/>
      <c r="D7" s="237"/>
      <c r="E7" s="237"/>
      <c r="F7" s="237"/>
      <c r="G7" s="390"/>
      <c r="H7" s="402"/>
    </row>
    <row r="8" spans="1:8" ht="15" hidden="1" outlineLevel="1" thickBot="1" x14ac:dyDescent="0.35">
      <c r="A8" s="205" t="s">
        <v>61</v>
      </c>
      <c r="B8" s="236"/>
      <c r="C8" s="237"/>
      <c r="D8" s="237"/>
      <c r="E8" s="237"/>
      <c r="F8" s="237"/>
      <c r="G8" s="390"/>
      <c r="H8" s="402"/>
    </row>
    <row r="9" spans="1:8" ht="15" hidden="1" outlineLevel="1" thickBot="1" x14ac:dyDescent="0.35">
      <c r="A9" s="206" t="s">
        <v>54</v>
      </c>
      <c r="B9" s="238"/>
      <c r="C9" s="239"/>
      <c r="D9" s="239"/>
      <c r="E9" s="239"/>
      <c r="F9" s="239"/>
      <c r="G9" s="391"/>
      <c r="H9" s="402"/>
    </row>
    <row r="10" spans="1:8" x14ac:dyDescent="0.3">
      <c r="A10" s="207" t="s">
        <v>147</v>
      </c>
      <c r="B10" s="222"/>
      <c r="C10" s="223"/>
      <c r="D10" s="223"/>
      <c r="E10" s="223"/>
      <c r="F10" s="223"/>
      <c r="G10" s="392"/>
      <c r="H10" s="402"/>
    </row>
    <row r="11" spans="1:8" x14ac:dyDescent="0.3">
      <c r="A11" s="208" t="s">
        <v>148</v>
      </c>
      <c r="B11" s="224">
        <f xml:space="preserve">
IF($A$4&lt;=12,SUMIFS('ON Data'!F:F,'ON Data'!$D:$D,$A$4,'ON Data'!$E:$E,2),SUMIFS('ON Data'!F:F,'ON Data'!$E:$E,2))</f>
        <v>15621</v>
      </c>
      <c r="C11" s="225">
        <f xml:space="preserve">
IF($A$4&lt;=12,SUMIFS('ON Data'!O:O,'ON Data'!$D:$D,$A$4,'ON Data'!$E:$E,2),SUMIFS('ON Data'!O:O,'ON Data'!$E:$E,2))</f>
        <v>0</v>
      </c>
      <c r="D11" s="225">
        <f xml:space="preserve">
IF($A$4&lt;=12,SUMIFS('ON Data'!AE:AE,'ON Data'!$D:$D,$A$4,'ON Data'!$E:$E,2),SUMIFS('ON Data'!AE:AE,'ON Data'!$E:$E,2))</f>
        <v>10013</v>
      </c>
      <c r="E11" s="225">
        <f xml:space="preserve">
IF($A$4&lt;=12,SUMIFS('ON Data'!AF:AF,'ON Data'!$D:$D,$A$4,'ON Data'!$E:$E,2),SUMIFS('ON Data'!AF:AF,'ON Data'!$E:$E,2))</f>
        <v>1236</v>
      </c>
      <c r="F11" s="225">
        <f xml:space="preserve">
IF($A$4&lt;=12,SUMIFS('ON Data'!AS:AS,'ON Data'!$D:$D,$A$4,'ON Data'!$E:$E,2),SUMIFS('ON Data'!AS:AS,'ON Data'!$E:$E,2))</f>
        <v>3116</v>
      </c>
      <c r="G11" s="393">
        <f xml:space="preserve">
IF($A$4&lt;=12,SUMIFS('ON Data'!AW:AW,'ON Data'!$D:$D,$A$4,'ON Data'!$E:$E,2),SUMIFS('ON Data'!AW:AW,'ON Data'!$E:$E,2))</f>
        <v>1256</v>
      </c>
      <c r="H11" s="402"/>
    </row>
    <row r="12" spans="1:8" x14ac:dyDescent="0.3">
      <c r="A12" s="208" t="s">
        <v>149</v>
      </c>
      <c r="B12" s="224">
        <f xml:space="preserve">
IF($A$4&lt;=12,SUMIFS('ON Data'!F:F,'ON Data'!$D:$D,$A$4,'ON Data'!$E:$E,3),SUMIFS('ON Data'!F:F,'ON Data'!$E:$E,3))</f>
        <v>0</v>
      </c>
      <c r="C12" s="225">
        <f xml:space="preserve">
IF($A$4&lt;=12,SUMIFS('ON Data'!O:O,'ON Data'!$D:$D,$A$4,'ON Data'!$E:$E,3),SUMIFS('ON Data'!O:O,'ON Data'!$E:$E,3))</f>
        <v>0</v>
      </c>
      <c r="D12" s="225">
        <f xml:space="preserve">
IF($A$4&lt;=12,SUMIFS('ON Data'!AE:AE,'ON Data'!$D:$D,$A$4,'ON Data'!$E:$E,3),SUMIFS('ON Data'!AE:AE,'ON Data'!$E:$E,3))</f>
        <v>0</v>
      </c>
      <c r="E12" s="225">
        <f xml:space="preserve">
IF($A$4&lt;=12,SUMIFS('ON Data'!AF:AF,'ON Data'!$D:$D,$A$4,'ON Data'!$E:$E,3),SUMIFS('ON Data'!AF:AF,'ON Data'!$E:$E,3))</f>
        <v>0</v>
      </c>
      <c r="F12" s="225">
        <f xml:space="preserve">
IF($A$4&lt;=12,SUMIFS('ON Data'!AS:AS,'ON Data'!$D:$D,$A$4,'ON Data'!$E:$E,3),SUMIFS('ON Data'!AS:AS,'ON Data'!$E:$E,3))</f>
        <v>0</v>
      </c>
      <c r="G12" s="393">
        <f xml:space="preserve">
IF($A$4&lt;=12,SUMIFS('ON Data'!AW:AW,'ON Data'!$D:$D,$A$4,'ON Data'!$E:$E,3),SUMIFS('ON Data'!AW:AW,'ON Data'!$E:$E,3))</f>
        <v>0</v>
      </c>
      <c r="H12" s="402"/>
    </row>
    <row r="13" spans="1:8" x14ac:dyDescent="0.3">
      <c r="A13" s="208" t="s">
        <v>156</v>
      </c>
      <c r="B13" s="224">
        <f xml:space="preserve">
IF($A$4&lt;=12,SUMIFS('ON Data'!F:F,'ON Data'!$D:$D,$A$4,'ON Data'!$E:$E,4),SUMIFS('ON Data'!F:F,'ON Data'!$E:$E,4))</f>
        <v>0</v>
      </c>
      <c r="C13" s="225">
        <f xml:space="preserve">
IF($A$4&lt;=12,SUMIFS('ON Data'!O:O,'ON Data'!$D:$D,$A$4,'ON Data'!$E:$E,4),SUMIFS('ON Data'!O:O,'ON Data'!$E:$E,4))</f>
        <v>0</v>
      </c>
      <c r="D13" s="225">
        <f xml:space="preserve">
IF($A$4&lt;=12,SUMIFS('ON Data'!AE:AE,'ON Data'!$D:$D,$A$4,'ON Data'!$E:$E,4),SUMIFS('ON Data'!AE:AE,'ON Data'!$E:$E,4))</f>
        <v>0</v>
      </c>
      <c r="E13" s="225">
        <f xml:space="preserve">
IF($A$4&lt;=12,SUMIFS('ON Data'!AF:AF,'ON Data'!$D:$D,$A$4,'ON Data'!$E:$E,4),SUMIFS('ON Data'!AF:AF,'ON Data'!$E:$E,4))</f>
        <v>0</v>
      </c>
      <c r="F13" s="225">
        <f xml:space="preserve">
IF($A$4&lt;=12,SUMIFS('ON Data'!AS:AS,'ON Data'!$D:$D,$A$4,'ON Data'!$E:$E,4),SUMIFS('ON Data'!AS:AS,'ON Data'!$E:$E,4))</f>
        <v>0</v>
      </c>
      <c r="G13" s="393">
        <f xml:space="preserve">
IF($A$4&lt;=12,SUMIFS('ON Data'!AW:AW,'ON Data'!$D:$D,$A$4,'ON Data'!$E:$E,4),SUMIFS('ON Data'!AW:AW,'ON Data'!$E:$E,4))</f>
        <v>0</v>
      </c>
      <c r="H13" s="402"/>
    </row>
    <row r="14" spans="1:8" ht="15" thickBot="1" x14ac:dyDescent="0.35">
      <c r="A14" s="209" t="s">
        <v>150</v>
      </c>
      <c r="B14" s="226">
        <f xml:space="preserve">
IF($A$4&lt;=12,SUMIFS('ON Data'!F:F,'ON Data'!$D:$D,$A$4,'ON Data'!$E:$E,5),SUMIFS('ON Data'!F:F,'ON Data'!$E:$E,5))</f>
        <v>0</v>
      </c>
      <c r="C14" s="227">
        <f xml:space="preserve">
IF($A$4&lt;=12,SUMIFS('ON Data'!O:O,'ON Data'!$D:$D,$A$4,'ON Data'!$E:$E,5),SUMIFS('ON Data'!O:O,'ON Data'!$E:$E,5))</f>
        <v>0</v>
      </c>
      <c r="D14" s="227">
        <f xml:space="preserve">
IF($A$4&lt;=12,SUMIFS('ON Data'!AE:AE,'ON Data'!$D:$D,$A$4,'ON Data'!$E:$E,5),SUMIFS('ON Data'!AE:AE,'ON Data'!$E:$E,5))</f>
        <v>0</v>
      </c>
      <c r="E14" s="227">
        <f xml:space="preserve">
IF($A$4&lt;=12,SUMIFS('ON Data'!AF:AF,'ON Data'!$D:$D,$A$4,'ON Data'!$E:$E,5),SUMIFS('ON Data'!AF:AF,'ON Data'!$E:$E,5))</f>
        <v>0</v>
      </c>
      <c r="F14" s="227">
        <f xml:space="preserve">
IF($A$4&lt;=12,SUMIFS('ON Data'!AS:AS,'ON Data'!$D:$D,$A$4,'ON Data'!$E:$E,5),SUMIFS('ON Data'!AS:AS,'ON Data'!$E:$E,5))</f>
        <v>0</v>
      </c>
      <c r="G14" s="394">
        <f xml:space="preserve">
IF($A$4&lt;=12,SUMIFS('ON Data'!AW:AW,'ON Data'!$D:$D,$A$4,'ON Data'!$E:$E,5),SUMIFS('ON Data'!AW:AW,'ON Data'!$E:$E,5))</f>
        <v>0</v>
      </c>
      <c r="H14" s="402"/>
    </row>
    <row r="15" spans="1:8" x14ac:dyDescent="0.3">
      <c r="A15" s="135" t="s">
        <v>160</v>
      </c>
      <c r="B15" s="228"/>
      <c r="C15" s="229"/>
      <c r="D15" s="229"/>
      <c r="E15" s="229"/>
      <c r="F15" s="229"/>
      <c r="G15" s="395"/>
      <c r="H15" s="402"/>
    </row>
    <row r="16" spans="1:8" x14ac:dyDescent="0.3">
      <c r="A16" s="210" t="s">
        <v>151</v>
      </c>
      <c r="B16" s="224">
        <f xml:space="preserve">
IF($A$4&lt;=12,SUMIFS('ON Data'!F:F,'ON Data'!$D:$D,$A$4,'ON Data'!$E:$E,7),SUMIFS('ON Data'!F:F,'ON Data'!$E:$E,7))</f>
        <v>0</v>
      </c>
      <c r="C16" s="225">
        <f xml:space="preserve">
IF($A$4&lt;=12,SUMIFS('ON Data'!O:O,'ON Data'!$D:$D,$A$4,'ON Data'!$E:$E,7),SUMIFS('ON Data'!O:O,'ON Data'!$E:$E,7))</f>
        <v>0</v>
      </c>
      <c r="D16" s="225">
        <f xml:space="preserve">
IF($A$4&lt;=12,SUMIFS('ON Data'!AE:AE,'ON Data'!$D:$D,$A$4,'ON Data'!$E:$E,7),SUMIFS('ON Data'!AE:AE,'ON Data'!$E:$E,7))</f>
        <v>0</v>
      </c>
      <c r="E16" s="225">
        <f xml:space="preserve">
IF($A$4&lt;=12,SUMIFS('ON Data'!AF:AF,'ON Data'!$D:$D,$A$4,'ON Data'!$E:$E,7),SUMIFS('ON Data'!AF:AF,'ON Data'!$E:$E,7))</f>
        <v>0</v>
      </c>
      <c r="F16" s="225">
        <f xml:space="preserve">
IF($A$4&lt;=12,SUMIFS('ON Data'!AS:AS,'ON Data'!$D:$D,$A$4,'ON Data'!$E:$E,7),SUMIFS('ON Data'!AS:AS,'ON Data'!$E:$E,7))</f>
        <v>0</v>
      </c>
      <c r="G16" s="393">
        <f xml:space="preserve">
IF($A$4&lt;=12,SUMIFS('ON Data'!AW:AW,'ON Data'!$D:$D,$A$4,'ON Data'!$E:$E,7),SUMIFS('ON Data'!AW:AW,'ON Data'!$E:$E,7))</f>
        <v>0</v>
      </c>
      <c r="H16" s="402"/>
    </row>
    <row r="17" spans="1:8" x14ac:dyDescent="0.3">
      <c r="A17" s="210" t="s">
        <v>152</v>
      </c>
      <c r="B17" s="224">
        <f xml:space="preserve">
IF($A$4&lt;=12,SUMIFS('ON Data'!F:F,'ON Data'!$D:$D,$A$4,'ON Data'!$E:$E,8),SUMIFS('ON Data'!F:F,'ON Data'!$E:$E,8))</f>
        <v>0</v>
      </c>
      <c r="C17" s="225">
        <f xml:space="preserve">
IF($A$4&lt;=12,SUMIFS('ON Data'!O:O,'ON Data'!$D:$D,$A$4,'ON Data'!$E:$E,8),SUMIFS('ON Data'!O:O,'ON Data'!$E:$E,8))</f>
        <v>0</v>
      </c>
      <c r="D17" s="225">
        <f xml:space="preserve">
IF($A$4&lt;=12,SUMIFS('ON Data'!AE:AE,'ON Data'!$D:$D,$A$4,'ON Data'!$E:$E,8),SUMIFS('ON Data'!AE:AE,'ON Data'!$E:$E,8))</f>
        <v>0</v>
      </c>
      <c r="E17" s="225">
        <f xml:space="preserve">
IF($A$4&lt;=12,SUMIFS('ON Data'!AF:AF,'ON Data'!$D:$D,$A$4,'ON Data'!$E:$E,8),SUMIFS('ON Data'!AF:AF,'ON Data'!$E:$E,8))</f>
        <v>0</v>
      </c>
      <c r="F17" s="225">
        <f xml:space="preserve">
IF($A$4&lt;=12,SUMIFS('ON Data'!AS:AS,'ON Data'!$D:$D,$A$4,'ON Data'!$E:$E,8),SUMIFS('ON Data'!AS:AS,'ON Data'!$E:$E,8))</f>
        <v>0</v>
      </c>
      <c r="G17" s="393">
        <f xml:space="preserve">
IF($A$4&lt;=12,SUMIFS('ON Data'!AW:AW,'ON Data'!$D:$D,$A$4,'ON Data'!$E:$E,8),SUMIFS('ON Data'!AW:AW,'ON Data'!$E:$E,8))</f>
        <v>0</v>
      </c>
      <c r="H17" s="402"/>
    </row>
    <row r="18" spans="1:8" x14ac:dyDescent="0.3">
      <c r="A18" s="210" t="s">
        <v>153</v>
      </c>
      <c r="B18" s="224">
        <f xml:space="preserve">
B19-B16-B17</f>
        <v>194625</v>
      </c>
      <c r="C18" s="225">
        <f t="shared" ref="C18:E18" si="0" xml:space="preserve">
C19-C16-C17</f>
        <v>0</v>
      </c>
      <c r="D18" s="225">
        <f t="shared" si="0"/>
        <v>124749</v>
      </c>
      <c r="E18" s="225">
        <f t="shared" si="0"/>
        <v>39882</v>
      </c>
      <c r="F18" s="225">
        <f t="shared" ref="F18:G18" si="1" xml:space="preserve">
F19-F16-F17</f>
        <v>23312</v>
      </c>
      <c r="G18" s="393">
        <f t="shared" si="1"/>
        <v>6682</v>
      </c>
      <c r="H18" s="402"/>
    </row>
    <row r="19" spans="1:8" ht="15" thickBot="1" x14ac:dyDescent="0.35">
      <c r="A19" s="211" t="s">
        <v>154</v>
      </c>
      <c r="B19" s="230">
        <f xml:space="preserve">
IF($A$4&lt;=12,SUMIFS('ON Data'!F:F,'ON Data'!$D:$D,$A$4,'ON Data'!$E:$E,9),SUMIFS('ON Data'!F:F,'ON Data'!$E:$E,9))</f>
        <v>194625</v>
      </c>
      <c r="C19" s="231">
        <f xml:space="preserve">
IF($A$4&lt;=12,SUMIFS('ON Data'!O:O,'ON Data'!$D:$D,$A$4,'ON Data'!$E:$E,9),SUMIFS('ON Data'!O:O,'ON Data'!$E:$E,9))</f>
        <v>0</v>
      </c>
      <c r="D19" s="231">
        <f xml:space="preserve">
IF($A$4&lt;=12,SUMIFS('ON Data'!AE:AE,'ON Data'!$D:$D,$A$4,'ON Data'!$E:$E,9),SUMIFS('ON Data'!AE:AE,'ON Data'!$E:$E,9))</f>
        <v>124749</v>
      </c>
      <c r="E19" s="231">
        <f xml:space="preserve">
IF($A$4&lt;=12,SUMIFS('ON Data'!AF:AF,'ON Data'!$D:$D,$A$4,'ON Data'!$E:$E,9),SUMIFS('ON Data'!AF:AF,'ON Data'!$E:$E,9))</f>
        <v>39882</v>
      </c>
      <c r="F19" s="231">
        <f xml:space="preserve">
IF($A$4&lt;=12,SUMIFS('ON Data'!AS:AS,'ON Data'!$D:$D,$A$4,'ON Data'!$E:$E,9),SUMIFS('ON Data'!AS:AS,'ON Data'!$E:$E,9))</f>
        <v>23312</v>
      </c>
      <c r="G19" s="396">
        <f xml:space="preserve">
IF($A$4&lt;=12,SUMIFS('ON Data'!AW:AW,'ON Data'!$D:$D,$A$4,'ON Data'!$E:$E,9),SUMIFS('ON Data'!AW:AW,'ON Data'!$E:$E,9))</f>
        <v>6682</v>
      </c>
      <c r="H19" s="402"/>
    </row>
    <row r="20" spans="1:8" ht="15" collapsed="1" thickBot="1" x14ac:dyDescent="0.35">
      <c r="A20" s="212" t="s">
        <v>59</v>
      </c>
      <c r="B20" s="232">
        <f xml:space="preserve">
IF($A$4&lt;=12,SUMIFS('ON Data'!F:F,'ON Data'!$D:$D,$A$4,'ON Data'!$E:$E,6),SUMIFS('ON Data'!F:F,'ON Data'!$E:$E,6))</f>
        <v>3674458</v>
      </c>
      <c r="C20" s="233">
        <f xml:space="preserve">
IF($A$4&lt;=12,SUMIFS('ON Data'!O:O,'ON Data'!$D:$D,$A$4,'ON Data'!$E:$E,6),SUMIFS('ON Data'!O:O,'ON Data'!$E:$E,6))</f>
        <v>0</v>
      </c>
      <c r="D20" s="233">
        <f xml:space="preserve">
IF($A$4&lt;=12,SUMIFS('ON Data'!AE:AE,'ON Data'!$D:$D,$A$4,'ON Data'!$E:$E,6),SUMIFS('ON Data'!AE:AE,'ON Data'!$E:$E,6))</f>
        <v>2408346</v>
      </c>
      <c r="E20" s="233">
        <f xml:space="preserve">
IF($A$4&lt;=12,SUMIFS('ON Data'!AF:AF,'ON Data'!$D:$D,$A$4,'ON Data'!$E:$E,6),SUMIFS('ON Data'!AF:AF,'ON Data'!$E:$E,6))</f>
        <v>475051</v>
      </c>
      <c r="F20" s="233">
        <f xml:space="preserve">
IF($A$4&lt;=12,SUMIFS('ON Data'!AS:AS,'ON Data'!$D:$D,$A$4,'ON Data'!$E:$E,6),SUMIFS('ON Data'!AS:AS,'ON Data'!$E:$E,6))</f>
        <v>615722</v>
      </c>
      <c r="G20" s="397">
        <f xml:space="preserve">
IF($A$4&lt;=12,SUMIFS('ON Data'!AW:AW,'ON Data'!$D:$D,$A$4,'ON Data'!$E:$E,6),SUMIFS('ON Data'!AW:AW,'ON Data'!$E:$E,6))</f>
        <v>175339</v>
      </c>
      <c r="H20" s="402"/>
    </row>
    <row r="21" spans="1:8" ht="15" hidden="1" outlineLevel="1" thickBot="1" x14ac:dyDescent="0.35">
      <c r="A21" s="205" t="s">
        <v>93</v>
      </c>
      <c r="B21" s="224">
        <f xml:space="preserve">
IF($A$4&lt;=12,SUMIFS('ON Data'!F:F,'ON Data'!$D:$D,$A$4,'ON Data'!$E:$E,12),SUMIFS('ON Data'!F:F,'ON Data'!$E:$E,12))</f>
        <v>0</v>
      </c>
      <c r="C21" s="225">
        <f xml:space="preserve">
IF($A$4&lt;=12,SUMIFS('ON Data'!O:O,'ON Data'!$D:$D,$A$4,'ON Data'!$E:$E,12),SUMIFS('ON Data'!O:O,'ON Data'!$E:$E,12))</f>
        <v>0</v>
      </c>
      <c r="D21" s="225">
        <f xml:space="preserve">
IF($A$4&lt;=12,SUMIFS('ON Data'!AE:AE,'ON Data'!$D:$D,$A$4,'ON Data'!$E:$E,12),SUMIFS('ON Data'!AE:AE,'ON Data'!$E:$E,12))</f>
        <v>0</v>
      </c>
      <c r="E21" s="225">
        <f xml:space="preserve">
IF($A$4&lt;=12,SUMIFS('ON Data'!AF:AF,'ON Data'!$D:$D,$A$4,'ON Data'!$E:$E,12),SUMIFS('ON Data'!AF:AF,'ON Data'!$E:$E,12))</f>
        <v>0</v>
      </c>
      <c r="H21" s="402"/>
    </row>
    <row r="22" spans="1:8" ht="15" hidden="1" outlineLevel="1" thickBot="1" x14ac:dyDescent="0.35">
      <c r="A22" s="205" t="s">
        <v>61</v>
      </c>
      <c r="B22" s="261" t="str">
        <f xml:space="preserve">
IF(OR(B21="",B21=0),"",B20/B21)</f>
        <v/>
      </c>
      <c r="C22" s="262" t="str">
        <f t="shared" ref="C22:E22" si="2" xml:space="preserve">
IF(OR(C21="",C21=0),"",C20/C21)</f>
        <v/>
      </c>
      <c r="D22" s="262" t="str">
        <f t="shared" si="2"/>
        <v/>
      </c>
      <c r="E22" s="262" t="str">
        <f t="shared" si="2"/>
        <v/>
      </c>
      <c r="H22" s="402"/>
    </row>
    <row r="23" spans="1:8" ht="15" hidden="1" outlineLevel="1" thickBot="1" x14ac:dyDescent="0.35">
      <c r="A23" s="213" t="s">
        <v>54</v>
      </c>
      <c r="B23" s="226">
        <f xml:space="preserve">
IF(B21="","",B20-B21)</f>
        <v>3674458</v>
      </c>
      <c r="C23" s="227">
        <f t="shared" ref="C23:E23" si="3" xml:space="preserve">
IF(C21="","",C20-C21)</f>
        <v>0</v>
      </c>
      <c r="D23" s="227">
        <f t="shared" si="3"/>
        <v>2408346</v>
      </c>
      <c r="E23" s="227">
        <f t="shared" si="3"/>
        <v>475051</v>
      </c>
      <c r="H23" s="402"/>
    </row>
    <row r="24" spans="1:8" x14ac:dyDescent="0.3">
      <c r="A24" s="207" t="s">
        <v>155</v>
      </c>
      <c r="B24" s="244" t="s">
        <v>3</v>
      </c>
      <c r="C24" s="403" t="s">
        <v>166</v>
      </c>
      <c r="D24" s="379"/>
      <c r="E24" s="380"/>
      <c r="F24" s="380"/>
      <c r="G24" s="398" t="s">
        <v>167</v>
      </c>
      <c r="H24" s="402"/>
    </row>
    <row r="25" spans="1:8" x14ac:dyDescent="0.3">
      <c r="A25" s="208" t="s">
        <v>59</v>
      </c>
      <c r="B25" s="224">
        <f xml:space="preserve">
SUM(C25:G25)</f>
        <v>35400</v>
      </c>
      <c r="C25" s="404">
        <f xml:space="preserve">
IF($A$4&lt;=12,SUMIFS('ON Data'!O:O,'ON Data'!$D:$D,$A$4,'ON Data'!$E:$E,10),SUMIFS('ON Data'!O:O,'ON Data'!$E:$E,10))</f>
        <v>35400</v>
      </c>
      <c r="D25" s="381"/>
      <c r="E25" s="382"/>
      <c r="F25" s="382"/>
      <c r="G25" s="399">
        <f xml:space="preserve">
IF($A$4&lt;=12,SUMIFS('ON Data'!AW:AW,'ON Data'!$D:$D,$A$4,'ON Data'!$E:$E,10),SUMIFS('ON Data'!AW:AW,'ON Data'!$E:$E,10))</f>
        <v>0</v>
      </c>
      <c r="H25" s="402"/>
    </row>
    <row r="26" spans="1:8" x14ac:dyDescent="0.3">
      <c r="A26" s="214" t="s">
        <v>165</v>
      </c>
      <c r="B26" s="230">
        <f xml:space="preserve">
SUM(C26:G26)</f>
        <v>20000</v>
      </c>
      <c r="C26" s="405">
        <f xml:space="preserve">
IF($A$4&lt;=12,SUMIFS('ON Data'!O:O,'ON Data'!$D:$D,$A$4,'ON Data'!$E:$E,11),SUMIFS('ON Data'!O:O,'ON Data'!$E:$E,11))</f>
        <v>20000</v>
      </c>
      <c r="D26" s="383"/>
      <c r="E26" s="384"/>
      <c r="F26" s="384"/>
      <c r="G26" s="399">
        <f xml:space="preserve">
IF($A$4&lt;=12,SUMIFS('ON Data'!AW:AW,'ON Data'!$D:$D,$A$4,'ON Data'!$E:$E,11),SUMIFS('ON Data'!AW:AW,'ON Data'!$E:$E,11))</f>
        <v>0</v>
      </c>
      <c r="H26" s="402"/>
    </row>
    <row r="27" spans="1:8" x14ac:dyDescent="0.3">
      <c r="A27" s="214" t="s">
        <v>61</v>
      </c>
      <c r="B27" s="245">
        <f xml:space="preserve">
IF(B26=0,0,B25/B26)</f>
        <v>1.77</v>
      </c>
      <c r="C27" s="406">
        <f xml:space="preserve">
IF(C26=0,0,C25/C26)</f>
        <v>1.77</v>
      </c>
      <c r="D27" s="381"/>
      <c r="E27" s="382"/>
      <c r="F27" s="382"/>
      <c r="G27" s="400">
        <f xml:space="preserve">
IF(G26=0,0,G25/G26)</f>
        <v>0</v>
      </c>
      <c r="H27" s="402"/>
    </row>
    <row r="28" spans="1:8" ht="15" thickBot="1" x14ac:dyDescent="0.35">
      <c r="A28" s="214" t="s">
        <v>164</v>
      </c>
      <c r="B28" s="230">
        <f xml:space="preserve">
SUM(C28:G28)</f>
        <v>-15400</v>
      </c>
      <c r="C28" s="407">
        <f xml:space="preserve">
C26-C25</f>
        <v>-15400</v>
      </c>
      <c r="D28" s="385"/>
      <c r="E28" s="386"/>
      <c r="F28" s="386"/>
      <c r="G28" s="401">
        <f xml:space="preserve">
G26-G25</f>
        <v>0</v>
      </c>
      <c r="H28" s="402"/>
    </row>
    <row r="29" spans="1:8" x14ac:dyDescent="0.3">
      <c r="A29" s="215"/>
      <c r="B29" s="215"/>
      <c r="C29" s="216"/>
      <c r="D29" s="216"/>
      <c r="E29" s="216"/>
    </row>
    <row r="30" spans="1:8" x14ac:dyDescent="0.3">
      <c r="A30" s="88" t="s">
        <v>127</v>
      </c>
      <c r="B30" s="105"/>
      <c r="C30" s="105"/>
      <c r="D30" s="105"/>
      <c r="E30" s="105"/>
    </row>
    <row r="31" spans="1:8" x14ac:dyDescent="0.3">
      <c r="A31" s="89" t="s">
        <v>162</v>
      </c>
      <c r="B31" s="105"/>
      <c r="C31" s="105"/>
      <c r="D31" s="105"/>
      <c r="E31" s="105"/>
    </row>
    <row r="32" spans="1:8" ht="14.4" customHeight="1" x14ac:dyDescent="0.3">
      <c r="A32" s="241" t="s">
        <v>159</v>
      </c>
      <c r="B32" s="242"/>
      <c r="C32" s="242"/>
      <c r="D32" s="242"/>
      <c r="E32" s="242"/>
    </row>
    <row r="33" spans="1:1" x14ac:dyDescent="0.3">
      <c r="A33" s="243" t="s">
        <v>179</v>
      </c>
    </row>
    <row r="34" spans="1:1" x14ac:dyDescent="0.3">
      <c r="A34" s="243" t="s">
        <v>180</v>
      </c>
    </row>
    <row r="35" spans="1:1" x14ac:dyDescent="0.3">
      <c r="A35" s="243" t="s">
        <v>181</v>
      </c>
    </row>
    <row r="36" spans="1:1" x14ac:dyDescent="0.3">
      <c r="A36" s="243" t="s">
        <v>168</v>
      </c>
    </row>
  </sheetData>
  <mergeCells count="7">
    <mergeCell ref="B3:B4"/>
    <mergeCell ref="A1:G1"/>
    <mergeCell ref="C27:F27"/>
    <mergeCell ref="C28:F28"/>
    <mergeCell ref="C24:F24"/>
    <mergeCell ref="C25:F25"/>
    <mergeCell ref="C26:F26"/>
  </mergeCells>
  <conditionalFormatting sqref="B22:E22">
    <cfRule type="cellIs" dxfId="6" priority="6" operator="greaterThan">
      <formula>1</formula>
    </cfRule>
  </conditionalFormatting>
  <conditionalFormatting sqref="B23:E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5"/>
  <sheetViews>
    <sheetView showGridLines="0" showRowColHeaders="0" workbookViewId="0"/>
  </sheetViews>
  <sheetFormatPr defaultRowHeight="14.4" x14ac:dyDescent="0.3"/>
  <cols>
    <col min="1" max="16384" width="8.88671875" style="196"/>
  </cols>
  <sheetData>
    <row r="1" spans="1:49" x14ac:dyDescent="0.3">
      <c r="A1" s="196" t="s">
        <v>335</v>
      </c>
    </row>
    <row r="2" spans="1:49" x14ac:dyDescent="0.3">
      <c r="A2" s="200" t="s">
        <v>203</v>
      </c>
    </row>
    <row r="3" spans="1:49" x14ac:dyDescent="0.3">
      <c r="A3" s="196" t="s">
        <v>132</v>
      </c>
      <c r="B3" s="219">
        <v>2016</v>
      </c>
      <c r="D3" s="197">
        <f>MAX(D5:D1048576)</f>
        <v>8</v>
      </c>
      <c r="F3" s="197">
        <f>SUMIF($E5:$E1048576,"&lt;10",F5:F1048576)</f>
        <v>3884812.8000000003</v>
      </c>
      <c r="G3" s="197">
        <f t="shared" ref="G3:AW3" si="0">SUMIF($E5:$E1048576,"&lt;10",G5:G1048576)</f>
        <v>0</v>
      </c>
      <c r="H3" s="197">
        <f t="shared" si="0"/>
        <v>0</v>
      </c>
      <c r="I3" s="197">
        <f t="shared" si="0"/>
        <v>0</v>
      </c>
      <c r="J3" s="197">
        <f t="shared" si="0"/>
        <v>0</v>
      </c>
      <c r="K3" s="197">
        <f t="shared" si="0"/>
        <v>0</v>
      </c>
      <c r="L3" s="197">
        <f t="shared" si="0"/>
        <v>0</v>
      </c>
      <c r="M3" s="197">
        <f t="shared" si="0"/>
        <v>0</v>
      </c>
      <c r="N3" s="197">
        <f t="shared" si="0"/>
        <v>0</v>
      </c>
      <c r="O3" s="197">
        <f t="shared" si="0"/>
        <v>0</v>
      </c>
      <c r="P3" s="197">
        <f t="shared" si="0"/>
        <v>0</v>
      </c>
      <c r="Q3" s="197">
        <f t="shared" si="0"/>
        <v>0</v>
      </c>
      <c r="R3" s="197">
        <f t="shared" si="0"/>
        <v>0</v>
      </c>
      <c r="S3" s="197">
        <f t="shared" si="0"/>
        <v>0</v>
      </c>
      <c r="T3" s="197">
        <f t="shared" si="0"/>
        <v>0</v>
      </c>
      <c r="U3" s="197">
        <f t="shared" si="0"/>
        <v>0</v>
      </c>
      <c r="V3" s="197">
        <f t="shared" si="0"/>
        <v>0</v>
      </c>
      <c r="W3" s="197">
        <f t="shared" si="0"/>
        <v>0</v>
      </c>
      <c r="X3" s="197">
        <f t="shared" si="0"/>
        <v>0</v>
      </c>
      <c r="Y3" s="197">
        <f t="shared" si="0"/>
        <v>0</v>
      </c>
      <c r="Z3" s="197">
        <f t="shared" si="0"/>
        <v>0</v>
      </c>
      <c r="AA3" s="197">
        <f t="shared" si="0"/>
        <v>0</v>
      </c>
      <c r="AB3" s="197">
        <f t="shared" si="0"/>
        <v>0</v>
      </c>
      <c r="AC3" s="197">
        <f t="shared" si="0"/>
        <v>0</v>
      </c>
      <c r="AD3" s="197">
        <f t="shared" si="0"/>
        <v>0</v>
      </c>
      <c r="AE3" s="197">
        <f t="shared" si="0"/>
        <v>2543180</v>
      </c>
      <c r="AF3" s="197">
        <f t="shared" si="0"/>
        <v>516177</v>
      </c>
      <c r="AG3" s="197">
        <f t="shared" si="0"/>
        <v>0</v>
      </c>
      <c r="AH3" s="197">
        <f t="shared" si="0"/>
        <v>0</v>
      </c>
      <c r="AI3" s="197">
        <f t="shared" si="0"/>
        <v>0</v>
      </c>
      <c r="AJ3" s="197">
        <f t="shared" si="0"/>
        <v>0</v>
      </c>
      <c r="AK3" s="197">
        <f t="shared" si="0"/>
        <v>0</v>
      </c>
      <c r="AL3" s="197">
        <f t="shared" si="0"/>
        <v>0</v>
      </c>
      <c r="AM3" s="197">
        <f t="shared" si="0"/>
        <v>0</v>
      </c>
      <c r="AN3" s="197">
        <f t="shared" si="0"/>
        <v>0</v>
      </c>
      <c r="AO3" s="197">
        <f t="shared" si="0"/>
        <v>0</v>
      </c>
      <c r="AP3" s="197">
        <f t="shared" si="0"/>
        <v>0</v>
      </c>
      <c r="AQ3" s="197">
        <f t="shared" si="0"/>
        <v>0</v>
      </c>
      <c r="AR3" s="197">
        <f t="shared" si="0"/>
        <v>0</v>
      </c>
      <c r="AS3" s="197">
        <f t="shared" si="0"/>
        <v>642170.79999999993</v>
      </c>
      <c r="AT3" s="197">
        <f t="shared" si="0"/>
        <v>0</v>
      </c>
      <c r="AU3" s="197">
        <f t="shared" si="0"/>
        <v>0</v>
      </c>
      <c r="AV3" s="197">
        <f t="shared" si="0"/>
        <v>0</v>
      </c>
      <c r="AW3" s="197">
        <f t="shared" si="0"/>
        <v>183285</v>
      </c>
    </row>
    <row r="4" spans="1:49" x14ac:dyDescent="0.3">
      <c r="A4" s="196" t="s">
        <v>133</v>
      </c>
      <c r="B4" s="219">
        <v>1</v>
      </c>
      <c r="C4" s="198" t="s">
        <v>5</v>
      </c>
      <c r="D4" s="199" t="s">
        <v>53</v>
      </c>
      <c r="E4" s="199" t="s">
        <v>131</v>
      </c>
      <c r="F4" s="199" t="s">
        <v>3</v>
      </c>
      <c r="G4" s="199">
        <v>0</v>
      </c>
      <c r="H4" s="199">
        <v>25</v>
      </c>
      <c r="I4" s="199">
        <v>99</v>
      </c>
      <c r="J4" s="199">
        <v>100</v>
      </c>
      <c r="K4" s="199">
        <v>101</v>
      </c>
      <c r="L4" s="199">
        <v>102</v>
      </c>
      <c r="M4" s="199">
        <v>103</v>
      </c>
      <c r="N4" s="199">
        <v>203</v>
      </c>
      <c r="O4" s="199">
        <v>302</v>
      </c>
      <c r="P4" s="199">
        <v>303</v>
      </c>
      <c r="Q4" s="199">
        <v>304</v>
      </c>
      <c r="R4" s="199">
        <v>305</v>
      </c>
      <c r="S4" s="199">
        <v>306</v>
      </c>
      <c r="T4" s="199">
        <v>407</v>
      </c>
      <c r="U4" s="199">
        <v>408</v>
      </c>
      <c r="V4" s="199">
        <v>409</v>
      </c>
      <c r="W4" s="199">
        <v>410</v>
      </c>
      <c r="X4" s="199">
        <v>415</v>
      </c>
      <c r="Y4" s="199">
        <v>416</v>
      </c>
      <c r="Z4" s="199">
        <v>418</v>
      </c>
      <c r="AA4" s="199">
        <v>419</v>
      </c>
      <c r="AB4" s="199">
        <v>420</v>
      </c>
      <c r="AC4" s="199">
        <v>421</v>
      </c>
      <c r="AD4" s="199">
        <v>520</v>
      </c>
      <c r="AE4" s="199">
        <v>521</v>
      </c>
      <c r="AF4" s="199">
        <v>522</v>
      </c>
      <c r="AG4" s="199">
        <v>523</v>
      </c>
      <c r="AH4" s="199">
        <v>524</v>
      </c>
      <c r="AI4" s="199">
        <v>525</v>
      </c>
      <c r="AJ4" s="199">
        <v>526</v>
      </c>
      <c r="AK4" s="199">
        <v>527</v>
      </c>
      <c r="AL4" s="199">
        <v>528</v>
      </c>
      <c r="AM4" s="199">
        <v>629</v>
      </c>
      <c r="AN4" s="199">
        <v>630</v>
      </c>
      <c r="AO4" s="199">
        <v>636</v>
      </c>
      <c r="AP4" s="199">
        <v>637</v>
      </c>
      <c r="AQ4" s="199">
        <v>640</v>
      </c>
      <c r="AR4" s="199">
        <v>642</v>
      </c>
      <c r="AS4" s="199">
        <v>743</v>
      </c>
      <c r="AT4" s="199">
        <v>745</v>
      </c>
      <c r="AU4" s="199">
        <v>746</v>
      </c>
      <c r="AV4" s="199">
        <v>747</v>
      </c>
      <c r="AW4" s="199">
        <v>930</v>
      </c>
    </row>
    <row r="5" spans="1:49" x14ac:dyDescent="0.3">
      <c r="A5" s="196" t="s">
        <v>134</v>
      </c>
      <c r="B5" s="219">
        <v>2</v>
      </c>
      <c r="C5" s="196">
        <v>39</v>
      </c>
      <c r="D5" s="196">
        <v>1</v>
      </c>
      <c r="E5" s="196">
        <v>1</v>
      </c>
      <c r="F5" s="196">
        <v>13.6</v>
      </c>
      <c r="G5" s="196">
        <v>0</v>
      </c>
      <c r="H5" s="196">
        <v>0</v>
      </c>
      <c r="I5" s="196">
        <v>0</v>
      </c>
      <c r="J5" s="196">
        <v>0</v>
      </c>
      <c r="K5" s="196">
        <v>0</v>
      </c>
      <c r="L5" s="196">
        <v>0</v>
      </c>
      <c r="M5" s="196">
        <v>0</v>
      </c>
      <c r="N5" s="196">
        <v>0</v>
      </c>
      <c r="O5" s="196">
        <v>0</v>
      </c>
      <c r="P5" s="196">
        <v>0</v>
      </c>
      <c r="Q5" s="196">
        <v>0</v>
      </c>
      <c r="R5" s="196">
        <v>0</v>
      </c>
      <c r="S5" s="196">
        <v>0</v>
      </c>
      <c r="T5" s="196">
        <v>0</v>
      </c>
      <c r="U5" s="196">
        <v>0</v>
      </c>
      <c r="V5" s="196">
        <v>0</v>
      </c>
      <c r="W5" s="196">
        <v>0</v>
      </c>
      <c r="X5" s="196">
        <v>0</v>
      </c>
      <c r="Y5" s="196">
        <v>0</v>
      </c>
      <c r="Z5" s="196">
        <v>0</v>
      </c>
      <c r="AA5" s="196">
        <v>0</v>
      </c>
      <c r="AB5" s="196">
        <v>0</v>
      </c>
      <c r="AC5" s="196">
        <v>0</v>
      </c>
      <c r="AD5" s="196">
        <v>0</v>
      </c>
      <c r="AE5" s="196">
        <v>9</v>
      </c>
      <c r="AF5" s="196">
        <v>1</v>
      </c>
      <c r="AG5" s="196">
        <v>0</v>
      </c>
      <c r="AH5" s="196">
        <v>0</v>
      </c>
      <c r="AI5" s="196">
        <v>0</v>
      </c>
      <c r="AJ5" s="196">
        <v>0</v>
      </c>
      <c r="AK5" s="196">
        <v>0</v>
      </c>
      <c r="AL5" s="196">
        <v>0</v>
      </c>
      <c r="AM5" s="196">
        <v>0</v>
      </c>
      <c r="AN5" s="196">
        <v>0</v>
      </c>
      <c r="AO5" s="196">
        <v>0</v>
      </c>
      <c r="AP5" s="196">
        <v>0</v>
      </c>
      <c r="AQ5" s="196">
        <v>0</v>
      </c>
      <c r="AR5" s="196">
        <v>0</v>
      </c>
      <c r="AS5" s="196">
        <v>2.6</v>
      </c>
      <c r="AT5" s="196">
        <v>0</v>
      </c>
      <c r="AU5" s="196">
        <v>0</v>
      </c>
      <c r="AV5" s="196">
        <v>0</v>
      </c>
      <c r="AW5" s="196">
        <v>1</v>
      </c>
    </row>
    <row r="6" spans="1:49" x14ac:dyDescent="0.3">
      <c r="A6" s="196" t="s">
        <v>135</v>
      </c>
      <c r="B6" s="219">
        <v>3</v>
      </c>
      <c r="C6" s="196">
        <v>39</v>
      </c>
      <c r="D6" s="196">
        <v>1</v>
      </c>
      <c r="E6" s="196">
        <v>2</v>
      </c>
      <c r="F6" s="196">
        <v>2152</v>
      </c>
      <c r="G6" s="196">
        <v>0</v>
      </c>
      <c r="H6" s="196">
        <v>0</v>
      </c>
      <c r="I6" s="196">
        <v>0</v>
      </c>
      <c r="J6" s="196">
        <v>0</v>
      </c>
      <c r="K6" s="196">
        <v>0</v>
      </c>
      <c r="L6" s="196">
        <v>0</v>
      </c>
      <c r="M6" s="196">
        <v>0</v>
      </c>
      <c r="N6" s="196">
        <v>0</v>
      </c>
      <c r="O6" s="196">
        <v>0</v>
      </c>
      <c r="P6" s="196">
        <v>0</v>
      </c>
      <c r="Q6" s="196">
        <v>0</v>
      </c>
      <c r="R6" s="196">
        <v>0</v>
      </c>
      <c r="S6" s="196">
        <v>0</v>
      </c>
      <c r="T6" s="196">
        <v>0</v>
      </c>
      <c r="U6" s="196">
        <v>0</v>
      </c>
      <c r="V6" s="196">
        <v>0</v>
      </c>
      <c r="W6" s="196">
        <v>0</v>
      </c>
      <c r="X6" s="196">
        <v>0</v>
      </c>
      <c r="Y6" s="196">
        <v>0</v>
      </c>
      <c r="Z6" s="196">
        <v>0</v>
      </c>
      <c r="AA6" s="196">
        <v>0</v>
      </c>
      <c r="AB6" s="196">
        <v>0</v>
      </c>
      <c r="AC6" s="196">
        <v>0</v>
      </c>
      <c r="AD6" s="196">
        <v>0</v>
      </c>
      <c r="AE6" s="196">
        <v>1416</v>
      </c>
      <c r="AF6" s="196">
        <v>148</v>
      </c>
      <c r="AG6" s="196">
        <v>0</v>
      </c>
      <c r="AH6" s="196">
        <v>0</v>
      </c>
      <c r="AI6" s="196">
        <v>0</v>
      </c>
      <c r="AJ6" s="196">
        <v>0</v>
      </c>
      <c r="AK6" s="196">
        <v>0</v>
      </c>
      <c r="AL6" s="196">
        <v>0</v>
      </c>
      <c r="AM6" s="196">
        <v>0</v>
      </c>
      <c r="AN6" s="196">
        <v>0</v>
      </c>
      <c r="AO6" s="196">
        <v>0</v>
      </c>
      <c r="AP6" s="196">
        <v>0</v>
      </c>
      <c r="AQ6" s="196">
        <v>0</v>
      </c>
      <c r="AR6" s="196">
        <v>0</v>
      </c>
      <c r="AS6" s="196">
        <v>412</v>
      </c>
      <c r="AT6" s="196">
        <v>0</v>
      </c>
      <c r="AU6" s="196">
        <v>0</v>
      </c>
      <c r="AV6" s="196">
        <v>0</v>
      </c>
      <c r="AW6" s="196">
        <v>176</v>
      </c>
    </row>
    <row r="7" spans="1:49" x14ac:dyDescent="0.3">
      <c r="A7" s="196" t="s">
        <v>136</v>
      </c>
      <c r="B7" s="219">
        <v>4</v>
      </c>
      <c r="C7" s="196">
        <v>39</v>
      </c>
      <c r="D7" s="196">
        <v>1</v>
      </c>
      <c r="E7" s="196">
        <v>6</v>
      </c>
      <c r="F7" s="196">
        <v>453860</v>
      </c>
      <c r="G7" s="196">
        <v>0</v>
      </c>
      <c r="H7" s="196">
        <v>0</v>
      </c>
      <c r="I7" s="196">
        <v>0</v>
      </c>
      <c r="J7" s="196">
        <v>0</v>
      </c>
      <c r="K7" s="196">
        <v>0</v>
      </c>
      <c r="L7" s="196">
        <v>0</v>
      </c>
      <c r="M7" s="196">
        <v>0</v>
      </c>
      <c r="N7" s="196">
        <v>0</v>
      </c>
      <c r="O7" s="196">
        <v>0</v>
      </c>
      <c r="P7" s="196">
        <v>0</v>
      </c>
      <c r="Q7" s="196">
        <v>0</v>
      </c>
      <c r="R7" s="196">
        <v>0</v>
      </c>
      <c r="S7" s="196">
        <v>0</v>
      </c>
      <c r="T7" s="196">
        <v>0</v>
      </c>
      <c r="U7" s="196">
        <v>0</v>
      </c>
      <c r="V7" s="196">
        <v>0</v>
      </c>
      <c r="W7" s="196">
        <v>0</v>
      </c>
      <c r="X7" s="196">
        <v>0</v>
      </c>
      <c r="Y7" s="196">
        <v>0</v>
      </c>
      <c r="Z7" s="196">
        <v>0</v>
      </c>
      <c r="AA7" s="196">
        <v>0</v>
      </c>
      <c r="AB7" s="196">
        <v>0</v>
      </c>
      <c r="AC7" s="196">
        <v>0</v>
      </c>
      <c r="AD7" s="196">
        <v>0</v>
      </c>
      <c r="AE7" s="196">
        <v>299085</v>
      </c>
      <c r="AF7" s="196">
        <v>55626</v>
      </c>
      <c r="AG7" s="196">
        <v>0</v>
      </c>
      <c r="AH7" s="196">
        <v>0</v>
      </c>
      <c r="AI7" s="196">
        <v>0</v>
      </c>
      <c r="AJ7" s="196">
        <v>0</v>
      </c>
      <c r="AK7" s="196">
        <v>0</v>
      </c>
      <c r="AL7" s="196">
        <v>0</v>
      </c>
      <c r="AM7" s="196">
        <v>0</v>
      </c>
      <c r="AN7" s="196">
        <v>0</v>
      </c>
      <c r="AO7" s="196">
        <v>0</v>
      </c>
      <c r="AP7" s="196">
        <v>0</v>
      </c>
      <c r="AQ7" s="196">
        <v>0</v>
      </c>
      <c r="AR7" s="196">
        <v>0</v>
      </c>
      <c r="AS7" s="196">
        <v>74511</v>
      </c>
      <c r="AT7" s="196">
        <v>0</v>
      </c>
      <c r="AU7" s="196">
        <v>0</v>
      </c>
      <c r="AV7" s="196">
        <v>0</v>
      </c>
      <c r="AW7" s="196">
        <v>24638</v>
      </c>
    </row>
    <row r="8" spans="1:49" x14ac:dyDescent="0.3">
      <c r="A8" s="196" t="s">
        <v>137</v>
      </c>
      <c r="B8" s="219">
        <v>5</v>
      </c>
      <c r="C8" s="196">
        <v>39</v>
      </c>
      <c r="D8" s="196">
        <v>1</v>
      </c>
      <c r="E8" s="196">
        <v>9</v>
      </c>
      <c r="F8" s="196">
        <v>6920</v>
      </c>
      <c r="G8" s="196">
        <v>0</v>
      </c>
      <c r="H8" s="196">
        <v>0</v>
      </c>
      <c r="I8" s="196">
        <v>0</v>
      </c>
      <c r="J8" s="196">
        <v>0</v>
      </c>
      <c r="K8" s="196">
        <v>0</v>
      </c>
      <c r="L8" s="196">
        <v>0</v>
      </c>
      <c r="M8" s="196">
        <v>0</v>
      </c>
      <c r="N8" s="196">
        <v>0</v>
      </c>
      <c r="O8" s="196">
        <v>0</v>
      </c>
      <c r="P8" s="196">
        <v>0</v>
      </c>
      <c r="Q8" s="196">
        <v>0</v>
      </c>
      <c r="R8" s="196">
        <v>0</v>
      </c>
      <c r="S8" s="196">
        <v>0</v>
      </c>
      <c r="T8" s="196">
        <v>0</v>
      </c>
      <c r="U8" s="196">
        <v>0</v>
      </c>
      <c r="V8" s="196">
        <v>0</v>
      </c>
      <c r="W8" s="196">
        <v>0</v>
      </c>
      <c r="X8" s="196">
        <v>0</v>
      </c>
      <c r="Y8" s="196">
        <v>0</v>
      </c>
      <c r="Z8" s="196">
        <v>0</v>
      </c>
      <c r="AA8" s="196">
        <v>0</v>
      </c>
      <c r="AB8" s="196">
        <v>0</v>
      </c>
      <c r="AC8" s="196">
        <v>0</v>
      </c>
      <c r="AD8" s="196">
        <v>0</v>
      </c>
      <c r="AE8" s="196">
        <v>5695</v>
      </c>
      <c r="AF8" s="196">
        <v>1225</v>
      </c>
      <c r="AG8" s="196">
        <v>0</v>
      </c>
      <c r="AH8" s="196">
        <v>0</v>
      </c>
      <c r="AI8" s="196">
        <v>0</v>
      </c>
      <c r="AJ8" s="196">
        <v>0</v>
      </c>
      <c r="AK8" s="196">
        <v>0</v>
      </c>
      <c r="AL8" s="196">
        <v>0</v>
      </c>
      <c r="AM8" s="196">
        <v>0</v>
      </c>
      <c r="AN8" s="196">
        <v>0</v>
      </c>
      <c r="AO8" s="196">
        <v>0</v>
      </c>
      <c r="AP8" s="196">
        <v>0</v>
      </c>
      <c r="AQ8" s="196">
        <v>0</v>
      </c>
      <c r="AR8" s="196">
        <v>0</v>
      </c>
      <c r="AS8" s="196">
        <v>0</v>
      </c>
      <c r="AT8" s="196">
        <v>0</v>
      </c>
      <c r="AU8" s="196">
        <v>0</v>
      </c>
      <c r="AV8" s="196">
        <v>0</v>
      </c>
      <c r="AW8" s="196">
        <v>0</v>
      </c>
    </row>
    <row r="9" spans="1:49" x14ac:dyDescent="0.3">
      <c r="A9" s="196" t="s">
        <v>138</v>
      </c>
      <c r="B9" s="219">
        <v>6</v>
      </c>
      <c r="C9" s="196">
        <v>39</v>
      </c>
      <c r="D9" s="196">
        <v>1</v>
      </c>
      <c r="E9" s="196">
        <v>11</v>
      </c>
      <c r="F9" s="196">
        <v>2500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196">
        <v>0</v>
      </c>
      <c r="M9" s="196">
        <v>0</v>
      </c>
      <c r="N9" s="196">
        <v>0</v>
      </c>
      <c r="O9" s="196">
        <v>2500</v>
      </c>
      <c r="P9" s="196">
        <v>0</v>
      </c>
      <c r="Q9" s="196">
        <v>0</v>
      </c>
      <c r="R9" s="196">
        <v>0</v>
      </c>
      <c r="S9" s="196">
        <v>0</v>
      </c>
      <c r="T9" s="196">
        <v>0</v>
      </c>
      <c r="U9" s="196">
        <v>0</v>
      </c>
      <c r="V9" s="196">
        <v>0</v>
      </c>
      <c r="W9" s="196">
        <v>0</v>
      </c>
      <c r="X9" s="196">
        <v>0</v>
      </c>
      <c r="Y9" s="196">
        <v>0</v>
      </c>
      <c r="Z9" s="196">
        <v>0</v>
      </c>
      <c r="AA9" s="196">
        <v>0</v>
      </c>
      <c r="AB9" s="196">
        <v>0</v>
      </c>
      <c r="AC9" s="196">
        <v>0</v>
      </c>
      <c r="AD9" s="196">
        <v>0</v>
      </c>
      <c r="AE9" s="196">
        <v>0</v>
      </c>
      <c r="AF9" s="196">
        <v>0</v>
      </c>
      <c r="AG9" s="196">
        <v>0</v>
      </c>
      <c r="AH9" s="196">
        <v>0</v>
      </c>
      <c r="AI9" s="196">
        <v>0</v>
      </c>
      <c r="AJ9" s="196">
        <v>0</v>
      </c>
      <c r="AK9" s="196">
        <v>0</v>
      </c>
      <c r="AL9" s="196">
        <v>0</v>
      </c>
      <c r="AM9" s="196">
        <v>0</v>
      </c>
      <c r="AN9" s="196">
        <v>0</v>
      </c>
      <c r="AO9" s="196">
        <v>0</v>
      </c>
      <c r="AP9" s="196">
        <v>0</v>
      </c>
      <c r="AQ9" s="196">
        <v>0</v>
      </c>
      <c r="AR9" s="196">
        <v>0</v>
      </c>
      <c r="AS9" s="196">
        <v>0</v>
      </c>
      <c r="AT9" s="196">
        <v>0</v>
      </c>
      <c r="AU9" s="196">
        <v>0</v>
      </c>
      <c r="AV9" s="196">
        <v>0</v>
      </c>
      <c r="AW9" s="196">
        <v>0</v>
      </c>
    </row>
    <row r="10" spans="1:49" x14ac:dyDescent="0.3">
      <c r="A10" s="196" t="s">
        <v>139</v>
      </c>
      <c r="B10" s="219">
        <v>7</v>
      </c>
      <c r="C10" s="196">
        <v>39</v>
      </c>
      <c r="D10" s="196">
        <v>2</v>
      </c>
      <c r="E10" s="196">
        <v>1</v>
      </c>
      <c r="F10" s="196">
        <v>13.6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196">
        <v>0</v>
      </c>
      <c r="M10" s="196">
        <v>0</v>
      </c>
      <c r="N10" s="196">
        <v>0</v>
      </c>
      <c r="O10" s="196">
        <v>0</v>
      </c>
      <c r="P10" s="196">
        <v>0</v>
      </c>
      <c r="Q10" s="196">
        <v>0</v>
      </c>
      <c r="R10" s="196">
        <v>0</v>
      </c>
      <c r="S10" s="196">
        <v>0</v>
      </c>
      <c r="T10" s="196">
        <v>0</v>
      </c>
      <c r="U10" s="196">
        <v>0</v>
      </c>
      <c r="V10" s="196">
        <v>0</v>
      </c>
      <c r="W10" s="196">
        <v>0</v>
      </c>
      <c r="X10" s="196">
        <v>0</v>
      </c>
      <c r="Y10" s="196">
        <v>0</v>
      </c>
      <c r="Z10" s="196">
        <v>0</v>
      </c>
      <c r="AA10" s="196">
        <v>0</v>
      </c>
      <c r="AB10" s="196">
        <v>0</v>
      </c>
      <c r="AC10" s="196">
        <v>0</v>
      </c>
      <c r="AD10" s="196">
        <v>0</v>
      </c>
      <c r="AE10" s="196">
        <v>9</v>
      </c>
      <c r="AF10" s="196">
        <v>1</v>
      </c>
      <c r="AG10" s="196">
        <v>0</v>
      </c>
      <c r="AH10" s="196">
        <v>0</v>
      </c>
      <c r="AI10" s="196">
        <v>0</v>
      </c>
      <c r="AJ10" s="196">
        <v>0</v>
      </c>
      <c r="AK10" s="196">
        <v>0</v>
      </c>
      <c r="AL10" s="196">
        <v>0</v>
      </c>
      <c r="AM10" s="196">
        <v>0</v>
      </c>
      <c r="AN10" s="196">
        <v>0</v>
      </c>
      <c r="AO10" s="196">
        <v>0</v>
      </c>
      <c r="AP10" s="196">
        <v>0</v>
      </c>
      <c r="AQ10" s="196">
        <v>0</v>
      </c>
      <c r="AR10" s="196">
        <v>0</v>
      </c>
      <c r="AS10" s="196">
        <v>2.6</v>
      </c>
      <c r="AT10" s="196">
        <v>0</v>
      </c>
      <c r="AU10" s="196">
        <v>0</v>
      </c>
      <c r="AV10" s="196">
        <v>0</v>
      </c>
      <c r="AW10" s="196">
        <v>1</v>
      </c>
    </row>
    <row r="11" spans="1:49" x14ac:dyDescent="0.3">
      <c r="A11" s="196" t="s">
        <v>140</v>
      </c>
      <c r="B11" s="219">
        <v>8</v>
      </c>
      <c r="C11" s="196">
        <v>39</v>
      </c>
      <c r="D11" s="196">
        <v>2</v>
      </c>
      <c r="E11" s="196">
        <v>2</v>
      </c>
      <c r="F11" s="196">
        <v>2086</v>
      </c>
      <c r="G11" s="196">
        <v>0</v>
      </c>
      <c r="H11" s="196">
        <v>0</v>
      </c>
      <c r="I11" s="196">
        <v>0</v>
      </c>
      <c r="J11" s="196">
        <v>0</v>
      </c>
      <c r="K11" s="196">
        <v>0</v>
      </c>
      <c r="L11" s="196">
        <v>0</v>
      </c>
      <c r="M11" s="196">
        <v>0</v>
      </c>
      <c r="N11" s="196">
        <v>0</v>
      </c>
      <c r="O11" s="196">
        <v>0</v>
      </c>
      <c r="P11" s="196">
        <v>0</v>
      </c>
      <c r="Q11" s="196">
        <v>0</v>
      </c>
      <c r="R11" s="196">
        <v>0</v>
      </c>
      <c r="S11" s="196">
        <v>0</v>
      </c>
      <c r="T11" s="196">
        <v>0</v>
      </c>
      <c r="U11" s="196">
        <v>0</v>
      </c>
      <c r="V11" s="196">
        <v>0</v>
      </c>
      <c r="W11" s="196">
        <v>0</v>
      </c>
      <c r="X11" s="196">
        <v>0</v>
      </c>
      <c r="Y11" s="196">
        <v>0</v>
      </c>
      <c r="Z11" s="196">
        <v>0</v>
      </c>
      <c r="AA11" s="196">
        <v>0</v>
      </c>
      <c r="AB11" s="196">
        <v>0</v>
      </c>
      <c r="AC11" s="196">
        <v>0</v>
      </c>
      <c r="AD11" s="196">
        <v>0</v>
      </c>
      <c r="AE11" s="196">
        <v>1343</v>
      </c>
      <c r="AF11" s="196">
        <v>168</v>
      </c>
      <c r="AG11" s="196">
        <v>0</v>
      </c>
      <c r="AH11" s="196">
        <v>0</v>
      </c>
      <c r="AI11" s="196">
        <v>0</v>
      </c>
      <c r="AJ11" s="196">
        <v>0</v>
      </c>
      <c r="AK11" s="196">
        <v>0</v>
      </c>
      <c r="AL11" s="196">
        <v>0</v>
      </c>
      <c r="AM11" s="196">
        <v>0</v>
      </c>
      <c r="AN11" s="196">
        <v>0</v>
      </c>
      <c r="AO11" s="196">
        <v>0</v>
      </c>
      <c r="AP11" s="196">
        <v>0</v>
      </c>
      <c r="AQ11" s="196">
        <v>0</v>
      </c>
      <c r="AR11" s="196">
        <v>0</v>
      </c>
      <c r="AS11" s="196">
        <v>407</v>
      </c>
      <c r="AT11" s="196">
        <v>0</v>
      </c>
      <c r="AU11" s="196">
        <v>0</v>
      </c>
      <c r="AV11" s="196">
        <v>0</v>
      </c>
      <c r="AW11" s="196">
        <v>168</v>
      </c>
    </row>
    <row r="12" spans="1:49" x14ac:dyDescent="0.3">
      <c r="A12" s="196" t="s">
        <v>141</v>
      </c>
      <c r="B12" s="219">
        <v>9</v>
      </c>
      <c r="C12" s="196">
        <v>39</v>
      </c>
      <c r="D12" s="196">
        <v>2</v>
      </c>
      <c r="E12" s="196">
        <v>6</v>
      </c>
      <c r="F12" s="196">
        <v>445110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196">
        <v>0</v>
      </c>
      <c r="Y12" s="196">
        <v>0</v>
      </c>
      <c r="Z12" s="196">
        <v>0</v>
      </c>
      <c r="AA12" s="196">
        <v>0</v>
      </c>
      <c r="AB12" s="196">
        <v>0</v>
      </c>
      <c r="AC12" s="196">
        <v>0</v>
      </c>
      <c r="AD12" s="196">
        <v>0</v>
      </c>
      <c r="AE12" s="196">
        <v>296594</v>
      </c>
      <c r="AF12" s="196">
        <v>53800</v>
      </c>
      <c r="AG12" s="196">
        <v>0</v>
      </c>
      <c r="AH12" s="196">
        <v>0</v>
      </c>
      <c r="AI12" s="196">
        <v>0</v>
      </c>
      <c r="AJ12" s="196">
        <v>0</v>
      </c>
      <c r="AK12" s="196">
        <v>0</v>
      </c>
      <c r="AL12" s="196">
        <v>0</v>
      </c>
      <c r="AM12" s="196">
        <v>0</v>
      </c>
      <c r="AN12" s="196">
        <v>0</v>
      </c>
      <c r="AO12" s="196">
        <v>0</v>
      </c>
      <c r="AP12" s="196">
        <v>0</v>
      </c>
      <c r="AQ12" s="196">
        <v>0</v>
      </c>
      <c r="AR12" s="196">
        <v>0</v>
      </c>
      <c r="AS12" s="196">
        <v>74546</v>
      </c>
      <c r="AT12" s="196">
        <v>0</v>
      </c>
      <c r="AU12" s="196">
        <v>0</v>
      </c>
      <c r="AV12" s="196">
        <v>0</v>
      </c>
      <c r="AW12" s="196">
        <v>20170</v>
      </c>
    </row>
    <row r="13" spans="1:49" x14ac:dyDescent="0.3">
      <c r="A13" s="196" t="s">
        <v>142</v>
      </c>
      <c r="B13" s="219">
        <v>10</v>
      </c>
      <c r="C13" s="196">
        <v>39</v>
      </c>
      <c r="D13" s="196">
        <v>2</v>
      </c>
      <c r="E13" s="196">
        <v>11</v>
      </c>
      <c r="F13" s="196">
        <v>2500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2500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0</v>
      </c>
      <c r="W13" s="196">
        <v>0</v>
      </c>
      <c r="X13" s="196">
        <v>0</v>
      </c>
      <c r="Y13" s="196">
        <v>0</v>
      </c>
      <c r="Z13" s="196">
        <v>0</v>
      </c>
      <c r="AA13" s="196">
        <v>0</v>
      </c>
      <c r="AB13" s="196">
        <v>0</v>
      </c>
      <c r="AC13" s="196">
        <v>0</v>
      </c>
      <c r="AD13" s="196">
        <v>0</v>
      </c>
      <c r="AE13" s="196">
        <v>0</v>
      </c>
      <c r="AF13" s="196">
        <v>0</v>
      </c>
      <c r="AG13" s="196">
        <v>0</v>
      </c>
      <c r="AH13" s="196">
        <v>0</v>
      </c>
      <c r="AI13" s="196">
        <v>0</v>
      </c>
      <c r="AJ13" s="196">
        <v>0</v>
      </c>
      <c r="AK13" s="196">
        <v>0</v>
      </c>
      <c r="AL13" s="196">
        <v>0</v>
      </c>
      <c r="AM13" s="196">
        <v>0</v>
      </c>
      <c r="AN13" s="196">
        <v>0</v>
      </c>
      <c r="AO13" s="196">
        <v>0</v>
      </c>
      <c r="AP13" s="196">
        <v>0</v>
      </c>
      <c r="AQ13" s="196">
        <v>0</v>
      </c>
      <c r="AR13" s="196">
        <v>0</v>
      </c>
      <c r="AS13" s="196">
        <v>0</v>
      </c>
      <c r="AT13" s="196">
        <v>0</v>
      </c>
      <c r="AU13" s="196">
        <v>0</v>
      </c>
      <c r="AV13" s="196">
        <v>0</v>
      </c>
      <c r="AW13" s="196">
        <v>0</v>
      </c>
    </row>
    <row r="14" spans="1:49" x14ac:dyDescent="0.3">
      <c r="A14" s="196" t="s">
        <v>143</v>
      </c>
      <c r="B14" s="219">
        <v>11</v>
      </c>
      <c r="C14" s="196">
        <v>39</v>
      </c>
      <c r="D14" s="196">
        <v>3</v>
      </c>
      <c r="E14" s="196">
        <v>1</v>
      </c>
      <c r="F14" s="196">
        <v>13.6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196">
        <v>0</v>
      </c>
      <c r="Y14" s="196">
        <v>0</v>
      </c>
      <c r="Z14" s="196">
        <v>0</v>
      </c>
      <c r="AA14" s="196">
        <v>0</v>
      </c>
      <c r="AB14" s="196">
        <v>0</v>
      </c>
      <c r="AC14" s="196">
        <v>0</v>
      </c>
      <c r="AD14" s="196">
        <v>0</v>
      </c>
      <c r="AE14" s="196">
        <v>9</v>
      </c>
      <c r="AF14" s="196">
        <v>1</v>
      </c>
      <c r="AG14" s="196">
        <v>0</v>
      </c>
      <c r="AH14" s="196">
        <v>0</v>
      </c>
      <c r="AI14" s="196">
        <v>0</v>
      </c>
      <c r="AJ14" s="196">
        <v>0</v>
      </c>
      <c r="AK14" s="196">
        <v>0</v>
      </c>
      <c r="AL14" s="196">
        <v>0</v>
      </c>
      <c r="AM14" s="196">
        <v>0</v>
      </c>
      <c r="AN14" s="196">
        <v>0</v>
      </c>
      <c r="AO14" s="196">
        <v>0</v>
      </c>
      <c r="AP14" s="196">
        <v>0</v>
      </c>
      <c r="AQ14" s="196">
        <v>0</v>
      </c>
      <c r="AR14" s="196">
        <v>0</v>
      </c>
      <c r="AS14" s="196">
        <v>2.6</v>
      </c>
      <c r="AT14" s="196">
        <v>0</v>
      </c>
      <c r="AU14" s="196">
        <v>0</v>
      </c>
      <c r="AV14" s="196">
        <v>0</v>
      </c>
      <c r="AW14" s="196">
        <v>1</v>
      </c>
    </row>
    <row r="15" spans="1:49" x14ac:dyDescent="0.3">
      <c r="A15" s="196" t="s">
        <v>144</v>
      </c>
      <c r="B15" s="219">
        <v>12</v>
      </c>
      <c r="C15" s="196">
        <v>39</v>
      </c>
      <c r="D15" s="196">
        <v>3</v>
      </c>
      <c r="E15" s="196">
        <v>2</v>
      </c>
      <c r="F15" s="196">
        <v>2414.5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  <c r="AB15" s="196">
        <v>0</v>
      </c>
      <c r="AC15" s="196">
        <v>0</v>
      </c>
      <c r="AD15" s="196">
        <v>0</v>
      </c>
      <c r="AE15" s="196">
        <v>1583.5</v>
      </c>
      <c r="AF15" s="196">
        <v>176</v>
      </c>
      <c r="AG15" s="196">
        <v>0</v>
      </c>
      <c r="AH15" s="196">
        <v>0</v>
      </c>
      <c r="AI15" s="196">
        <v>0</v>
      </c>
      <c r="AJ15" s="196">
        <v>0</v>
      </c>
      <c r="AK15" s="196">
        <v>0</v>
      </c>
      <c r="AL15" s="196">
        <v>0</v>
      </c>
      <c r="AM15" s="196">
        <v>0</v>
      </c>
      <c r="AN15" s="196">
        <v>0</v>
      </c>
      <c r="AO15" s="196">
        <v>0</v>
      </c>
      <c r="AP15" s="196">
        <v>0</v>
      </c>
      <c r="AQ15" s="196">
        <v>0</v>
      </c>
      <c r="AR15" s="196">
        <v>0</v>
      </c>
      <c r="AS15" s="196">
        <v>479</v>
      </c>
      <c r="AT15" s="196">
        <v>0</v>
      </c>
      <c r="AU15" s="196">
        <v>0</v>
      </c>
      <c r="AV15" s="196">
        <v>0</v>
      </c>
      <c r="AW15" s="196">
        <v>176</v>
      </c>
    </row>
    <row r="16" spans="1:49" x14ac:dyDescent="0.3">
      <c r="A16" s="196" t="s">
        <v>132</v>
      </c>
      <c r="B16" s="219">
        <v>2016</v>
      </c>
      <c r="C16" s="196">
        <v>39</v>
      </c>
      <c r="D16" s="196">
        <v>3</v>
      </c>
      <c r="E16" s="196">
        <v>6</v>
      </c>
      <c r="F16" s="196">
        <v>443170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196">
        <v>0</v>
      </c>
      <c r="Y16" s="196">
        <v>0</v>
      </c>
      <c r="Z16" s="196">
        <v>0</v>
      </c>
      <c r="AA16" s="196">
        <v>0</v>
      </c>
      <c r="AB16" s="196">
        <v>0</v>
      </c>
      <c r="AC16" s="196">
        <v>0</v>
      </c>
      <c r="AD16" s="196">
        <v>0</v>
      </c>
      <c r="AE16" s="196">
        <v>294344</v>
      </c>
      <c r="AF16" s="196">
        <v>54263</v>
      </c>
      <c r="AG16" s="196">
        <v>0</v>
      </c>
      <c r="AH16" s="196">
        <v>0</v>
      </c>
      <c r="AI16" s="196">
        <v>0</v>
      </c>
      <c r="AJ16" s="196">
        <v>0</v>
      </c>
      <c r="AK16" s="196">
        <v>0</v>
      </c>
      <c r="AL16" s="196">
        <v>0</v>
      </c>
      <c r="AM16" s="196">
        <v>0</v>
      </c>
      <c r="AN16" s="196">
        <v>0</v>
      </c>
      <c r="AO16" s="196">
        <v>0</v>
      </c>
      <c r="AP16" s="196">
        <v>0</v>
      </c>
      <c r="AQ16" s="196">
        <v>0</v>
      </c>
      <c r="AR16" s="196">
        <v>0</v>
      </c>
      <c r="AS16" s="196">
        <v>74320</v>
      </c>
      <c r="AT16" s="196">
        <v>0</v>
      </c>
      <c r="AU16" s="196">
        <v>0</v>
      </c>
      <c r="AV16" s="196">
        <v>0</v>
      </c>
      <c r="AW16" s="196">
        <v>20243</v>
      </c>
    </row>
    <row r="17" spans="3:49" x14ac:dyDescent="0.3">
      <c r="C17" s="196">
        <v>39</v>
      </c>
      <c r="D17" s="196">
        <v>3</v>
      </c>
      <c r="E17" s="196">
        <v>10</v>
      </c>
      <c r="F17" s="196">
        <v>1100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1100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196">
        <v>0</v>
      </c>
      <c r="X17" s="196">
        <v>0</v>
      </c>
      <c r="Y17" s="196">
        <v>0</v>
      </c>
      <c r="Z17" s="196">
        <v>0</v>
      </c>
      <c r="AA17" s="196">
        <v>0</v>
      </c>
      <c r="AB17" s="196">
        <v>0</v>
      </c>
      <c r="AC17" s="196">
        <v>0</v>
      </c>
      <c r="AD17" s="196">
        <v>0</v>
      </c>
      <c r="AE17" s="196">
        <v>0</v>
      </c>
      <c r="AF17" s="196">
        <v>0</v>
      </c>
      <c r="AG17" s="196">
        <v>0</v>
      </c>
      <c r="AH17" s="196">
        <v>0</v>
      </c>
      <c r="AI17" s="196">
        <v>0</v>
      </c>
      <c r="AJ17" s="196">
        <v>0</v>
      </c>
      <c r="AK17" s="196">
        <v>0</v>
      </c>
      <c r="AL17" s="196">
        <v>0</v>
      </c>
      <c r="AM17" s="196">
        <v>0</v>
      </c>
      <c r="AN17" s="196">
        <v>0</v>
      </c>
      <c r="AO17" s="196">
        <v>0</v>
      </c>
      <c r="AP17" s="196">
        <v>0</v>
      </c>
      <c r="AQ17" s="196">
        <v>0</v>
      </c>
      <c r="AR17" s="196">
        <v>0</v>
      </c>
      <c r="AS17" s="196">
        <v>0</v>
      </c>
      <c r="AT17" s="196">
        <v>0</v>
      </c>
      <c r="AU17" s="196">
        <v>0</v>
      </c>
      <c r="AV17" s="196">
        <v>0</v>
      </c>
      <c r="AW17" s="196">
        <v>0</v>
      </c>
    </row>
    <row r="18" spans="3:49" x14ac:dyDescent="0.3">
      <c r="C18" s="196">
        <v>39</v>
      </c>
      <c r="D18" s="196">
        <v>3</v>
      </c>
      <c r="E18" s="196">
        <v>11</v>
      </c>
      <c r="F18" s="196">
        <v>2500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2500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196">
        <v>0</v>
      </c>
      <c r="Y18" s="196">
        <v>0</v>
      </c>
      <c r="Z18" s="196">
        <v>0</v>
      </c>
      <c r="AA18" s="196">
        <v>0</v>
      </c>
      <c r="AB18" s="196">
        <v>0</v>
      </c>
      <c r="AC18" s="196">
        <v>0</v>
      </c>
      <c r="AD18" s="196">
        <v>0</v>
      </c>
      <c r="AE18" s="196">
        <v>0</v>
      </c>
      <c r="AF18" s="196">
        <v>0</v>
      </c>
      <c r="AG18" s="196">
        <v>0</v>
      </c>
      <c r="AH18" s="196">
        <v>0</v>
      </c>
      <c r="AI18" s="196">
        <v>0</v>
      </c>
      <c r="AJ18" s="196">
        <v>0</v>
      </c>
      <c r="AK18" s="196">
        <v>0</v>
      </c>
      <c r="AL18" s="196">
        <v>0</v>
      </c>
      <c r="AM18" s="196">
        <v>0</v>
      </c>
      <c r="AN18" s="196">
        <v>0</v>
      </c>
      <c r="AO18" s="196">
        <v>0</v>
      </c>
      <c r="AP18" s="196">
        <v>0</v>
      </c>
      <c r="AQ18" s="196">
        <v>0</v>
      </c>
      <c r="AR18" s="196">
        <v>0</v>
      </c>
      <c r="AS18" s="196">
        <v>0</v>
      </c>
      <c r="AT18" s="196">
        <v>0</v>
      </c>
      <c r="AU18" s="196">
        <v>0</v>
      </c>
      <c r="AV18" s="196">
        <v>0</v>
      </c>
      <c r="AW18" s="196">
        <v>0</v>
      </c>
    </row>
    <row r="19" spans="3:49" x14ac:dyDescent="0.3">
      <c r="C19" s="196">
        <v>39</v>
      </c>
      <c r="D19" s="196">
        <v>4</v>
      </c>
      <c r="E19" s="196">
        <v>1</v>
      </c>
      <c r="F19" s="196">
        <v>13.6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196">
        <v>0</v>
      </c>
      <c r="Y19" s="196">
        <v>0</v>
      </c>
      <c r="Z19" s="196">
        <v>0</v>
      </c>
      <c r="AA19" s="196">
        <v>0</v>
      </c>
      <c r="AB19" s="196">
        <v>0</v>
      </c>
      <c r="AC19" s="196">
        <v>0</v>
      </c>
      <c r="AD19" s="196">
        <v>0</v>
      </c>
      <c r="AE19" s="196">
        <v>9</v>
      </c>
      <c r="AF19" s="196">
        <v>1</v>
      </c>
      <c r="AG19" s="196">
        <v>0</v>
      </c>
      <c r="AH19" s="196">
        <v>0</v>
      </c>
      <c r="AI19" s="196">
        <v>0</v>
      </c>
      <c r="AJ19" s="196">
        <v>0</v>
      </c>
      <c r="AK19" s="196">
        <v>0</v>
      </c>
      <c r="AL19" s="196">
        <v>0</v>
      </c>
      <c r="AM19" s="196">
        <v>0</v>
      </c>
      <c r="AN19" s="196">
        <v>0</v>
      </c>
      <c r="AO19" s="196">
        <v>0</v>
      </c>
      <c r="AP19" s="196">
        <v>0</v>
      </c>
      <c r="AQ19" s="196">
        <v>0</v>
      </c>
      <c r="AR19" s="196">
        <v>0</v>
      </c>
      <c r="AS19" s="196">
        <v>2.6</v>
      </c>
      <c r="AT19" s="196">
        <v>0</v>
      </c>
      <c r="AU19" s="196">
        <v>0</v>
      </c>
      <c r="AV19" s="196">
        <v>0</v>
      </c>
      <c r="AW19" s="196">
        <v>1</v>
      </c>
    </row>
    <row r="20" spans="3:49" x14ac:dyDescent="0.3">
      <c r="C20" s="196">
        <v>39</v>
      </c>
      <c r="D20" s="196">
        <v>4</v>
      </c>
      <c r="E20" s="196">
        <v>2</v>
      </c>
      <c r="F20" s="196">
        <v>1838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196">
        <v>0</v>
      </c>
      <c r="V20" s="196">
        <v>0</v>
      </c>
      <c r="W20" s="196">
        <v>0</v>
      </c>
      <c r="X20" s="196">
        <v>0</v>
      </c>
      <c r="Y20" s="196">
        <v>0</v>
      </c>
      <c r="Z20" s="196">
        <v>0</v>
      </c>
      <c r="AA20" s="196">
        <v>0</v>
      </c>
      <c r="AB20" s="196">
        <v>0</v>
      </c>
      <c r="AC20" s="196">
        <v>0</v>
      </c>
      <c r="AD20" s="196">
        <v>0</v>
      </c>
      <c r="AE20" s="196">
        <v>1276</v>
      </c>
      <c r="AF20" s="196">
        <v>140</v>
      </c>
      <c r="AG20" s="196">
        <v>0</v>
      </c>
      <c r="AH20" s="196">
        <v>0</v>
      </c>
      <c r="AI20" s="196">
        <v>0</v>
      </c>
      <c r="AJ20" s="196">
        <v>0</v>
      </c>
      <c r="AK20" s="196">
        <v>0</v>
      </c>
      <c r="AL20" s="196">
        <v>0</v>
      </c>
      <c r="AM20" s="196">
        <v>0</v>
      </c>
      <c r="AN20" s="196">
        <v>0</v>
      </c>
      <c r="AO20" s="196">
        <v>0</v>
      </c>
      <c r="AP20" s="196">
        <v>0</v>
      </c>
      <c r="AQ20" s="196">
        <v>0</v>
      </c>
      <c r="AR20" s="196">
        <v>0</v>
      </c>
      <c r="AS20" s="196">
        <v>254</v>
      </c>
      <c r="AT20" s="196">
        <v>0</v>
      </c>
      <c r="AU20" s="196">
        <v>0</v>
      </c>
      <c r="AV20" s="196">
        <v>0</v>
      </c>
      <c r="AW20" s="196">
        <v>168</v>
      </c>
    </row>
    <row r="21" spans="3:49" x14ac:dyDescent="0.3">
      <c r="C21" s="196">
        <v>39</v>
      </c>
      <c r="D21" s="196">
        <v>4</v>
      </c>
      <c r="E21" s="196">
        <v>6</v>
      </c>
      <c r="F21" s="196">
        <v>427120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U21" s="196">
        <v>0</v>
      </c>
      <c r="V21" s="196">
        <v>0</v>
      </c>
      <c r="W21" s="196">
        <v>0</v>
      </c>
      <c r="X21" s="196">
        <v>0</v>
      </c>
      <c r="Y21" s="196">
        <v>0</v>
      </c>
      <c r="Z21" s="196">
        <v>0</v>
      </c>
      <c r="AA21" s="196">
        <v>0</v>
      </c>
      <c r="AB21" s="196">
        <v>0</v>
      </c>
      <c r="AC21" s="196">
        <v>0</v>
      </c>
      <c r="AD21" s="196">
        <v>0</v>
      </c>
      <c r="AE21" s="196">
        <v>299513</v>
      </c>
      <c r="AF21" s="196">
        <v>54553</v>
      </c>
      <c r="AG21" s="196">
        <v>0</v>
      </c>
      <c r="AH21" s="196">
        <v>0</v>
      </c>
      <c r="AI21" s="196">
        <v>0</v>
      </c>
      <c r="AJ21" s="196">
        <v>0</v>
      </c>
      <c r="AK21" s="196">
        <v>0</v>
      </c>
      <c r="AL21" s="196">
        <v>0</v>
      </c>
      <c r="AM21" s="196">
        <v>0</v>
      </c>
      <c r="AN21" s="196">
        <v>0</v>
      </c>
      <c r="AO21" s="196">
        <v>0</v>
      </c>
      <c r="AP21" s="196">
        <v>0</v>
      </c>
      <c r="AQ21" s="196">
        <v>0</v>
      </c>
      <c r="AR21" s="196">
        <v>0</v>
      </c>
      <c r="AS21" s="196">
        <v>52384</v>
      </c>
      <c r="AT21" s="196">
        <v>0</v>
      </c>
      <c r="AU21" s="196">
        <v>0</v>
      </c>
      <c r="AV21" s="196">
        <v>0</v>
      </c>
      <c r="AW21" s="196">
        <v>20670</v>
      </c>
    </row>
    <row r="22" spans="3:49" x14ac:dyDescent="0.3">
      <c r="C22" s="196">
        <v>39</v>
      </c>
      <c r="D22" s="196">
        <v>4</v>
      </c>
      <c r="E22" s="196">
        <v>9</v>
      </c>
      <c r="F22" s="196">
        <v>10744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196">
        <v>0</v>
      </c>
      <c r="Z22" s="196">
        <v>0</v>
      </c>
      <c r="AA22" s="196">
        <v>0</v>
      </c>
      <c r="AB22" s="196">
        <v>0</v>
      </c>
      <c r="AC22" s="196">
        <v>0</v>
      </c>
      <c r="AD22" s="196">
        <v>0</v>
      </c>
      <c r="AE22" s="196">
        <v>10744</v>
      </c>
      <c r="AF22" s="196">
        <v>0</v>
      </c>
      <c r="AG22" s="196">
        <v>0</v>
      </c>
      <c r="AH22" s="196">
        <v>0</v>
      </c>
      <c r="AI22" s="196">
        <v>0</v>
      </c>
      <c r="AJ22" s="196">
        <v>0</v>
      </c>
      <c r="AK22" s="196">
        <v>0</v>
      </c>
      <c r="AL22" s="196">
        <v>0</v>
      </c>
      <c r="AM22" s="196">
        <v>0</v>
      </c>
      <c r="AN22" s="196">
        <v>0</v>
      </c>
      <c r="AO22" s="196">
        <v>0</v>
      </c>
      <c r="AP22" s="196">
        <v>0</v>
      </c>
      <c r="AQ22" s="196">
        <v>0</v>
      </c>
      <c r="AR22" s="196">
        <v>0</v>
      </c>
      <c r="AS22" s="196">
        <v>0</v>
      </c>
      <c r="AT22" s="196">
        <v>0</v>
      </c>
      <c r="AU22" s="196">
        <v>0</v>
      </c>
      <c r="AV22" s="196">
        <v>0</v>
      </c>
      <c r="AW22" s="196">
        <v>0</v>
      </c>
    </row>
    <row r="23" spans="3:49" x14ac:dyDescent="0.3">
      <c r="C23" s="196">
        <v>39</v>
      </c>
      <c r="D23" s="196">
        <v>4</v>
      </c>
      <c r="E23" s="196">
        <v>10</v>
      </c>
      <c r="F23" s="196">
        <v>14600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14600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  <c r="AD23" s="196">
        <v>0</v>
      </c>
      <c r="AE23" s="196">
        <v>0</v>
      </c>
      <c r="AF23" s="196">
        <v>0</v>
      </c>
      <c r="AG23" s="196">
        <v>0</v>
      </c>
      <c r="AH23" s="196">
        <v>0</v>
      </c>
      <c r="AI23" s="196">
        <v>0</v>
      </c>
      <c r="AJ23" s="196">
        <v>0</v>
      </c>
      <c r="AK23" s="196">
        <v>0</v>
      </c>
      <c r="AL23" s="196">
        <v>0</v>
      </c>
      <c r="AM23" s="196">
        <v>0</v>
      </c>
      <c r="AN23" s="196">
        <v>0</v>
      </c>
      <c r="AO23" s="196">
        <v>0</v>
      </c>
      <c r="AP23" s="196">
        <v>0</v>
      </c>
      <c r="AQ23" s="196">
        <v>0</v>
      </c>
      <c r="AR23" s="196">
        <v>0</v>
      </c>
      <c r="AS23" s="196">
        <v>0</v>
      </c>
      <c r="AT23" s="196">
        <v>0</v>
      </c>
      <c r="AU23" s="196">
        <v>0</v>
      </c>
      <c r="AV23" s="196">
        <v>0</v>
      </c>
      <c r="AW23" s="196">
        <v>0</v>
      </c>
    </row>
    <row r="24" spans="3:49" x14ac:dyDescent="0.3">
      <c r="C24" s="196">
        <v>39</v>
      </c>
      <c r="D24" s="196">
        <v>4</v>
      </c>
      <c r="E24" s="196">
        <v>11</v>
      </c>
      <c r="F24" s="196">
        <v>2500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2500</v>
      </c>
      <c r="P24" s="196">
        <v>0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6">
        <v>0</v>
      </c>
      <c r="W24" s="196">
        <v>0</v>
      </c>
      <c r="X24" s="196">
        <v>0</v>
      </c>
      <c r="Y24" s="196">
        <v>0</v>
      </c>
      <c r="Z24" s="196">
        <v>0</v>
      </c>
      <c r="AA24" s="196">
        <v>0</v>
      </c>
      <c r="AB24" s="196">
        <v>0</v>
      </c>
      <c r="AC24" s="196">
        <v>0</v>
      </c>
      <c r="AD24" s="196">
        <v>0</v>
      </c>
      <c r="AE24" s="196">
        <v>0</v>
      </c>
      <c r="AF24" s="196">
        <v>0</v>
      </c>
      <c r="AG24" s="196">
        <v>0</v>
      </c>
      <c r="AH24" s="196">
        <v>0</v>
      </c>
      <c r="AI24" s="196">
        <v>0</v>
      </c>
      <c r="AJ24" s="196">
        <v>0</v>
      </c>
      <c r="AK24" s="196">
        <v>0</v>
      </c>
      <c r="AL24" s="196">
        <v>0</v>
      </c>
      <c r="AM24" s="196">
        <v>0</v>
      </c>
      <c r="AN24" s="196">
        <v>0</v>
      </c>
      <c r="AO24" s="196">
        <v>0</v>
      </c>
      <c r="AP24" s="196">
        <v>0</v>
      </c>
      <c r="AQ24" s="196">
        <v>0</v>
      </c>
      <c r="AR24" s="196">
        <v>0</v>
      </c>
      <c r="AS24" s="196">
        <v>0</v>
      </c>
      <c r="AT24" s="196">
        <v>0</v>
      </c>
      <c r="AU24" s="196">
        <v>0</v>
      </c>
      <c r="AV24" s="196">
        <v>0</v>
      </c>
      <c r="AW24" s="196">
        <v>0</v>
      </c>
    </row>
    <row r="25" spans="3:49" x14ac:dyDescent="0.3">
      <c r="C25" s="196">
        <v>39</v>
      </c>
      <c r="D25" s="196">
        <v>5</v>
      </c>
      <c r="E25" s="196">
        <v>1</v>
      </c>
      <c r="F25" s="196">
        <v>13.6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6">
        <v>0</v>
      </c>
      <c r="W25" s="196">
        <v>0</v>
      </c>
      <c r="X25" s="196">
        <v>0</v>
      </c>
      <c r="Y25" s="196">
        <v>0</v>
      </c>
      <c r="Z25" s="196">
        <v>0</v>
      </c>
      <c r="AA25" s="196">
        <v>0</v>
      </c>
      <c r="AB25" s="196">
        <v>0</v>
      </c>
      <c r="AC25" s="196">
        <v>0</v>
      </c>
      <c r="AD25" s="196">
        <v>0</v>
      </c>
      <c r="AE25" s="196">
        <v>9</v>
      </c>
      <c r="AF25" s="196">
        <v>1</v>
      </c>
      <c r="AG25" s="196">
        <v>0</v>
      </c>
      <c r="AH25" s="196">
        <v>0</v>
      </c>
      <c r="AI25" s="196">
        <v>0</v>
      </c>
      <c r="AJ25" s="196">
        <v>0</v>
      </c>
      <c r="AK25" s="196">
        <v>0</v>
      </c>
      <c r="AL25" s="196">
        <v>0</v>
      </c>
      <c r="AM25" s="196">
        <v>0</v>
      </c>
      <c r="AN25" s="196">
        <v>0</v>
      </c>
      <c r="AO25" s="196">
        <v>0</v>
      </c>
      <c r="AP25" s="196">
        <v>0</v>
      </c>
      <c r="AQ25" s="196">
        <v>0</v>
      </c>
      <c r="AR25" s="196">
        <v>0</v>
      </c>
      <c r="AS25" s="196">
        <v>2.6</v>
      </c>
      <c r="AT25" s="196">
        <v>0</v>
      </c>
      <c r="AU25" s="196">
        <v>0</v>
      </c>
      <c r="AV25" s="196">
        <v>0</v>
      </c>
      <c r="AW25" s="196">
        <v>1</v>
      </c>
    </row>
    <row r="26" spans="3:49" x14ac:dyDescent="0.3">
      <c r="C26" s="196">
        <v>39</v>
      </c>
      <c r="D26" s="196">
        <v>5</v>
      </c>
      <c r="E26" s="196">
        <v>2</v>
      </c>
      <c r="F26" s="196">
        <v>2083.5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  <c r="AB26" s="196">
        <v>0</v>
      </c>
      <c r="AC26" s="196">
        <v>0</v>
      </c>
      <c r="AD26" s="196">
        <v>0</v>
      </c>
      <c r="AE26" s="196">
        <v>1353.5</v>
      </c>
      <c r="AF26" s="196">
        <v>176</v>
      </c>
      <c r="AG26" s="196">
        <v>0</v>
      </c>
      <c r="AH26" s="196">
        <v>0</v>
      </c>
      <c r="AI26" s="196">
        <v>0</v>
      </c>
      <c r="AJ26" s="196">
        <v>0</v>
      </c>
      <c r="AK26" s="196">
        <v>0</v>
      </c>
      <c r="AL26" s="196">
        <v>0</v>
      </c>
      <c r="AM26" s="196">
        <v>0</v>
      </c>
      <c r="AN26" s="196">
        <v>0</v>
      </c>
      <c r="AO26" s="196">
        <v>0</v>
      </c>
      <c r="AP26" s="196">
        <v>0</v>
      </c>
      <c r="AQ26" s="196">
        <v>0</v>
      </c>
      <c r="AR26" s="196">
        <v>0</v>
      </c>
      <c r="AS26" s="196">
        <v>378</v>
      </c>
      <c r="AT26" s="196">
        <v>0</v>
      </c>
      <c r="AU26" s="196">
        <v>0</v>
      </c>
      <c r="AV26" s="196">
        <v>0</v>
      </c>
      <c r="AW26" s="196">
        <v>176</v>
      </c>
    </row>
    <row r="27" spans="3:49" x14ac:dyDescent="0.3">
      <c r="C27" s="196">
        <v>39</v>
      </c>
      <c r="D27" s="196">
        <v>5</v>
      </c>
      <c r="E27" s="196">
        <v>6</v>
      </c>
      <c r="F27" s="196">
        <v>440692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  <c r="AB27" s="196">
        <v>0</v>
      </c>
      <c r="AC27" s="196">
        <v>0</v>
      </c>
      <c r="AD27" s="196">
        <v>0</v>
      </c>
      <c r="AE27" s="196">
        <v>283332</v>
      </c>
      <c r="AF27" s="196">
        <v>57684</v>
      </c>
      <c r="AG27" s="196">
        <v>0</v>
      </c>
      <c r="AH27" s="196">
        <v>0</v>
      </c>
      <c r="AI27" s="196">
        <v>0</v>
      </c>
      <c r="AJ27" s="196">
        <v>0</v>
      </c>
      <c r="AK27" s="196">
        <v>0</v>
      </c>
      <c r="AL27" s="196">
        <v>0</v>
      </c>
      <c r="AM27" s="196">
        <v>0</v>
      </c>
      <c r="AN27" s="196">
        <v>0</v>
      </c>
      <c r="AO27" s="196">
        <v>0</v>
      </c>
      <c r="AP27" s="196">
        <v>0</v>
      </c>
      <c r="AQ27" s="196">
        <v>0</v>
      </c>
      <c r="AR27" s="196">
        <v>0</v>
      </c>
      <c r="AS27" s="196">
        <v>79006</v>
      </c>
      <c r="AT27" s="196">
        <v>0</v>
      </c>
      <c r="AU27" s="196">
        <v>0</v>
      </c>
      <c r="AV27" s="196">
        <v>0</v>
      </c>
      <c r="AW27" s="196">
        <v>20670</v>
      </c>
    </row>
    <row r="28" spans="3:49" x14ac:dyDescent="0.3">
      <c r="C28" s="196">
        <v>39</v>
      </c>
      <c r="D28" s="196">
        <v>5</v>
      </c>
      <c r="E28" s="196">
        <v>9</v>
      </c>
      <c r="F28" s="196">
        <v>11652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0</v>
      </c>
      <c r="Z28" s="196">
        <v>0</v>
      </c>
      <c r="AA28" s="196">
        <v>0</v>
      </c>
      <c r="AB28" s="196">
        <v>0</v>
      </c>
      <c r="AC28" s="196">
        <v>0</v>
      </c>
      <c r="AD28" s="196">
        <v>0</v>
      </c>
      <c r="AE28" s="196">
        <v>7768</v>
      </c>
      <c r="AF28" s="196">
        <v>3884</v>
      </c>
      <c r="AG28" s="196">
        <v>0</v>
      </c>
      <c r="AH28" s="196">
        <v>0</v>
      </c>
      <c r="AI28" s="196">
        <v>0</v>
      </c>
      <c r="AJ28" s="196">
        <v>0</v>
      </c>
      <c r="AK28" s="196">
        <v>0</v>
      </c>
      <c r="AL28" s="196">
        <v>0</v>
      </c>
      <c r="AM28" s="196">
        <v>0</v>
      </c>
      <c r="AN28" s="196">
        <v>0</v>
      </c>
      <c r="AO28" s="196">
        <v>0</v>
      </c>
      <c r="AP28" s="196">
        <v>0</v>
      </c>
      <c r="AQ28" s="196">
        <v>0</v>
      </c>
      <c r="AR28" s="196">
        <v>0</v>
      </c>
      <c r="AS28" s="196">
        <v>0</v>
      </c>
      <c r="AT28" s="196">
        <v>0</v>
      </c>
      <c r="AU28" s="196">
        <v>0</v>
      </c>
      <c r="AV28" s="196">
        <v>0</v>
      </c>
      <c r="AW28" s="196">
        <v>0</v>
      </c>
    </row>
    <row r="29" spans="3:49" x14ac:dyDescent="0.3">
      <c r="C29" s="196">
        <v>39</v>
      </c>
      <c r="D29" s="196">
        <v>5</v>
      </c>
      <c r="E29" s="196">
        <v>10</v>
      </c>
      <c r="F29" s="196">
        <v>12000</v>
      </c>
      <c r="G29" s="196">
        <v>0</v>
      </c>
      <c r="H29" s="196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12000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6">
        <v>0</v>
      </c>
      <c r="W29" s="196">
        <v>0</v>
      </c>
      <c r="X29" s="196">
        <v>0</v>
      </c>
      <c r="Y29" s="196">
        <v>0</v>
      </c>
      <c r="Z29" s="196">
        <v>0</v>
      </c>
      <c r="AA29" s="196">
        <v>0</v>
      </c>
      <c r="AB29" s="196">
        <v>0</v>
      </c>
      <c r="AC29" s="196">
        <v>0</v>
      </c>
      <c r="AD29" s="196">
        <v>0</v>
      </c>
      <c r="AE29" s="196">
        <v>0</v>
      </c>
      <c r="AF29" s="196">
        <v>0</v>
      </c>
      <c r="AG29" s="196">
        <v>0</v>
      </c>
      <c r="AH29" s="196">
        <v>0</v>
      </c>
      <c r="AI29" s="196">
        <v>0</v>
      </c>
      <c r="AJ29" s="196">
        <v>0</v>
      </c>
      <c r="AK29" s="196">
        <v>0</v>
      </c>
      <c r="AL29" s="196">
        <v>0</v>
      </c>
      <c r="AM29" s="196">
        <v>0</v>
      </c>
      <c r="AN29" s="196">
        <v>0</v>
      </c>
      <c r="AO29" s="196">
        <v>0</v>
      </c>
      <c r="AP29" s="196">
        <v>0</v>
      </c>
      <c r="AQ29" s="196">
        <v>0</v>
      </c>
      <c r="AR29" s="196">
        <v>0</v>
      </c>
      <c r="AS29" s="196">
        <v>0</v>
      </c>
      <c r="AT29" s="196">
        <v>0</v>
      </c>
      <c r="AU29" s="196">
        <v>0</v>
      </c>
      <c r="AV29" s="196">
        <v>0</v>
      </c>
      <c r="AW29" s="196">
        <v>0</v>
      </c>
    </row>
    <row r="30" spans="3:49" x14ac:dyDescent="0.3">
      <c r="C30" s="196">
        <v>39</v>
      </c>
      <c r="D30" s="196">
        <v>5</v>
      </c>
      <c r="E30" s="196">
        <v>11</v>
      </c>
      <c r="F30" s="196">
        <v>2500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2500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  <c r="AD30" s="196">
        <v>0</v>
      </c>
      <c r="AE30" s="196">
        <v>0</v>
      </c>
      <c r="AF30" s="196">
        <v>0</v>
      </c>
      <c r="AG30" s="196">
        <v>0</v>
      </c>
      <c r="AH30" s="196">
        <v>0</v>
      </c>
      <c r="AI30" s="196">
        <v>0</v>
      </c>
      <c r="AJ30" s="196">
        <v>0</v>
      </c>
      <c r="AK30" s="196">
        <v>0</v>
      </c>
      <c r="AL30" s="196">
        <v>0</v>
      </c>
      <c r="AM30" s="196">
        <v>0</v>
      </c>
      <c r="AN30" s="196">
        <v>0</v>
      </c>
      <c r="AO30" s="196">
        <v>0</v>
      </c>
      <c r="AP30" s="196">
        <v>0</v>
      </c>
      <c r="AQ30" s="196">
        <v>0</v>
      </c>
      <c r="AR30" s="196">
        <v>0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</row>
    <row r="31" spans="3:49" x14ac:dyDescent="0.3">
      <c r="C31" s="196">
        <v>39</v>
      </c>
      <c r="D31" s="196">
        <v>6</v>
      </c>
      <c r="E31" s="196">
        <v>1</v>
      </c>
      <c r="F31" s="196">
        <v>13.6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6">
        <v>0</v>
      </c>
      <c r="AA31" s="196">
        <v>0</v>
      </c>
      <c r="AB31" s="196">
        <v>0</v>
      </c>
      <c r="AC31" s="196">
        <v>0</v>
      </c>
      <c r="AD31" s="196">
        <v>0</v>
      </c>
      <c r="AE31" s="196">
        <v>9</v>
      </c>
      <c r="AF31" s="196">
        <v>1</v>
      </c>
      <c r="AG31" s="196">
        <v>0</v>
      </c>
      <c r="AH31" s="196">
        <v>0</v>
      </c>
      <c r="AI31" s="196">
        <v>0</v>
      </c>
      <c r="AJ31" s="196">
        <v>0</v>
      </c>
      <c r="AK31" s="196">
        <v>0</v>
      </c>
      <c r="AL31" s="196">
        <v>0</v>
      </c>
      <c r="AM31" s="196">
        <v>0</v>
      </c>
      <c r="AN31" s="196">
        <v>0</v>
      </c>
      <c r="AO31" s="196">
        <v>0</v>
      </c>
      <c r="AP31" s="196">
        <v>0</v>
      </c>
      <c r="AQ31" s="196">
        <v>0</v>
      </c>
      <c r="AR31" s="196">
        <v>0</v>
      </c>
      <c r="AS31" s="196">
        <v>2.6</v>
      </c>
      <c r="AT31" s="196">
        <v>0</v>
      </c>
      <c r="AU31" s="196">
        <v>0</v>
      </c>
      <c r="AV31" s="196">
        <v>0</v>
      </c>
      <c r="AW31" s="196">
        <v>1</v>
      </c>
    </row>
    <row r="32" spans="3:49" x14ac:dyDescent="0.3">
      <c r="C32" s="196">
        <v>39</v>
      </c>
      <c r="D32" s="196">
        <v>6</v>
      </c>
      <c r="E32" s="196">
        <v>2</v>
      </c>
      <c r="F32" s="196">
        <v>1949.5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96">
        <v>0</v>
      </c>
      <c r="W32" s="196">
        <v>0</v>
      </c>
      <c r="X32" s="196">
        <v>0</v>
      </c>
      <c r="Y32" s="196">
        <v>0</v>
      </c>
      <c r="Z32" s="196">
        <v>0</v>
      </c>
      <c r="AA32" s="196">
        <v>0</v>
      </c>
      <c r="AB32" s="196">
        <v>0</v>
      </c>
      <c r="AC32" s="196">
        <v>0</v>
      </c>
      <c r="AD32" s="196">
        <v>0</v>
      </c>
      <c r="AE32" s="196">
        <v>1223.5</v>
      </c>
      <c r="AF32" s="196">
        <v>112</v>
      </c>
      <c r="AG32" s="196">
        <v>0</v>
      </c>
      <c r="AH32" s="196">
        <v>0</v>
      </c>
      <c r="AI32" s="196">
        <v>0</v>
      </c>
      <c r="AJ32" s="196">
        <v>0</v>
      </c>
      <c r="AK32" s="196">
        <v>0</v>
      </c>
      <c r="AL32" s="196">
        <v>0</v>
      </c>
      <c r="AM32" s="196">
        <v>0</v>
      </c>
      <c r="AN32" s="196">
        <v>0</v>
      </c>
      <c r="AO32" s="196">
        <v>0</v>
      </c>
      <c r="AP32" s="196">
        <v>0</v>
      </c>
      <c r="AQ32" s="196">
        <v>0</v>
      </c>
      <c r="AR32" s="196">
        <v>0</v>
      </c>
      <c r="AS32" s="196">
        <v>438</v>
      </c>
      <c r="AT32" s="196">
        <v>0</v>
      </c>
      <c r="AU32" s="196">
        <v>0</v>
      </c>
      <c r="AV32" s="196">
        <v>0</v>
      </c>
      <c r="AW32" s="196">
        <v>176</v>
      </c>
    </row>
    <row r="33" spans="3:49" x14ac:dyDescent="0.3">
      <c r="C33" s="196">
        <v>39</v>
      </c>
      <c r="D33" s="196">
        <v>6</v>
      </c>
      <c r="E33" s="196">
        <v>6</v>
      </c>
      <c r="F33" s="196">
        <v>424632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  <c r="AD33" s="196">
        <v>0</v>
      </c>
      <c r="AE33" s="196">
        <v>264898</v>
      </c>
      <c r="AF33" s="196">
        <v>60335</v>
      </c>
      <c r="AG33" s="196">
        <v>0</v>
      </c>
      <c r="AH33" s="196">
        <v>0</v>
      </c>
      <c r="AI33" s="196">
        <v>0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78729</v>
      </c>
      <c r="AT33" s="196">
        <v>0</v>
      </c>
      <c r="AU33" s="196">
        <v>0</v>
      </c>
      <c r="AV33" s="196">
        <v>0</v>
      </c>
      <c r="AW33" s="196">
        <v>20670</v>
      </c>
    </row>
    <row r="34" spans="3:49" x14ac:dyDescent="0.3">
      <c r="C34" s="196">
        <v>39</v>
      </c>
      <c r="D34" s="196">
        <v>6</v>
      </c>
      <c r="E34" s="196">
        <v>9</v>
      </c>
      <c r="F34" s="196">
        <v>11652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196">
        <v>0</v>
      </c>
      <c r="T34" s="196">
        <v>0</v>
      </c>
      <c r="U34" s="196">
        <v>0</v>
      </c>
      <c r="V34" s="196">
        <v>0</v>
      </c>
      <c r="W34" s="196">
        <v>0</v>
      </c>
      <c r="X34" s="196">
        <v>0</v>
      </c>
      <c r="Y34" s="196">
        <v>0</v>
      </c>
      <c r="Z34" s="196">
        <v>0</v>
      </c>
      <c r="AA34" s="196">
        <v>0</v>
      </c>
      <c r="AB34" s="196">
        <v>0</v>
      </c>
      <c r="AC34" s="196">
        <v>0</v>
      </c>
      <c r="AD34" s="196">
        <v>0</v>
      </c>
      <c r="AE34" s="196">
        <v>7768</v>
      </c>
      <c r="AF34" s="196">
        <v>3884</v>
      </c>
      <c r="AG34" s="196">
        <v>0</v>
      </c>
      <c r="AH34" s="196">
        <v>0</v>
      </c>
      <c r="AI34" s="196">
        <v>0</v>
      </c>
      <c r="AJ34" s="196">
        <v>0</v>
      </c>
      <c r="AK34" s="196">
        <v>0</v>
      </c>
      <c r="AL34" s="196">
        <v>0</v>
      </c>
      <c r="AM34" s="196">
        <v>0</v>
      </c>
      <c r="AN34" s="196">
        <v>0</v>
      </c>
      <c r="AO34" s="196">
        <v>0</v>
      </c>
      <c r="AP34" s="196">
        <v>0</v>
      </c>
      <c r="AQ34" s="196">
        <v>0</v>
      </c>
      <c r="AR34" s="196">
        <v>0</v>
      </c>
      <c r="AS34" s="196">
        <v>0</v>
      </c>
      <c r="AT34" s="196">
        <v>0</v>
      </c>
      <c r="AU34" s="196">
        <v>0</v>
      </c>
      <c r="AV34" s="196">
        <v>0</v>
      </c>
      <c r="AW34" s="196">
        <v>0</v>
      </c>
    </row>
    <row r="35" spans="3:49" x14ac:dyDescent="0.3">
      <c r="C35" s="196">
        <v>39</v>
      </c>
      <c r="D35" s="196">
        <v>6</v>
      </c>
      <c r="E35" s="196">
        <v>11</v>
      </c>
      <c r="F35" s="196">
        <v>2500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2500</v>
      </c>
      <c r="P35" s="196">
        <v>0</v>
      </c>
      <c r="Q35" s="196">
        <v>0</v>
      </c>
      <c r="R35" s="196">
        <v>0</v>
      </c>
      <c r="S35" s="196">
        <v>0</v>
      </c>
      <c r="T35" s="196">
        <v>0</v>
      </c>
      <c r="U35" s="196">
        <v>0</v>
      </c>
      <c r="V35" s="196">
        <v>0</v>
      </c>
      <c r="W35" s="196">
        <v>0</v>
      </c>
      <c r="X35" s="196">
        <v>0</v>
      </c>
      <c r="Y35" s="196">
        <v>0</v>
      </c>
      <c r="Z35" s="196">
        <v>0</v>
      </c>
      <c r="AA35" s="196">
        <v>0</v>
      </c>
      <c r="AB35" s="196">
        <v>0</v>
      </c>
      <c r="AC35" s="196">
        <v>0</v>
      </c>
      <c r="AD35" s="196">
        <v>0</v>
      </c>
      <c r="AE35" s="196">
        <v>0</v>
      </c>
      <c r="AF35" s="196">
        <v>0</v>
      </c>
      <c r="AG35" s="196">
        <v>0</v>
      </c>
      <c r="AH35" s="196">
        <v>0</v>
      </c>
      <c r="AI35" s="196">
        <v>0</v>
      </c>
      <c r="AJ35" s="196">
        <v>0</v>
      </c>
      <c r="AK35" s="196">
        <v>0</v>
      </c>
      <c r="AL35" s="196">
        <v>0</v>
      </c>
      <c r="AM35" s="196">
        <v>0</v>
      </c>
      <c r="AN35" s="196">
        <v>0</v>
      </c>
      <c r="AO35" s="196">
        <v>0</v>
      </c>
      <c r="AP35" s="196">
        <v>0</v>
      </c>
      <c r="AQ35" s="196">
        <v>0</v>
      </c>
      <c r="AR35" s="196">
        <v>0</v>
      </c>
      <c r="AS35" s="196">
        <v>0</v>
      </c>
      <c r="AT35" s="196">
        <v>0</v>
      </c>
      <c r="AU35" s="196">
        <v>0</v>
      </c>
      <c r="AV35" s="196">
        <v>0</v>
      </c>
      <c r="AW35" s="196">
        <v>0</v>
      </c>
    </row>
    <row r="36" spans="3:49" x14ac:dyDescent="0.3">
      <c r="C36" s="196">
        <v>39</v>
      </c>
      <c r="D36" s="196">
        <v>7</v>
      </c>
      <c r="E36" s="196">
        <v>1</v>
      </c>
      <c r="F36" s="196">
        <v>13.6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0</v>
      </c>
      <c r="S36" s="196">
        <v>0</v>
      </c>
      <c r="T36" s="196">
        <v>0</v>
      </c>
      <c r="U36" s="196">
        <v>0</v>
      </c>
      <c r="V36" s="196">
        <v>0</v>
      </c>
      <c r="W36" s="196">
        <v>0</v>
      </c>
      <c r="X36" s="196">
        <v>0</v>
      </c>
      <c r="Y36" s="196">
        <v>0</v>
      </c>
      <c r="Z36" s="196">
        <v>0</v>
      </c>
      <c r="AA36" s="196">
        <v>0</v>
      </c>
      <c r="AB36" s="196">
        <v>0</v>
      </c>
      <c r="AC36" s="196">
        <v>0</v>
      </c>
      <c r="AD36" s="196">
        <v>0</v>
      </c>
      <c r="AE36" s="196">
        <v>9</v>
      </c>
      <c r="AF36" s="196">
        <v>1</v>
      </c>
      <c r="AG36" s="196">
        <v>0</v>
      </c>
      <c r="AH36" s="196">
        <v>0</v>
      </c>
      <c r="AI36" s="196">
        <v>0</v>
      </c>
      <c r="AJ36" s="196">
        <v>0</v>
      </c>
      <c r="AK36" s="196">
        <v>0</v>
      </c>
      <c r="AL36" s="196">
        <v>0</v>
      </c>
      <c r="AM36" s="196">
        <v>0</v>
      </c>
      <c r="AN36" s="196">
        <v>0</v>
      </c>
      <c r="AO36" s="196">
        <v>0</v>
      </c>
      <c r="AP36" s="196">
        <v>0</v>
      </c>
      <c r="AQ36" s="196">
        <v>0</v>
      </c>
      <c r="AR36" s="196">
        <v>0</v>
      </c>
      <c r="AS36" s="196">
        <v>2.6</v>
      </c>
      <c r="AT36" s="196">
        <v>0</v>
      </c>
      <c r="AU36" s="196">
        <v>0</v>
      </c>
      <c r="AV36" s="196">
        <v>0</v>
      </c>
      <c r="AW36" s="196">
        <v>1</v>
      </c>
    </row>
    <row r="37" spans="3:49" x14ac:dyDescent="0.3">
      <c r="C37" s="196">
        <v>39</v>
      </c>
      <c r="D37" s="196">
        <v>7</v>
      </c>
      <c r="E37" s="196">
        <v>2</v>
      </c>
      <c r="F37" s="196">
        <v>1570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6">
        <v>0</v>
      </c>
      <c r="W37" s="196">
        <v>0</v>
      </c>
      <c r="X37" s="196">
        <v>0</v>
      </c>
      <c r="Y37" s="196">
        <v>0</v>
      </c>
      <c r="Z37" s="196">
        <v>0</v>
      </c>
      <c r="AA37" s="196">
        <v>0</v>
      </c>
      <c r="AB37" s="196">
        <v>0</v>
      </c>
      <c r="AC37" s="196">
        <v>0</v>
      </c>
      <c r="AD37" s="196">
        <v>0</v>
      </c>
      <c r="AE37" s="196">
        <v>907</v>
      </c>
      <c r="AF37" s="196">
        <v>132</v>
      </c>
      <c r="AG37" s="196">
        <v>0</v>
      </c>
      <c r="AH37" s="196">
        <v>0</v>
      </c>
      <c r="AI37" s="196">
        <v>0</v>
      </c>
      <c r="AJ37" s="196">
        <v>0</v>
      </c>
      <c r="AK37" s="196">
        <v>0</v>
      </c>
      <c r="AL37" s="196">
        <v>0</v>
      </c>
      <c r="AM37" s="196">
        <v>0</v>
      </c>
      <c r="AN37" s="196">
        <v>0</v>
      </c>
      <c r="AO37" s="196">
        <v>0</v>
      </c>
      <c r="AP37" s="196">
        <v>0</v>
      </c>
      <c r="AQ37" s="196">
        <v>0</v>
      </c>
      <c r="AR37" s="196">
        <v>0</v>
      </c>
      <c r="AS37" s="196">
        <v>427</v>
      </c>
      <c r="AT37" s="196">
        <v>0</v>
      </c>
      <c r="AU37" s="196">
        <v>0</v>
      </c>
      <c r="AV37" s="196">
        <v>0</v>
      </c>
      <c r="AW37" s="196">
        <v>104</v>
      </c>
    </row>
    <row r="38" spans="3:49" x14ac:dyDescent="0.3">
      <c r="C38" s="196">
        <v>39</v>
      </c>
      <c r="D38" s="196">
        <v>7</v>
      </c>
      <c r="E38" s="196">
        <v>6</v>
      </c>
      <c r="F38" s="196">
        <v>595547</v>
      </c>
      <c r="G38" s="196">
        <v>0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0</v>
      </c>
      <c r="W38" s="196">
        <v>0</v>
      </c>
      <c r="X38" s="196">
        <v>0</v>
      </c>
      <c r="Y38" s="196">
        <v>0</v>
      </c>
      <c r="Z38" s="196">
        <v>0</v>
      </c>
      <c r="AA38" s="196">
        <v>0</v>
      </c>
      <c r="AB38" s="196">
        <v>0</v>
      </c>
      <c r="AC38" s="196">
        <v>0</v>
      </c>
      <c r="AD38" s="196">
        <v>0</v>
      </c>
      <c r="AE38" s="196">
        <v>381571</v>
      </c>
      <c r="AF38" s="196">
        <v>84990</v>
      </c>
      <c r="AG38" s="196">
        <v>0</v>
      </c>
      <c r="AH38" s="196">
        <v>0</v>
      </c>
      <c r="AI38" s="196">
        <v>0</v>
      </c>
      <c r="AJ38" s="196">
        <v>0</v>
      </c>
      <c r="AK38" s="196">
        <v>0</v>
      </c>
      <c r="AL38" s="196">
        <v>0</v>
      </c>
      <c r="AM38" s="196">
        <v>0</v>
      </c>
      <c r="AN38" s="196">
        <v>0</v>
      </c>
      <c r="AO38" s="196">
        <v>0</v>
      </c>
      <c r="AP38" s="196">
        <v>0</v>
      </c>
      <c r="AQ38" s="196">
        <v>0</v>
      </c>
      <c r="AR38" s="196">
        <v>0</v>
      </c>
      <c r="AS38" s="196">
        <v>101876</v>
      </c>
      <c r="AT38" s="196">
        <v>0</v>
      </c>
      <c r="AU38" s="196">
        <v>0</v>
      </c>
      <c r="AV38" s="196">
        <v>0</v>
      </c>
      <c r="AW38" s="196">
        <v>27110</v>
      </c>
    </row>
    <row r="39" spans="3:49" x14ac:dyDescent="0.3">
      <c r="C39" s="196">
        <v>39</v>
      </c>
      <c r="D39" s="196">
        <v>7</v>
      </c>
      <c r="E39" s="196">
        <v>9</v>
      </c>
      <c r="F39" s="196">
        <v>153657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  <c r="R39" s="196">
        <v>0</v>
      </c>
      <c r="S39" s="196">
        <v>0</v>
      </c>
      <c r="T39" s="196">
        <v>0</v>
      </c>
      <c r="U39" s="196">
        <v>0</v>
      </c>
      <c r="V39" s="196">
        <v>0</v>
      </c>
      <c r="W39" s="196">
        <v>0</v>
      </c>
      <c r="X39" s="196">
        <v>0</v>
      </c>
      <c r="Y39" s="196">
        <v>0</v>
      </c>
      <c r="Z39" s="196">
        <v>0</v>
      </c>
      <c r="AA39" s="196">
        <v>0</v>
      </c>
      <c r="AB39" s="196">
        <v>0</v>
      </c>
      <c r="AC39" s="196">
        <v>0</v>
      </c>
      <c r="AD39" s="196">
        <v>0</v>
      </c>
      <c r="AE39" s="196">
        <v>92774</v>
      </c>
      <c r="AF39" s="196">
        <v>30889</v>
      </c>
      <c r="AG39" s="196">
        <v>0</v>
      </c>
      <c r="AH39" s="196">
        <v>0</v>
      </c>
      <c r="AI39" s="196">
        <v>0</v>
      </c>
      <c r="AJ39" s="196">
        <v>0</v>
      </c>
      <c r="AK39" s="196">
        <v>0</v>
      </c>
      <c r="AL39" s="196">
        <v>0</v>
      </c>
      <c r="AM39" s="196">
        <v>0</v>
      </c>
      <c r="AN39" s="196">
        <v>0</v>
      </c>
      <c r="AO39" s="196">
        <v>0</v>
      </c>
      <c r="AP39" s="196">
        <v>0</v>
      </c>
      <c r="AQ39" s="196">
        <v>0</v>
      </c>
      <c r="AR39" s="196">
        <v>0</v>
      </c>
      <c r="AS39" s="196">
        <v>23312</v>
      </c>
      <c r="AT39" s="196">
        <v>0</v>
      </c>
      <c r="AU39" s="196">
        <v>0</v>
      </c>
      <c r="AV39" s="196">
        <v>0</v>
      </c>
      <c r="AW39" s="196">
        <v>6682</v>
      </c>
    </row>
    <row r="40" spans="3:49" x14ac:dyDescent="0.3">
      <c r="C40" s="196">
        <v>39</v>
      </c>
      <c r="D40" s="196">
        <v>7</v>
      </c>
      <c r="E40" s="196">
        <v>10</v>
      </c>
      <c r="F40" s="196">
        <v>7700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7700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96">
        <v>0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0</v>
      </c>
      <c r="AD40" s="196">
        <v>0</v>
      </c>
      <c r="AE40" s="196">
        <v>0</v>
      </c>
      <c r="AF40" s="196">
        <v>0</v>
      </c>
      <c r="AG40" s="196">
        <v>0</v>
      </c>
      <c r="AH40" s="196">
        <v>0</v>
      </c>
      <c r="AI40" s="196">
        <v>0</v>
      </c>
      <c r="AJ40" s="196">
        <v>0</v>
      </c>
      <c r="AK40" s="196">
        <v>0</v>
      </c>
      <c r="AL40" s="196">
        <v>0</v>
      </c>
      <c r="AM40" s="196">
        <v>0</v>
      </c>
      <c r="AN40" s="196">
        <v>0</v>
      </c>
      <c r="AO40" s="196">
        <v>0</v>
      </c>
      <c r="AP40" s="196">
        <v>0</v>
      </c>
      <c r="AQ40" s="196">
        <v>0</v>
      </c>
      <c r="AR40" s="196">
        <v>0</v>
      </c>
      <c r="AS40" s="196">
        <v>0</v>
      </c>
      <c r="AT40" s="196">
        <v>0</v>
      </c>
      <c r="AU40" s="196">
        <v>0</v>
      </c>
      <c r="AV40" s="196">
        <v>0</v>
      </c>
      <c r="AW40" s="196">
        <v>0</v>
      </c>
    </row>
    <row r="41" spans="3:49" x14ac:dyDescent="0.3">
      <c r="C41" s="196">
        <v>39</v>
      </c>
      <c r="D41" s="196">
        <v>7</v>
      </c>
      <c r="E41" s="196">
        <v>11</v>
      </c>
      <c r="F41" s="196">
        <v>2500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2500</v>
      </c>
      <c r="P41" s="196">
        <v>0</v>
      </c>
      <c r="Q41" s="196">
        <v>0</v>
      </c>
      <c r="R41" s="196">
        <v>0</v>
      </c>
      <c r="S41" s="196">
        <v>0</v>
      </c>
      <c r="T41" s="196">
        <v>0</v>
      </c>
      <c r="U41" s="196">
        <v>0</v>
      </c>
      <c r="V41" s="196">
        <v>0</v>
      </c>
      <c r="W41" s="196">
        <v>0</v>
      </c>
      <c r="X41" s="196">
        <v>0</v>
      </c>
      <c r="Y41" s="196">
        <v>0</v>
      </c>
      <c r="Z41" s="196">
        <v>0</v>
      </c>
      <c r="AA41" s="196">
        <v>0</v>
      </c>
      <c r="AB41" s="196">
        <v>0</v>
      </c>
      <c r="AC41" s="196">
        <v>0</v>
      </c>
      <c r="AD41" s="196">
        <v>0</v>
      </c>
      <c r="AE41" s="196">
        <v>0</v>
      </c>
      <c r="AF41" s="196">
        <v>0</v>
      </c>
      <c r="AG41" s="196">
        <v>0</v>
      </c>
      <c r="AH41" s="196">
        <v>0</v>
      </c>
      <c r="AI41" s="196">
        <v>0</v>
      </c>
      <c r="AJ41" s="196">
        <v>0</v>
      </c>
      <c r="AK41" s="196">
        <v>0</v>
      </c>
      <c r="AL41" s="196">
        <v>0</v>
      </c>
      <c r="AM41" s="196">
        <v>0</v>
      </c>
      <c r="AN41" s="196">
        <v>0</v>
      </c>
      <c r="AO41" s="196">
        <v>0</v>
      </c>
      <c r="AP41" s="196">
        <v>0</v>
      </c>
      <c r="AQ41" s="196">
        <v>0</v>
      </c>
      <c r="AR41" s="196">
        <v>0</v>
      </c>
      <c r="AS41" s="196">
        <v>0</v>
      </c>
      <c r="AT41" s="196">
        <v>0</v>
      </c>
      <c r="AU41" s="196">
        <v>0</v>
      </c>
      <c r="AV41" s="196">
        <v>0</v>
      </c>
      <c r="AW41" s="196">
        <v>0</v>
      </c>
    </row>
    <row r="42" spans="3:49" x14ac:dyDescent="0.3">
      <c r="C42" s="196">
        <v>39</v>
      </c>
      <c r="D42" s="196">
        <v>8</v>
      </c>
      <c r="E42" s="196">
        <v>1</v>
      </c>
      <c r="F42" s="196">
        <v>13.6</v>
      </c>
      <c r="G42" s="196">
        <v>0</v>
      </c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  <c r="Q42" s="196">
        <v>0</v>
      </c>
      <c r="R42" s="196">
        <v>0</v>
      </c>
      <c r="S42" s="196">
        <v>0</v>
      </c>
      <c r="T42" s="196">
        <v>0</v>
      </c>
      <c r="U42" s="196">
        <v>0</v>
      </c>
      <c r="V42" s="196">
        <v>0</v>
      </c>
      <c r="W42" s="196">
        <v>0</v>
      </c>
      <c r="X42" s="196">
        <v>0</v>
      </c>
      <c r="Y42" s="196">
        <v>0</v>
      </c>
      <c r="Z42" s="196">
        <v>0</v>
      </c>
      <c r="AA42" s="196">
        <v>0</v>
      </c>
      <c r="AB42" s="196">
        <v>0</v>
      </c>
      <c r="AC42" s="196">
        <v>0</v>
      </c>
      <c r="AD42" s="196">
        <v>0</v>
      </c>
      <c r="AE42" s="196">
        <v>9</v>
      </c>
      <c r="AF42" s="196">
        <v>1</v>
      </c>
      <c r="AG42" s="196">
        <v>0</v>
      </c>
      <c r="AH42" s="196">
        <v>0</v>
      </c>
      <c r="AI42" s="196">
        <v>0</v>
      </c>
      <c r="AJ42" s="196">
        <v>0</v>
      </c>
      <c r="AK42" s="196">
        <v>0</v>
      </c>
      <c r="AL42" s="196">
        <v>0</v>
      </c>
      <c r="AM42" s="196">
        <v>0</v>
      </c>
      <c r="AN42" s="196">
        <v>0</v>
      </c>
      <c r="AO42" s="196">
        <v>0</v>
      </c>
      <c r="AP42" s="196">
        <v>0</v>
      </c>
      <c r="AQ42" s="196">
        <v>0</v>
      </c>
      <c r="AR42" s="196">
        <v>0</v>
      </c>
      <c r="AS42" s="196">
        <v>2.6</v>
      </c>
      <c r="AT42" s="196">
        <v>0</v>
      </c>
      <c r="AU42" s="196">
        <v>0</v>
      </c>
      <c r="AV42" s="196">
        <v>0</v>
      </c>
      <c r="AW42" s="196">
        <v>1</v>
      </c>
    </row>
    <row r="43" spans="3:49" x14ac:dyDescent="0.3">
      <c r="C43" s="196">
        <v>39</v>
      </c>
      <c r="D43" s="196">
        <v>8</v>
      </c>
      <c r="E43" s="196">
        <v>2</v>
      </c>
      <c r="F43" s="196">
        <v>1527.5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  <c r="Q43" s="196">
        <v>0</v>
      </c>
      <c r="R43" s="196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0</v>
      </c>
      <c r="Y43" s="196">
        <v>0</v>
      </c>
      <c r="Z43" s="196">
        <v>0</v>
      </c>
      <c r="AA43" s="196">
        <v>0</v>
      </c>
      <c r="AB43" s="196">
        <v>0</v>
      </c>
      <c r="AC43" s="196">
        <v>0</v>
      </c>
      <c r="AD43" s="196">
        <v>0</v>
      </c>
      <c r="AE43" s="196">
        <v>910.5</v>
      </c>
      <c r="AF43" s="196">
        <v>184</v>
      </c>
      <c r="AG43" s="196">
        <v>0</v>
      </c>
      <c r="AH43" s="196">
        <v>0</v>
      </c>
      <c r="AI43" s="196">
        <v>0</v>
      </c>
      <c r="AJ43" s="196">
        <v>0</v>
      </c>
      <c r="AK43" s="196">
        <v>0</v>
      </c>
      <c r="AL43" s="196">
        <v>0</v>
      </c>
      <c r="AM43" s="196">
        <v>0</v>
      </c>
      <c r="AN43" s="196">
        <v>0</v>
      </c>
      <c r="AO43" s="196">
        <v>0</v>
      </c>
      <c r="AP43" s="196">
        <v>0</v>
      </c>
      <c r="AQ43" s="196">
        <v>0</v>
      </c>
      <c r="AR43" s="196">
        <v>0</v>
      </c>
      <c r="AS43" s="196">
        <v>321</v>
      </c>
      <c r="AT43" s="196">
        <v>0</v>
      </c>
      <c r="AU43" s="196">
        <v>0</v>
      </c>
      <c r="AV43" s="196">
        <v>0</v>
      </c>
      <c r="AW43" s="196">
        <v>112</v>
      </c>
    </row>
    <row r="44" spans="3:49" x14ac:dyDescent="0.3">
      <c r="C44" s="196">
        <v>39</v>
      </c>
      <c r="D44" s="196">
        <v>8</v>
      </c>
      <c r="E44" s="196">
        <v>6</v>
      </c>
      <c r="F44" s="196">
        <v>444327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0</v>
      </c>
      <c r="Y44" s="196">
        <v>0</v>
      </c>
      <c r="Z44" s="196">
        <v>0</v>
      </c>
      <c r="AA44" s="196">
        <v>0</v>
      </c>
      <c r="AB44" s="196">
        <v>0</v>
      </c>
      <c r="AC44" s="196">
        <v>0</v>
      </c>
      <c r="AD44" s="196">
        <v>0</v>
      </c>
      <c r="AE44" s="196">
        <v>289009</v>
      </c>
      <c r="AF44" s="196">
        <v>53800</v>
      </c>
      <c r="AG44" s="196">
        <v>0</v>
      </c>
      <c r="AH44" s="196">
        <v>0</v>
      </c>
      <c r="AI44" s="196">
        <v>0</v>
      </c>
      <c r="AJ44" s="196">
        <v>0</v>
      </c>
      <c r="AK44" s="196">
        <v>0</v>
      </c>
      <c r="AL44" s="196">
        <v>0</v>
      </c>
      <c r="AM44" s="196">
        <v>0</v>
      </c>
      <c r="AN44" s="196">
        <v>0</v>
      </c>
      <c r="AO44" s="196">
        <v>0</v>
      </c>
      <c r="AP44" s="196">
        <v>0</v>
      </c>
      <c r="AQ44" s="196">
        <v>0</v>
      </c>
      <c r="AR44" s="196">
        <v>0</v>
      </c>
      <c r="AS44" s="196">
        <v>80350</v>
      </c>
      <c r="AT44" s="196">
        <v>0</v>
      </c>
      <c r="AU44" s="196">
        <v>0</v>
      </c>
      <c r="AV44" s="196">
        <v>0</v>
      </c>
      <c r="AW44" s="196">
        <v>21168</v>
      </c>
    </row>
    <row r="45" spans="3:49" x14ac:dyDescent="0.3">
      <c r="C45" s="196">
        <v>39</v>
      </c>
      <c r="D45" s="196">
        <v>8</v>
      </c>
      <c r="E45" s="196">
        <v>11</v>
      </c>
      <c r="F45" s="196">
        <v>2500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2500</v>
      </c>
      <c r="P45" s="196">
        <v>0</v>
      </c>
      <c r="Q45" s="196">
        <v>0</v>
      </c>
      <c r="R45" s="196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0</v>
      </c>
      <c r="AC45" s="196">
        <v>0</v>
      </c>
      <c r="AD45" s="196">
        <v>0</v>
      </c>
      <c r="AE45" s="196">
        <v>0</v>
      </c>
      <c r="AF45" s="196">
        <v>0</v>
      </c>
      <c r="AG45" s="196">
        <v>0</v>
      </c>
      <c r="AH45" s="196">
        <v>0</v>
      </c>
      <c r="AI45" s="196">
        <v>0</v>
      </c>
      <c r="AJ45" s="196">
        <v>0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196">
        <v>0</v>
      </c>
      <c r="AR45" s="196">
        <v>0</v>
      </c>
      <c r="AS45" s="196">
        <v>0</v>
      </c>
      <c r="AT45" s="196">
        <v>0</v>
      </c>
      <c r="AU45" s="196">
        <v>0</v>
      </c>
      <c r="AV45" s="196">
        <v>0</v>
      </c>
      <c r="AW45" s="19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308" t="s">
        <v>337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19" ht="14.4" customHeight="1" thickBot="1" x14ac:dyDescent="0.35">
      <c r="A2" s="200" t="s">
        <v>203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6" t="s">
        <v>111</v>
      </c>
      <c r="B3" s="187">
        <f>SUBTOTAL(9,B6:B1048576)/2</f>
        <v>2867725</v>
      </c>
      <c r="C3" s="188">
        <f t="shared" ref="C3:R3" si="0">SUBTOTAL(9,C6:C1048576)</f>
        <v>2</v>
      </c>
      <c r="D3" s="188">
        <f>SUBTOTAL(9,D6:D1048576)/2</f>
        <v>2653472</v>
      </c>
      <c r="E3" s="188">
        <f t="shared" si="0"/>
        <v>1.8505763279254461</v>
      </c>
      <c r="F3" s="188">
        <f>SUBTOTAL(9,F6:F1048576)/2</f>
        <v>3123686.9700000007</v>
      </c>
      <c r="G3" s="189">
        <f>IF(B3&lt;&gt;0,F3/B3,"")</f>
        <v>1.0892561071929843</v>
      </c>
      <c r="H3" s="190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91" t="str">
        <f>IF(H3&lt;&gt;0,L3/H3,"")</f>
        <v/>
      </c>
      <c r="N3" s="187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IF(N3&lt;&gt;0,R3/N3,"")</f>
        <v/>
      </c>
    </row>
    <row r="4" spans="1:19" ht="14.4" customHeight="1" x14ac:dyDescent="0.3">
      <c r="A4" s="309" t="s">
        <v>175</v>
      </c>
      <c r="B4" s="310" t="s">
        <v>85</v>
      </c>
      <c r="C4" s="311"/>
      <c r="D4" s="311"/>
      <c r="E4" s="311"/>
      <c r="F4" s="311"/>
      <c r="G4" s="312"/>
      <c r="H4" s="310" t="s">
        <v>86</v>
      </c>
      <c r="I4" s="311"/>
      <c r="J4" s="311"/>
      <c r="K4" s="311"/>
      <c r="L4" s="311"/>
      <c r="M4" s="312"/>
      <c r="N4" s="310" t="s">
        <v>87</v>
      </c>
      <c r="O4" s="311"/>
      <c r="P4" s="311"/>
      <c r="Q4" s="311"/>
      <c r="R4" s="311"/>
      <c r="S4" s="312"/>
    </row>
    <row r="5" spans="1:19" ht="14.4" customHeight="1" thickBot="1" x14ac:dyDescent="0.35">
      <c r="A5" s="408"/>
      <c r="B5" s="409">
        <v>2014</v>
      </c>
      <c r="C5" s="410"/>
      <c r="D5" s="410">
        <v>2015</v>
      </c>
      <c r="E5" s="410"/>
      <c r="F5" s="410">
        <v>2016</v>
      </c>
      <c r="G5" s="411" t="s">
        <v>2</v>
      </c>
      <c r="H5" s="409">
        <v>2014</v>
      </c>
      <c r="I5" s="410"/>
      <c r="J5" s="410">
        <v>2015</v>
      </c>
      <c r="K5" s="410"/>
      <c r="L5" s="410">
        <v>2016</v>
      </c>
      <c r="M5" s="411" t="s">
        <v>2</v>
      </c>
      <c r="N5" s="409">
        <v>2014</v>
      </c>
      <c r="O5" s="410"/>
      <c r="P5" s="410">
        <v>2015</v>
      </c>
      <c r="Q5" s="410"/>
      <c r="R5" s="410">
        <v>2016</v>
      </c>
      <c r="S5" s="411" t="s">
        <v>2</v>
      </c>
    </row>
    <row r="6" spans="1:19" ht="14.4" customHeight="1" thickBot="1" x14ac:dyDescent="0.35">
      <c r="A6" s="414" t="s">
        <v>336</v>
      </c>
      <c r="B6" s="412">
        <v>2867725</v>
      </c>
      <c r="C6" s="413">
        <v>1</v>
      </c>
      <c r="D6" s="412">
        <v>2653472</v>
      </c>
      <c r="E6" s="413">
        <v>0.92528816396272306</v>
      </c>
      <c r="F6" s="412">
        <v>3123686.9700000007</v>
      </c>
      <c r="G6" s="254">
        <v>1.0892561071929843</v>
      </c>
      <c r="H6" s="412"/>
      <c r="I6" s="413"/>
      <c r="J6" s="412"/>
      <c r="K6" s="413"/>
      <c r="L6" s="412"/>
      <c r="M6" s="254"/>
      <c r="N6" s="412"/>
      <c r="O6" s="413"/>
      <c r="P6" s="412"/>
      <c r="Q6" s="413"/>
      <c r="R6" s="412"/>
      <c r="S6" s="255"/>
    </row>
    <row r="7" spans="1:19" ht="14.4" customHeight="1" thickBot="1" x14ac:dyDescent="0.35"/>
    <row r="8" spans="1:19" ht="14.4" customHeight="1" thickBot="1" x14ac:dyDescent="0.35">
      <c r="A8" s="414" t="s">
        <v>317</v>
      </c>
      <c r="B8" s="412">
        <v>2867725</v>
      </c>
      <c r="C8" s="413">
        <v>1</v>
      </c>
      <c r="D8" s="412">
        <v>2653472</v>
      </c>
      <c r="E8" s="413">
        <v>0.92528816396272306</v>
      </c>
      <c r="F8" s="412">
        <v>3123686.97</v>
      </c>
      <c r="G8" s="254">
        <v>1.089256107192984</v>
      </c>
      <c r="H8" s="412"/>
      <c r="I8" s="413"/>
      <c r="J8" s="412"/>
      <c r="K8" s="413"/>
      <c r="L8" s="412"/>
      <c r="M8" s="254"/>
      <c r="N8" s="412"/>
      <c r="O8" s="413"/>
      <c r="P8" s="412"/>
      <c r="Q8" s="413"/>
      <c r="R8" s="412"/>
      <c r="S8" s="255"/>
    </row>
    <row r="9" spans="1:19" ht="14.4" customHeight="1" x14ac:dyDescent="0.3">
      <c r="A9" s="415" t="s">
        <v>338</v>
      </c>
    </row>
    <row r="10" spans="1:19" ht="14.4" customHeight="1" x14ac:dyDescent="0.3">
      <c r="A10" s="416" t="s">
        <v>339</v>
      </c>
    </row>
    <row r="11" spans="1:19" ht="14.4" customHeight="1" x14ac:dyDescent="0.3">
      <c r="A11" s="415" t="s">
        <v>340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79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08" t="s">
        <v>357</v>
      </c>
      <c r="B1" s="268"/>
      <c r="C1" s="268"/>
      <c r="D1" s="268"/>
      <c r="E1" s="268"/>
      <c r="F1" s="268"/>
      <c r="G1" s="268"/>
    </row>
    <row r="2" spans="1:7" ht="14.4" customHeight="1" thickBot="1" x14ac:dyDescent="0.35">
      <c r="A2" s="200" t="s">
        <v>203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6" t="s">
        <v>111</v>
      </c>
      <c r="B3" s="258">
        <f t="shared" ref="B3:G3" si="0">SUBTOTAL(9,B6:B1048576)</f>
        <v>8234</v>
      </c>
      <c r="C3" s="259">
        <f t="shared" si="0"/>
        <v>7063</v>
      </c>
      <c r="D3" s="259">
        <f t="shared" si="0"/>
        <v>8324</v>
      </c>
      <c r="E3" s="190">
        <f t="shared" si="0"/>
        <v>2867725</v>
      </c>
      <c r="F3" s="188">
        <f t="shared" si="0"/>
        <v>2653472</v>
      </c>
      <c r="G3" s="260">
        <f t="shared" si="0"/>
        <v>3123686.97</v>
      </c>
    </row>
    <row r="4" spans="1:7" ht="14.4" customHeight="1" x14ac:dyDescent="0.3">
      <c r="A4" s="309" t="s">
        <v>112</v>
      </c>
      <c r="B4" s="310" t="s">
        <v>172</v>
      </c>
      <c r="C4" s="311"/>
      <c r="D4" s="311"/>
      <c r="E4" s="313" t="s">
        <v>85</v>
      </c>
      <c r="F4" s="314"/>
      <c r="G4" s="315"/>
    </row>
    <row r="5" spans="1:7" ht="14.4" customHeight="1" thickBot="1" x14ac:dyDescent="0.35">
      <c r="A5" s="408"/>
      <c r="B5" s="409">
        <v>2014</v>
      </c>
      <c r="C5" s="410">
        <v>2015</v>
      </c>
      <c r="D5" s="410">
        <v>2016</v>
      </c>
      <c r="E5" s="409">
        <v>2014</v>
      </c>
      <c r="F5" s="410">
        <v>2015</v>
      </c>
      <c r="G5" s="410">
        <v>2016</v>
      </c>
    </row>
    <row r="6" spans="1:7" ht="14.4" customHeight="1" x14ac:dyDescent="0.3">
      <c r="A6" s="425" t="s">
        <v>341</v>
      </c>
      <c r="B6" s="371">
        <v>552</v>
      </c>
      <c r="C6" s="371">
        <v>406</v>
      </c>
      <c r="D6" s="371">
        <v>357</v>
      </c>
      <c r="E6" s="417">
        <v>184471</v>
      </c>
      <c r="F6" s="417">
        <v>145564</v>
      </c>
      <c r="G6" s="418">
        <v>136699.33000000002</v>
      </c>
    </row>
    <row r="7" spans="1:7" ht="14.4" customHeight="1" x14ac:dyDescent="0.3">
      <c r="A7" s="426" t="s">
        <v>342</v>
      </c>
      <c r="B7" s="420">
        <v>489</v>
      </c>
      <c r="C7" s="420">
        <v>348</v>
      </c>
      <c r="D7" s="420">
        <v>514</v>
      </c>
      <c r="E7" s="421">
        <v>174632</v>
      </c>
      <c r="F7" s="421">
        <v>121324</v>
      </c>
      <c r="G7" s="422">
        <v>178015.65999999997</v>
      </c>
    </row>
    <row r="8" spans="1:7" ht="14.4" customHeight="1" x14ac:dyDescent="0.3">
      <c r="A8" s="426" t="s">
        <v>343</v>
      </c>
      <c r="B8" s="420">
        <v>1037</v>
      </c>
      <c r="C8" s="420">
        <v>952</v>
      </c>
      <c r="D8" s="420">
        <v>834</v>
      </c>
      <c r="E8" s="421">
        <v>386269</v>
      </c>
      <c r="F8" s="421">
        <v>369009</v>
      </c>
      <c r="G8" s="422">
        <v>346807</v>
      </c>
    </row>
    <row r="9" spans="1:7" ht="14.4" customHeight="1" x14ac:dyDescent="0.3">
      <c r="A9" s="426" t="s">
        <v>344</v>
      </c>
      <c r="B9" s="420">
        <v>637</v>
      </c>
      <c r="C9" s="420">
        <v>695</v>
      </c>
      <c r="D9" s="420">
        <v>331</v>
      </c>
      <c r="E9" s="421">
        <v>240396</v>
      </c>
      <c r="F9" s="421">
        <v>316997</v>
      </c>
      <c r="G9" s="422">
        <v>157457</v>
      </c>
    </row>
    <row r="10" spans="1:7" ht="14.4" customHeight="1" x14ac:dyDescent="0.3">
      <c r="A10" s="426" t="s">
        <v>345</v>
      </c>
      <c r="B10" s="420">
        <v>998</v>
      </c>
      <c r="C10" s="420">
        <v>852</v>
      </c>
      <c r="D10" s="420">
        <v>1095</v>
      </c>
      <c r="E10" s="421">
        <v>330214</v>
      </c>
      <c r="F10" s="421">
        <v>294561</v>
      </c>
      <c r="G10" s="422">
        <v>393519.29999999993</v>
      </c>
    </row>
    <row r="11" spans="1:7" ht="14.4" customHeight="1" x14ac:dyDescent="0.3">
      <c r="A11" s="426" t="s">
        <v>346</v>
      </c>
      <c r="B11" s="420">
        <v>20</v>
      </c>
      <c r="C11" s="420"/>
      <c r="D11" s="420"/>
      <c r="E11" s="421">
        <v>6440</v>
      </c>
      <c r="F11" s="421"/>
      <c r="G11" s="422"/>
    </row>
    <row r="12" spans="1:7" ht="14.4" customHeight="1" x14ac:dyDescent="0.3">
      <c r="A12" s="426" t="s">
        <v>347</v>
      </c>
      <c r="B12" s="420">
        <v>1055</v>
      </c>
      <c r="C12" s="420">
        <v>944</v>
      </c>
      <c r="D12" s="420">
        <v>1074</v>
      </c>
      <c r="E12" s="421">
        <v>349156</v>
      </c>
      <c r="F12" s="421">
        <v>340304</v>
      </c>
      <c r="G12" s="422">
        <v>407028</v>
      </c>
    </row>
    <row r="13" spans="1:7" ht="14.4" customHeight="1" x14ac:dyDescent="0.3">
      <c r="A13" s="426" t="s">
        <v>348</v>
      </c>
      <c r="B13" s="420">
        <v>234</v>
      </c>
      <c r="C13" s="420">
        <v>386</v>
      </c>
      <c r="D13" s="420">
        <v>419</v>
      </c>
      <c r="E13" s="421">
        <v>75742</v>
      </c>
      <c r="F13" s="421">
        <v>138609</v>
      </c>
      <c r="G13" s="422">
        <v>150583.98000000001</v>
      </c>
    </row>
    <row r="14" spans="1:7" ht="14.4" customHeight="1" x14ac:dyDescent="0.3">
      <c r="A14" s="426" t="s">
        <v>349</v>
      </c>
      <c r="B14" s="420">
        <v>228</v>
      </c>
      <c r="C14" s="420">
        <v>396</v>
      </c>
      <c r="D14" s="420">
        <v>531</v>
      </c>
      <c r="E14" s="421">
        <v>80624</v>
      </c>
      <c r="F14" s="421">
        <v>131056</v>
      </c>
      <c r="G14" s="422">
        <v>183352.67999999996</v>
      </c>
    </row>
    <row r="15" spans="1:7" ht="14.4" customHeight="1" x14ac:dyDescent="0.3">
      <c r="A15" s="426" t="s">
        <v>350</v>
      </c>
      <c r="B15" s="420">
        <v>1026</v>
      </c>
      <c r="C15" s="420">
        <v>375</v>
      </c>
      <c r="D15" s="420"/>
      <c r="E15" s="421">
        <v>330232</v>
      </c>
      <c r="F15" s="421">
        <v>120113</v>
      </c>
      <c r="G15" s="422"/>
    </row>
    <row r="16" spans="1:7" ht="14.4" customHeight="1" x14ac:dyDescent="0.3">
      <c r="A16" s="426" t="s">
        <v>351</v>
      </c>
      <c r="B16" s="420"/>
      <c r="C16" s="420">
        <v>58</v>
      </c>
      <c r="D16" s="420">
        <v>856</v>
      </c>
      <c r="E16" s="421"/>
      <c r="F16" s="421">
        <v>18228</v>
      </c>
      <c r="G16" s="422">
        <v>265712</v>
      </c>
    </row>
    <row r="17" spans="1:7" ht="14.4" customHeight="1" x14ac:dyDescent="0.3">
      <c r="A17" s="426" t="s">
        <v>352</v>
      </c>
      <c r="B17" s="420">
        <v>99</v>
      </c>
      <c r="C17" s="420">
        <v>114</v>
      </c>
      <c r="D17" s="420">
        <v>106</v>
      </c>
      <c r="E17" s="421">
        <v>30004</v>
      </c>
      <c r="F17" s="421">
        <v>36822</v>
      </c>
      <c r="G17" s="422">
        <v>36676</v>
      </c>
    </row>
    <row r="18" spans="1:7" ht="14.4" customHeight="1" x14ac:dyDescent="0.3">
      <c r="A18" s="426" t="s">
        <v>353</v>
      </c>
      <c r="B18" s="420">
        <v>934</v>
      </c>
      <c r="C18" s="420">
        <v>732</v>
      </c>
      <c r="D18" s="420">
        <v>992</v>
      </c>
      <c r="E18" s="421">
        <v>338805</v>
      </c>
      <c r="F18" s="421">
        <v>294639</v>
      </c>
      <c r="G18" s="422">
        <v>382177.35000000003</v>
      </c>
    </row>
    <row r="19" spans="1:7" ht="14.4" customHeight="1" x14ac:dyDescent="0.3">
      <c r="A19" s="426" t="s">
        <v>354</v>
      </c>
      <c r="B19" s="420">
        <v>649</v>
      </c>
      <c r="C19" s="420">
        <v>558</v>
      </c>
      <c r="D19" s="420">
        <v>863</v>
      </c>
      <c r="E19" s="421">
        <v>252240</v>
      </c>
      <c r="F19" s="421">
        <v>229294</v>
      </c>
      <c r="G19" s="422">
        <v>331150.6700000001</v>
      </c>
    </row>
    <row r="20" spans="1:7" ht="14.4" customHeight="1" x14ac:dyDescent="0.3">
      <c r="A20" s="426" t="s">
        <v>355</v>
      </c>
      <c r="B20" s="420">
        <v>276</v>
      </c>
      <c r="C20" s="420">
        <v>132</v>
      </c>
      <c r="D20" s="420"/>
      <c r="E20" s="421">
        <v>88500</v>
      </c>
      <c r="F20" s="421">
        <v>42859</v>
      </c>
      <c r="G20" s="422"/>
    </row>
    <row r="21" spans="1:7" ht="14.4" customHeight="1" thickBot="1" x14ac:dyDescent="0.35">
      <c r="A21" s="427" t="s">
        <v>356</v>
      </c>
      <c r="B21" s="377"/>
      <c r="C21" s="377">
        <v>115</v>
      </c>
      <c r="D21" s="377">
        <v>352</v>
      </c>
      <c r="E21" s="423"/>
      <c r="F21" s="423">
        <v>54093</v>
      </c>
      <c r="G21" s="424">
        <v>154507.99999999997</v>
      </c>
    </row>
    <row r="22" spans="1:7" ht="14.4" customHeight="1" x14ac:dyDescent="0.3">
      <c r="A22" s="415" t="s">
        <v>338</v>
      </c>
    </row>
    <row r="23" spans="1:7" ht="14.4" customHeight="1" x14ac:dyDescent="0.3">
      <c r="A23" s="416" t="s">
        <v>339</v>
      </c>
    </row>
    <row r="24" spans="1:7" ht="14.4" customHeight="1" x14ac:dyDescent="0.3">
      <c r="A24" s="415" t="s">
        <v>340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79" customWidth="1"/>
    <col min="8" max="9" width="9.33203125" style="105" hidden="1" customWidth="1"/>
    <col min="10" max="11" width="11.109375" style="179" customWidth="1"/>
    <col min="12" max="13" width="9.33203125" style="105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68" t="s">
        <v>388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4.4" customHeight="1" thickBot="1" x14ac:dyDescent="0.35">
      <c r="A2" s="200" t="s">
        <v>203</v>
      </c>
      <c r="B2" s="263"/>
      <c r="C2" s="106"/>
      <c r="D2" s="257"/>
      <c r="E2" s="106"/>
      <c r="F2" s="194"/>
      <c r="G2" s="194"/>
      <c r="H2" s="106"/>
      <c r="I2" s="106"/>
      <c r="J2" s="194"/>
      <c r="K2" s="194"/>
      <c r="L2" s="106"/>
      <c r="M2" s="106"/>
      <c r="N2" s="194"/>
      <c r="O2" s="194"/>
      <c r="P2" s="195"/>
      <c r="Q2" s="194"/>
    </row>
    <row r="3" spans="1:17" ht="14.4" customHeight="1" thickBot="1" x14ac:dyDescent="0.35">
      <c r="E3" s="63" t="s">
        <v>111</v>
      </c>
      <c r="F3" s="77">
        <f t="shared" ref="F3:O3" si="0">SUBTOTAL(9,F6:F1048576)</f>
        <v>8234</v>
      </c>
      <c r="G3" s="78">
        <f t="shared" si="0"/>
        <v>2867725</v>
      </c>
      <c r="H3" s="58"/>
      <c r="I3" s="58"/>
      <c r="J3" s="78">
        <f t="shared" si="0"/>
        <v>7063</v>
      </c>
      <c r="K3" s="78">
        <f t="shared" si="0"/>
        <v>2653472</v>
      </c>
      <c r="L3" s="58"/>
      <c r="M3" s="58"/>
      <c r="N3" s="78">
        <f t="shared" si="0"/>
        <v>8324</v>
      </c>
      <c r="O3" s="78">
        <f t="shared" si="0"/>
        <v>3123686.97</v>
      </c>
      <c r="P3" s="59">
        <f>IF(G3=0,0,O3/G3)</f>
        <v>1.089256107192984</v>
      </c>
      <c r="Q3" s="79">
        <f>IF(N3=0,0,O3/N3)</f>
        <v>375.26273065833738</v>
      </c>
    </row>
    <row r="4" spans="1:17" ht="14.4" customHeight="1" x14ac:dyDescent="0.3">
      <c r="A4" s="317" t="s">
        <v>81</v>
      </c>
      <c r="B4" s="324" t="s">
        <v>0</v>
      </c>
      <c r="C4" s="318" t="s">
        <v>82</v>
      </c>
      <c r="D4" s="323" t="s">
        <v>57</v>
      </c>
      <c r="E4" s="319" t="s">
        <v>56</v>
      </c>
      <c r="F4" s="320">
        <v>2014</v>
      </c>
      <c r="G4" s="321"/>
      <c r="H4" s="76"/>
      <c r="I4" s="76"/>
      <c r="J4" s="320">
        <v>2015</v>
      </c>
      <c r="K4" s="321"/>
      <c r="L4" s="76"/>
      <c r="M4" s="76"/>
      <c r="N4" s="320">
        <v>2016</v>
      </c>
      <c r="O4" s="321"/>
      <c r="P4" s="322" t="s">
        <v>2</v>
      </c>
      <c r="Q4" s="316" t="s">
        <v>84</v>
      </c>
    </row>
    <row r="5" spans="1:17" ht="14.4" customHeight="1" thickBot="1" x14ac:dyDescent="0.35">
      <c r="A5" s="428"/>
      <c r="B5" s="429"/>
      <c r="C5" s="430"/>
      <c r="D5" s="431"/>
      <c r="E5" s="432"/>
      <c r="F5" s="433" t="s">
        <v>58</v>
      </c>
      <c r="G5" s="434" t="s">
        <v>14</v>
      </c>
      <c r="H5" s="435"/>
      <c r="I5" s="435"/>
      <c r="J5" s="433" t="s">
        <v>58</v>
      </c>
      <c r="K5" s="434" t="s">
        <v>14</v>
      </c>
      <c r="L5" s="435"/>
      <c r="M5" s="435"/>
      <c r="N5" s="433" t="s">
        <v>58</v>
      </c>
      <c r="O5" s="434" t="s">
        <v>14</v>
      </c>
      <c r="P5" s="436"/>
      <c r="Q5" s="437"/>
    </row>
    <row r="6" spans="1:17" ht="14.4" customHeight="1" x14ac:dyDescent="0.3">
      <c r="A6" s="367" t="s">
        <v>358</v>
      </c>
      <c r="B6" s="368" t="s">
        <v>317</v>
      </c>
      <c r="C6" s="368" t="s">
        <v>359</v>
      </c>
      <c r="D6" s="368" t="s">
        <v>360</v>
      </c>
      <c r="E6" s="368" t="s">
        <v>361</v>
      </c>
      <c r="F6" s="371">
        <v>1</v>
      </c>
      <c r="G6" s="371">
        <v>34</v>
      </c>
      <c r="H6" s="368">
        <v>1</v>
      </c>
      <c r="I6" s="368">
        <v>34</v>
      </c>
      <c r="J6" s="371"/>
      <c r="K6" s="371"/>
      <c r="L6" s="368"/>
      <c r="M6" s="368"/>
      <c r="N6" s="371"/>
      <c r="O6" s="371"/>
      <c r="P6" s="438"/>
      <c r="Q6" s="372"/>
    </row>
    <row r="7" spans="1:17" ht="14.4" customHeight="1" x14ac:dyDescent="0.3">
      <c r="A7" s="419" t="s">
        <v>358</v>
      </c>
      <c r="B7" s="439" t="s">
        <v>317</v>
      </c>
      <c r="C7" s="439" t="s">
        <v>359</v>
      </c>
      <c r="D7" s="439" t="s">
        <v>362</v>
      </c>
      <c r="E7" s="439" t="s">
        <v>363</v>
      </c>
      <c r="F7" s="420">
        <v>52</v>
      </c>
      <c r="G7" s="420">
        <v>3620</v>
      </c>
      <c r="H7" s="439">
        <v>1</v>
      </c>
      <c r="I7" s="439">
        <v>69.615384615384613</v>
      </c>
      <c r="J7" s="420">
        <v>38</v>
      </c>
      <c r="K7" s="420">
        <v>2660</v>
      </c>
      <c r="L7" s="439">
        <v>0.73480662983425415</v>
      </c>
      <c r="M7" s="439">
        <v>70</v>
      </c>
      <c r="N7" s="420">
        <v>167</v>
      </c>
      <c r="O7" s="420">
        <v>12358</v>
      </c>
      <c r="P7" s="440">
        <v>3.4138121546961324</v>
      </c>
      <c r="Q7" s="441">
        <v>74</v>
      </c>
    </row>
    <row r="8" spans="1:17" ht="14.4" customHeight="1" x14ac:dyDescent="0.3">
      <c r="A8" s="419" t="s">
        <v>358</v>
      </c>
      <c r="B8" s="439" t="s">
        <v>317</v>
      </c>
      <c r="C8" s="439" t="s">
        <v>359</v>
      </c>
      <c r="D8" s="439" t="s">
        <v>364</v>
      </c>
      <c r="E8" s="439" t="s">
        <v>365</v>
      </c>
      <c r="F8" s="420">
        <v>4804</v>
      </c>
      <c r="G8" s="420">
        <v>1541329</v>
      </c>
      <c r="H8" s="439">
        <v>1</v>
      </c>
      <c r="I8" s="439">
        <v>320.84283930058285</v>
      </c>
      <c r="J8" s="420">
        <v>4044</v>
      </c>
      <c r="K8" s="420">
        <v>1306212</v>
      </c>
      <c r="L8" s="439">
        <v>0.84745826491294196</v>
      </c>
      <c r="M8" s="439">
        <v>323</v>
      </c>
      <c r="N8" s="420">
        <v>5425</v>
      </c>
      <c r="O8" s="420">
        <v>1877050</v>
      </c>
      <c r="P8" s="440">
        <v>1.2178126798366864</v>
      </c>
      <c r="Q8" s="441">
        <v>346</v>
      </c>
    </row>
    <row r="9" spans="1:17" ht="14.4" customHeight="1" x14ac:dyDescent="0.3">
      <c r="A9" s="419" t="s">
        <v>358</v>
      </c>
      <c r="B9" s="439" t="s">
        <v>317</v>
      </c>
      <c r="C9" s="439" t="s">
        <v>359</v>
      </c>
      <c r="D9" s="439" t="s">
        <v>366</v>
      </c>
      <c r="E9" s="439" t="s">
        <v>367</v>
      </c>
      <c r="F9" s="420"/>
      <c r="G9" s="420"/>
      <c r="H9" s="439"/>
      <c r="I9" s="439"/>
      <c r="J9" s="420">
        <v>92</v>
      </c>
      <c r="K9" s="420">
        <v>19780</v>
      </c>
      <c r="L9" s="439"/>
      <c r="M9" s="439">
        <v>215</v>
      </c>
      <c r="N9" s="420"/>
      <c r="O9" s="420"/>
      <c r="P9" s="440"/>
      <c r="Q9" s="441"/>
    </row>
    <row r="10" spans="1:17" ht="14.4" customHeight="1" x14ac:dyDescent="0.3">
      <c r="A10" s="419" t="s">
        <v>358</v>
      </c>
      <c r="B10" s="439" t="s">
        <v>317</v>
      </c>
      <c r="C10" s="439" t="s">
        <v>359</v>
      </c>
      <c r="D10" s="439" t="s">
        <v>368</v>
      </c>
      <c r="E10" s="439" t="s">
        <v>369</v>
      </c>
      <c r="F10" s="420">
        <v>1089</v>
      </c>
      <c r="G10" s="420">
        <v>349644</v>
      </c>
      <c r="H10" s="439">
        <v>1</v>
      </c>
      <c r="I10" s="439">
        <v>321.06887052341597</v>
      </c>
      <c r="J10" s="420">
        <v>787</v>
      </c>
      <c r="K10" s="420">
        <v>254201</v>
      </c>
      <c r="L10" s="439">
        <v>0.72702806282962096</v>
      </c>
      <c r="M10" s="439">
        <v>323</v>
      </c>
      <c r="N10" s="420">
        <v>708</v>
      </c>
      <c r="O10" s="420">
        <v>244968</v>
      </c>
      <c r="P10" s="440">
        <v>0.7006212032810516</v>
      </c>
      <c r="Q10" s="441">
        <v>346</v>
      </c>
    </row>
    <row r="11" spans="1:17" ht="14.4" customHeight="1" x14ac:dyDescent="0.3">
      <c r="A11" s="419" t="s">
        <v>358</v>
      </c>
      <c r="B11" s="439" t="s">
        <v>317</v>
      </c>
      <c r="C11" s="439" t="s">
        <v>359</v>
      </c>
      <c r="D11" s="439" t="s">
        <v>370</v>
      </c>
      <c r="E11" s="439" t="s">
        <v>371</v>
      </c>
      <c r="F11" s="420">
        <v>384</v>
      </c>
      <c r="G11" s="420">
        <v>123237</v>
      </c>
      <c r="H11" s="439">
        <v>1</v>
      </c>
      <c r="I11" s="439">
        <v>320.9296875</v>
      </c>
      <c r="J11" s="420">
        <v>340</v>
      </c>
      <c r="K11" s="420">
        <v>109820</v>
      </c>
      <c r="L11" s="439">
        <v>0.89112847602586887</v>
      </c>
      <c r="M11" s="439">
        <v>323</v>
      </c>
      <c r="N11" s="420">
        <v>135</v>
      </c>
      <c r="O11" s="420">
        <v>46710</v>
      </c>
      <c r="P11" s="440">
        <v>0.37902577959541373</v>
      </c>
      <c r="Q11" s="441">
        <v>346</v>
      </c>
    </row>
    <row r="12" spans="1:17" ht="14.4" customHeight="1" x14ac:dyDescent="0.3">
      <c r="A12" s="419" t="s">
        <v>358</v>
      </c>
      <c r="B12" s="439" t="s">
        <v>317</v>
      </c>
      <c r="C12" s="439" t="s">
        <v>359</v>
      </c>
      <c r="D12" s="439" t="s">
        <v>372</v>
      </c>
      <c r="E12" s="439" t="s">
        <v>373</v>
      </c>
      <c r="F12" s="420">
        <v>2</v>
      </c>
      <c r="G12" s="420">
        <v>0</v>
      </c>
      <c r="H12" s="439"/>
      <c r="I12" s="439">
        <v>0</v>
      </c>
      <c r="J12" s="420"/>
      <c r="K12" s="420"/>
      <c r="L12" s="439"/>
      <c r="M12" s="439"/>
      <c r="N12" s="420"/>
      <c r="O12" s="420"/>
      <c r="P12" s="440"/>
      <c r="Q12" s="441"/>
    </row>
    <row r="13" spans="1:17" ht="14.4" customHeight="1" x14ac:dyDescent="0.3">
      <c r="A13" s="419" t="s">
        <v>358</v>
      </c>
      <c r="B13" s="439" t="s">
        <v>317</v>
      </c>
      <c r="C13" s="439" t="s">
        <v>359</v>
      </c>
      <c r="D13" s="439" t="s">
        <v>374</v>
      </c>
      <c r="E13" s="439" t="s">
        <v>375</v>
      </c>
      <c r="F13" s="420">
        <v>326</v>
      </c>
      <c r="G13" s="420">
        <v>0</v>
      </c>
      <c r="H13" s="439"/>
      <c r="I13" s="439">
        <v>0</v>
      </c>
      <c r="J13" s="420"/>
      <c r="K13" s="420"/>
      <c r="L13" s="439"/>
      <c r="M13" s="439"/>
      <c r="N13" s="420">
        <v>279</v>
      </c>
      <c r="O13" s="420">
        <v>9299.9699999999993</v>
      </c>
      <c r="P13" s="440"/>
      <c r="Q13" s="441">
        <v>33.333225806451608</v>
      </c>
    </row>
    <row r="14" spans="1:17" ht="14.4" customHeight="1" x14ac:dyDescent="0.3">
      <c r="A14" s="419" t="s">
        <v>358</v>
      </c>
      <c r="B14" s="439" t="s">
        <v>317</v>
      </c>
      <c r="C14" s="439" t="s">
        <v>359</v>
      </c>
      <c r="D14" s="439" t="s">
        <v>376</v>
      </c>
      <c r="E14" s="439" t="s">
        <v>377</v>
      </c>
      <c r="F14" s="420">
        <v>428</v>
      </c>
      <c r="G14" s="420">
        <v>231884</v>
      </c>
      <c r="H14" s="439">
        <v>1</v>
      </c>
      <c r="I14" s="439">
        <v>541.78504672897191</v>
      </c>
      <c r="J14" s="420">
        <v>634</v>
      </c>
      <c r="K14" s="420">
        <v>346164</v>
      </c>
      <c r="L14" s="439">
        <v>1.4928326232081559</v>
      </c>
      <c r="M14" s="439">
        <v>546</v>
      </c>
      <c r="N14" s="420">
        <v>841</v>
      </c>
      <c r="O14" s="420">
        <v>487780</v>
      </c>
      <c r="P14" s="440">
        <v>2.1035517758879441</v>
      </c>
      <c r="Q14" s="441">
        <v>580</v>
      </c>
    </row>
    <row r="15" spans="1:17" ht="14.4" customHeight="1" x14ac:dyDescent="0.3">
      <c r="A15" s="419" t="s">
        <v>358</v>
      </c>
      <c r="B15" s="439" t="s">
        <v>317</v>
      </c>
      <c r="C15" s="439" t="s">
        <v>359</v>
      </c>
      <c r="D15" s="439" t="s">
        <v>378</v>
      </c>
      <c r="E15" s="439" t="s">
        <v>379</v>
      </c>
      <c r="F15" s="420">
        <v>612</v>
      </c>
      <c r="G15" s="420">
        <v>331722</v>
      </c>
      <c r="H15" s="439">
        <v>1</v>
      </c>
      <c r="I15" s="439">
        <v>542.02941176470586</v>
      </c>
      <c r="J15" s="420">
        <v>513</v>
      </c>
      <c r="K15" s="420">
        <v>280611</v>
      </c>
      <c r="L15" s="439">
        <v>0.84592218785609641</v>
      </c>
      <c r="M15" s="439">
        <v>547</v>
      </c>
      <c r="N15" s="420">
        <v>368</v>
      </c>
      <c r="O15" s="420">
        <v>213808</v>
      </c>
      <c r="P15" s="440">
        <v>0.64453970493364932</v>
      </c>
      <c r="Q15" s="441">
        <v>581</v>
      </c>
    </row>
    <row r="16" spans="1:17" ht="14.4" customHeight="1" x14ac:dyDescent="0.3">
      <c r="A16" s="419" t="s">
        <v>358</v>
      </c>
      <c r="B16" s="439" t="s">
        <v>317</v>
      </c>
      <c r="C16" s="439" t="s">
        <v>359</v>
      </c>
      <c r="D16" s="439" t="s">
        <v>380</v>
      </c>
      <c r="E16" s="439" t="s">
        <v>381</v>
      </c>
      <c r="F16" s="420">
        <v>13</v>
      </c>
      <c r="G16" s="420">
        <v>3536</v>
      </c>
      <c r="H16" s="439">
        <v>1</v>
      </c>
      <c r="I16" s="439">
        <v>272</v>
      </c>
      <c r="J16" s="420">
        <v>8</v>
      </c>
      <c r="K16" s="420">
        <v>2184</v>
      </c>
      <c r="L16" s="439">
        <v>0.61764705882352944</v>
      </c>
      <c r="M16" s="439">
        <v>273</v>
      </c>
      <c r="N16" s="420">
        <v>4</v>
      </c>
      <c r="O16" s="420">
        <v>1160</v>
      </c>
      <c r="P16" s="440">
        <v>0.32805429864253394</v>
      </c>
      <c r="Q16" s="441">
        <v>290</v>
      </c>
    </row>
    <row r="17" spans="1:17" ht="14.4" customHeight="1" x14ac:dyDescent="0.3">
      <c r="A17" s="419" t="s">
        <v>358</v>
      </c>
      <c r="B17" s="439" t="s">
        <v>317</v>
      </c>
      <c r="C17" s="439" t="s">
        <v>359</v>
      </c>
      <c r="D17" s="439" t="s">
        <v>382</v>
      </c>
      <c r="E17" s="439" t="s">
        <v>383</v>
      </c>
      <c r="F17" s="420">
        <v>261</v>
      </c>
      <c r="G17" s="420">
        <v>141615</v>
      </c>
      <c r="H17" s="439">
        <v>1</v>
      </c>
      <c r="I17" s="439">
        <v>542.58620689655174</v>
      </c>
      <c r="J17" s="420">
        <v>418</v>
      </c>
      <c r="K17" s="420">
        <v>228646</v>
      </c>
      <c r="L17" s="439">
        <v>1.6145606044557428</v>
      </c>
      <c r="M17" s="439">
        <v>547</v>
      </c>
      <c r="N17" s="420">
        <v>293</v>
      </c>
      <c r="O17" s="420">
        <v>170233</v>
      </c>
      <c r="P17" s="440">
        <v>1.2020831126646188</v>
      </c>
      <c r="Q17" s="441">
        <v>581</v>
      </c>
    </row>
    <row r="18" spans="1:17" ht="14.4" customHeight="1" x14ac:dyDescent="0.3">
      <c r="A18" s="419" t="s">
        <v>358</v>
      </c>
      <c r="B18" s="439" t="s">
        <v>317</v>
      </c>
      <c r="C18" s="439" t="s">
        <v>359</v>
      </c>
      <c r="D18" s="439" t="s">
        <v>384</v>
      </c>
      <c r="E18" s="439" t="s">
        <v>385</v>
      </c>
      <c r="F18" s="420">
        <v>258</v>
      </c>
      <c r="G18" s="420">
        <v>140028</v>
      </c>
      <c r="H18" s="439">
        <v>1</v>
      </c>
      <c r="I18" s="439">
        <v>542.74418604651157</v>
      </c>
      <c r="J18" s="420">
        <v>189</v>
      </c>
      <c r="K18" s="420">
        <v>103194</v>
      </c>
      <c r="L18" s="439">
        <v>0.73695260947810437</v>
      </c>
      <c r="M18" s="439">
        <v>546</v>
      </c>
      <c r="N18" s="420">
        <v>104</v>
      </c>
      <c r="O18" s="420">
        <v>60320</v>
      </c>
      <c r="P18" s="440">
        <v>0.43077098865941099</v>
      </c>
      <c r="Q18" s="441">
        <v>580</v>
      </c>
    </row>
    <row r="19" spans="1:17" ht="14.4" customHeight="1" thickBot="1" x14ac:dyDescent="0.35">
      <c r="A19" s="373" t="s">
        <v>358</v>
      </c>
      <c r="B19" s="374" t="s">
        <v>317</v>
      </c>
      <c r="C19" s="374" t="s">
        <v>359</v>
      </c>
      <c r="D19" s="374" t="s">
        <v>386</v>
      </c>
      <c r="E19" s="374" t="s">
        <v>387</v>
      </c>
      <c r="F19" s="377">
        <v>4</v>
      </c>
      <c r="G19" s="377">
        <v>1076</v>
      </c>
      <c r="H19" s="374">
        <v>1</v>
      </c>
      <c r="I19" s="374">
        <v>269</v>
      </c>
      <c r="J19" s="377"/>
      <c r="K19" s="377"/>
      <c r="L19" s="374"/>
      <c r="M19" s="374"/>
      <c r="N19" s="377"/>
      <c r="O19" s="377"/>
      <c r="P19" s="442"/>
      <c r="Q19" s="378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277" t="s">
        <v>110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19" ht="14.4" customHeight="1" thickBot="1" x14ac:dyDescent="0.35">
      <c r="A2" s="200" t="s">
        <v>203</v>
      </c>
      <c r="B2" s="192"/>
      <c r="C2" s="86"/>
      <c r="D2" s="192"/>
      <c r="E2" s="86"/>
      <c r="F2" s="192"/>
      <c r="G2" s="193"/>
      <c r="H2" s="192"/>
      <c r="I2" s="86"/>
      <c r="J2" s="192"/>
      <c r="K2" s="86"/>
      <c r="L2" s="192"/>
      <c r="M2" s="193"/>
      <c r="N2" s="192"/>
      <c r="O2" s="86"/>
      <c r="P2" s="192"/>
      <c r="Q2" s="86"/>
      <c r="R2" s="192"/>
      <c r="S2" s="193"/>
    </row>
    <row r="3" spans="1:19" ht="14.4" customHeight="1" thickBot="1" x14ac:dyDescent="0.35">
      <c r="A3" s="186" t="s">
        <v>111</v>
      </c>
      <c r="B3" s="187">
        <f>SUBTOTAL(9,B6:B1048576)</f>
        <v>2496689</v>
      </c>
      <c r="C3" s="188">
        <f t="shared" ref="C3:R3" si="0">SUBTOTAL(9,C6:C1048576)</f>
        <v>24</v>
      </c>
      <c r="D3" s="188">
        <f t="shared" si="0"/>
        <v>2944268</v>
      </c>
      <c r="E3" s="188">
        <f t="shared" si="0"/>
        <v>34.977510983415534</v>
      </c>
      <c r="F3" s="188">
        <f t="shared" si="0"/>
        <v>3267302</v>
      </c>
      <c r="G3" s="191">
        <f>IF(B3&lt;&gt;0,F3/B3,"")</f>
        <v>1.3086539813328772</v>
      </c>
      <c r="H3" s="187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9" t="str">
        <f>IF(H3&lt;&gt;0,L3/H3,"")</f>
        <v/>
      </c>
      <c r="N3" s="190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IF(N3&lt;&gt;0,R3/N3,"")</f>
        <v/>
      </c>
    </row>
    <row r="4" spans="1:19" ht="14.4" customHeight="1" x14ac:dyDescent="0.3">
      <c r="A4" s="309" t="s">
        <v>91</v>
      </c>
      <c r="B4" s="310" t="s">
        <v>85</v>
      </c>
      <c r="C4" s="311"/>
      <c r="D4" s="311"/>
      <c r="E4" s="311"/>
      <c r="F4" s="311"/>
      <c r="G4" s="312"/>
      <c r="H4" s="310" t="s">
        <v>86</v>
      </c>
      <c r="I4" s="311"/>
      <c r="J4" s="311"/>
      <c r="K4" s="311"/>
      <c r="L4" s="311"/>
      <c r="M4" s="312"/>
      <c r="N4" s="310" t="s">
        <v>87</v>
      </c>
      <c r="O4" s="311"/>
      <c r="P4" s="311"/>
      <c r="Q4" s="311"/>
      <c r="R4" s="311"/>
      <c r="S4" s="312"/>
    </row>
    <row r="5" spans="1:19" ht="14.4" customHeight="1" thickBot="1" x14ac:dyDescent="0.35">
      <c r="A5" s="408"/>
      <c r="B5" s="409">
        <v>2014</v>
      </c>
      <c r="C5" s="410"/>
      <c r="D5" s="410">
        <v>2015</v>
      </c>
      <c r="E5" s="410"/>
      <c r="F5" s="410">
        <v>2016</v>
      </c>
      <c r="G5" s="411" t="s">
        <v>2</v>
      </c>
      <c r="H5" s="409">
        <v>2014</v>
      </c>
      <c r="I5" s="410"/>
      <c r="J5" s="410">
        <v>2015</v>
      </c>
      <c r="K5" s="410"/>
      <c r="L5" s="410">
        <v>2016</v>
      </c>
      <c r="M5" s="411" t="s">
        <v>2</v>
      </c>
      <c r="N5" s="409">
        <v>2014</v>
      </c>
      <c r="O5" s="410"/>
      <c r="P5" s="410">
        <v>2015</v>
      </c>
      <c r="Q5" s="410"/>
      <c r="R5" s="410">
        <v>2016</v>
      </c>
      <c r="S5" s="411" t="s">
        <v>2</v>
      </c>
    </row>
    <row r="6" spans="1:19" ht="14.4" customHeight="1" x14ac:dyDescent="0.3">
      <c r="A6" s="425" t="s">
        <v>389</v>
      </c>
      <c r="B6" s="417">
        <v>27888</v>
      </c>
      <c r="C6" s="368">
        <v>1</v>
      </c>
      <c r="D6" s="417">
        <v>27916</v>
      </c>
      <c r="E6" s="368">
        <v>1.001004016064257</v>
      </c>
      <c r="F6" s="417">
        <v>54668</v>
      </c>
      <c r="G6" s="438">
        <v>1.9602696500286863</v>
      </c>
      <c r="H6" s="417"/>
      <c r="I6" s="368"/>
      <c r="J6" s="417"/>
      <c r="K6" s="368"/>
      <c r="L6" s="417"/>
      <c r="M6" s="438"/>
      <c r="N6" s="417"/>
      <c r="O6" s="368"/>
      <c r="P6" s="417"/>
      <c r="Q6" s="368"/>
      <c r="R6" s="417"/>
      <c r="S6" s="443"/>
    </row>
    <row r="7" spans="1:19" ht="14.4" customHeight="1" x14ac:dyDescent="0.3">
      <c r="A7" s="426" t="s">
        <v>390</v>
      </c>
      <c r="B7" s="421">
        <v>7066</v>
      </c>
      <c r="C7" s="439">
        <v>1</v>
      </c>
      <c r="D7" s="421">
        <v>7752</v>
      </c>
      <c r="E7" s="439">
        <v>1.0970846306255306</v>
      </c>
      <c r="F7" s="421">
        <v>11072</v>
      </c>
      <c r="G7" s="440">
        <v>1.566940277384659</v>
      </c>
      <c r="H7" s="421"/>
      <c r="I7" s="439"/>
      <c r="J7" s="421"/>
      <c r="K7" s="439"/>
      <c r="L7" s="421"/>
      <c r="M7" s="440"/>
      <c r="N7" s="421"/>
      <c r="O7" s="439"/>
      <c r="P7" s="421"/>
      <c r="Q7" s="439"/>
      <c r="R7" s="421"/>
      <c r="S7" s="444"/>
    </row>
    <row r="8" spans="1:19" ht="14.4" customHeight="1" x14ac:dyDescent="0.3">
      <c r="A8" s="426" t="s">
        <v>391</v>
      </c>
      <c r="B8" s="421">
        <v>94418</v>
      </c>
      <c r="C8" s="439">
        <v>1</v>
      </c>
      <c r="D8" s="421">
        <v>127659</v>
      </c>
      <c r="E8" s="439">
        <v>1.3520621068016692</v>
      </c>
      <c r="F8" s="421">
        <v>177398</v>
      </c>
      <c r="G8" s="440">
        <v>1.8788578449024551</v>
      </c>
      <c r="H8" s="421"/>
      <c r="I8" s="439"/>
      <c r="J8" s="421"/>
      <c r="K8" s="439"/>
      <c r="L8" s="421"/>
      <c r="M8" s="440"/>
      <c r="N8" s="421"/>
      <c r="O8" s="439"/>
      <c r="P8" s="421"/>
      <c r="Q8" s="439"/>
      <c r="R8" s="421"/>
      <c r="S8" s="444"/>
    </row>
    <row r="9" spans="1:19" ht="14.4" customHeight="1" x14ac:dyDescent="0.3">
      <c r="A9" s="426" t="s">
        <v>392</v>
      </c>
      <c r="B9" s="421">
        <v>51388</v>
      </c>
      <c r="C9" s="439">
        <v>1</v>
      </c>
      <c r="D9" s="421">
        <v>64600</v>
      </c>
      <c r="E9" s="439">
        <v>1.2571028255623882</v>
      </c>
      <c r="F9" s="421">
        <v>69842</v>
      </c>
      <c r="G9" s="440">
        <v>1.359111076515918</v>
      </c>
      <c r="H9" s="421"/>
      <c r="I9" s="439"/>
      <c r="J9" s="421"/>
      <c r="K9" s="439"/>
      <c r="L9" s="421"/>
      <c r="M9" s="440"/>
      <c r="N9" s="421"/>
      <c r="O9" s="439"/>
      <c r="P9" s="421"/>
      <c r="Q9" s="439"/>
      <c r="R9" s="421"/>
      <c r="S9" s="444"/>
    </row>
    <row r="10" spans="1:19" ht="14.4" customHeight="1" x14ac:dyDescent="0.3">
      <c r="A10" s="426" t="s">
        <v>393</v>
      </c>
      <c r="B10" s="421">
        <v>16678</v>
      </c>
      <c r="C10" s="439">
        <v>1</v>
      </c>
      <c r="D10" s="421">
        <v>8721</v>
      </c>
      <c r="E10" s="439">
        <v>0.52290442499100609</v>
      </c>
      <c r="F10" s="421">
        <v>2768</v>
      </c>
      <c r="G10" s="440">
        <v>0.16596714234320661</v>
      </c>
      <c r="H10" s="421"/>
      <c r="I10" s="439"/>
      <c r="J10" s="421"/>
      <c r="K10" s="439"/>
      <c r="L10" s="421"/>
      <c r="M10" s="440"/>
      <c r="N10" s="421"/>
      <c r="O10" s="439"/>
      <c r="P10" s="421"/>
      <c r="Q10" s="439"/>
      <c r="R10" s="421"/>
      <c r="S10" s="444"/>
    </row>
    <row r="11" spans="1:19" ht="14.4" customHeight="1" x14ac:dyDescent="0.3">
      <c r="A11" s="426" t="s">
        <v>394</v>
      </c>
      <c r="B11" s="421">
        <v>8216</v>
      </c>
      <c r="C11" s="439">
        <v>1</v>
      </c>
      <c r="D11" s="421"/>
      <c r="E11" s="439"/>
      <c r="F11" s="421">
        <v>1160</v>
      </c>
      <c r="G11" s="440">
        <v>0.14118792599805258</v>
      </c>
      <c r="H11" s="421"/>
      <c r="I11" s="439"/>
      <c r="J11" s="421"/>
      <c r="K11" s="439"/>
      <c r="L11" s="421"/>
      <c r="M11" s="440"/>
      <c r="N11" s="421"/>
      <c r="O11" s="439"/>
      <c r="P11" s="421"/>
      <c r="Q11" s="439"/>
      <c r="R11" s="421"/>
      <c r="S11" s="444"/>
    </row>
    <row r="12" spans="1:19" ht="14.4" customHeight="1" x14ac:dyDescent="0.3">
      <c r="A12" s="426" t="s">
        <v>395</v>
      </c>
      <c r="B12" s="421">
        <v>1288</v>
      </c>
      <c r="C12" s="439">
        <v>1</v>
      </c>
      <c r="D12" s="421">
        <v>2584</v>
      </c>
      <c r="E12" s="439">
        <v>2.0062111801242235</v>
      </c>
      <c r="F12" s="421">
        <v>23182</v>
      </c>
      <c r="G12" s="440">
        <v>17.998447204968944</v>
      </c>
      <c r="H12" s="421"/>
      <c r="I12" s="439"/>
      <c r="J12" s="421"/>
      <c r="K12" s="439"/>
      <c r="L12" s="421"/>
      <c r="M12" s="440"/>
      <c r="N12" s="421"/>
      <c r="O12" s="439"/>
      <c r="P12" s="421"/>
      <c r="Q12" s="439"/>
      <c r="R12" s="421"/>
      <c r="S12" s="444"/>
    </row>
    <row r="13" spans="1:19" ht="14.4" customHeight="1" x14ac:dyDescent="0.3">
      <c r="A13" s="426" t="s">
        <v>396</v>
      </c>
      <c r="B13" s="421">
        <v>325513</v>
      </c>
      <c r="C13" s="439">
        <v>1</v>
      </c>
      <c r="D13" s="421">
        <v>345610</v>
      </c>
      <c r="E13" s="439">
        <v>1.0617394696985989</v>
      </c>
      <c r="F13" s="421">
        <v>423652</v>
      </c>
      <c r="G13" s="440">
        <v>1.3014902630616902</v>
      </c>
      <c r="H13" s="421"/>
      <c r="I13" s="439"/>
      <c r="J13" s="421"/>
      <c r="K13" s="439"/>
      <c r="L13" s="421"/>
      <c r="M13" s="440"/>
      <c r="N13" s="421"/>
      <c r="O13" s="439"/>
      <c r="P13" s="421"/>
      <c r="Q13" s="439"/>
      <c r="R13" s="421"/>
      <c r="S13" s="444"/>
    </row>
    <row r="14" spans="1:19" ht="14.4" customHeight="1" x14ac:dyDescent="0.3">
      <c r="A14" s="426" t="s">
        <v>397</v>
      </c>
      <c r="B14" s="421">
        <v>3840</v>
      </c>
      <c r="C14" s="439">
        <v>1</v>
      </c>
      <c r="D14" s="421"/>
      <c r="E14" s="439"/>
      <c r="F14" s="421">
        <v>1384</v>
      </c>
      <c r="G14" s="440">
        <v>0.36041666666666666</v>
      </c>
      <c r="H14" s="421"/>
      <c r="I14" s="439"/>
      <c r="J14" s="421"/>
      <c r="K14" s="439"/>
      <c r="L14" s="421"/>
      <c r="M14" s="440"/>
      <c r="N14" s="421"/>
      <c r="O14" s="439"/>
      <c r="P14" s="421"/>
      <c r="Q14" s="439"/>
      <c r="R14" s="421"/>
      <c r="S14" s="444"/>
    </row>
    <row r="15" spans="1:19" ht="14.4" customHeight="1" x14ac:dyDescent="0.3">
      <c r="A15" s="426" t="s">
        <v>398</v>
      </c>
      <c r="B15" s="421">
        <v>362927</v>
      </c>
      <c r="C15" s="439">
        <v>1</v>
      </c>
      <c r="D15" s="421">
        <v>351265</v>
      </c>
      <c r="E15" s="439">
        <v>0.96786681619168591</v>
      </c>
      <c r="F15" s="421">
        <v>383388</v>
      </c>
      <c r="G15" s="440">
        <v>1.056377728854563</v>
      </c>
      <c r="H15" s="421"/>
      <c r="I15" s="439"/>
      <c r="J15" s="421"/>
      <c r="K15" s="439"/>
      <c r="L15" s="421"/>
      <c r="M15" s="440"/>
      <c r="N15" s="421"/>
      <c r="O15" s="439"/>
      <c r="P15" s="421"/>
      <c r="Q15" s="439"/>
      <c r="R15" s="421"/>
      <c r="S15" s="444"/>
    </row>
    <row r="16" spans="1:19" ht="14.4" customHeight="1" x14ac:dyDescent="0.3">
      <c r="A16" s="426" t="s">
        <v>399</v>
      </c>
      <c r="B16" s="421"/>
      <c r="C16" s="439"/>
      <c r="D16" s="421">
        <v>15504</v>
      </c>
      <c r="E16" s="439"/>
      <c r="F16" s="421">
        <v>4152</v>
      </c>
      <c r="G16" s="440"/>
      <c r="H16" s="421"/>
      <c r="I16" s="439"/>
      <c r="J16" s="421"/>
      <c r="K16" s="439"/>
      <c r="L16" s="421"/>
      <c r="M16" s="440"/>
      <c r="N16" s="421"/>
      <c r="O16" s="439"/>
      <c r="P16" s="421"/>
      <c r="Q16" s="439"/>
      <c r="R16" s="421"/>
      <c r="S16" s="444"/>
    </row>
    <row r="17" spans="1:19" ht="14.4" customHeight="1" x14ac:dyDescent="0.3">
      <c r="A17" s="426" t="s">
        <v>400</v>
      </c>
      <c r="B17" s="421"/>
      <c r="C17" s="439"/>
      <c r="D17" s="421">
        <v>28424</v>
      </c>
      <c r="E17" s="439"/>
      <c r="F17" s="421">
        <v>17300</v>
      </c>
      <c r="G17" s="440"/>
      <c r="H17" s="421"/>
      <c r="I17" s="439"/>
      <c r="J17" s="421"/>
      <c r="K17" s="439"/>
      <c r="L17" s="421"/>
      <c r="M17" s="440"/>
      <c r="N17" s="421"/>
      <c r="O17" s="439"/>
      <c r="P17" s="421"/>
      <c r="Q17" s="439"/>
      <c r="R17" s="421"/>
      <c r="S17" s="444"/>
    </row>
    <row r="18" spans="1:19" ht="14.4" customHeight="1" x14ac:dyDescent="0.3">
      <c r="A18" s="426" t="s">
        <v>401</v>
      </c>
      <c r="B18" s="421">
        <v>7728</v>
      </c>
      <c r="C18" s="439">
        <v>1</v>
      </c>
      <c r="D18" s="421">
        <v>42636</v>
      </c>
      <c r="E18" s="439">
        <v>5.5170807453416151</v>
      </c>
      <c r="F18" s="421">
        <v>24912</v>
      </c>
      <c r="G18" s="440">
        <v>3.2236024844720497</v>
      </c>
      <c r="H18" s="421"/>
      <c r="I18" s="439"/>
      <c r="J18" s="421"/>
      <c r="K18" s="439"/>
      <c r="L18" s="421"/>
      <c r="M18" s="440"/>
      <c r="N18" s="421"/>
      <c r="O18" s="439"/>
      <c r="P18" s="421"/>
      <c r="Q18" s="439"/>
      <c r="R18" s="421"/>
      <c r="S18" s="444"/>
    </row>
    <row r="19" spans="1:19" ht="14.4" customHeight="1" x14ac:dyDescent="0.3">
      <c r="A19" s="426" t="s">
        <v>402</v>
      </c>
      <c r="B19" s="421">
        <v>966</v>
      </c>
      <c r="C19" s="439">
        <v>1</v>
      </c>
      <c r="D19" s="421"/>
      <c r="E19" s="439"/>
      <c r="F19" s="421"/>
      <c r="G19" s="440"/>
      <c r="H19" s="421"/>
      <c r="I19" s="439"/>
      <c r="J19" s="421"/>
      <c r="K19" s="439"/>
      <c r="L19" s="421"/>
      <c r="M19" s="440"/>
      <c r="N19" s="421"/>
      <c r="O19" s="439"/>
      <c r="P19" s="421"/>
      <c r="Q19" s="439"/>
      <c r="R19" s="421"/>
      <c r="S19" s="444"/>
    </row>
    <row r="20" spans="1:19" ht="14.4" customHeight="1" x14ac:dyDescent="0.3">
      <c r="A20" s="426" t="s">
        <v>403</v>
      </c>
      <c r="B20" s="421">
        <v>431107</v>
      </c>
      <c r="C20" s="439">
        <v>1</v>
      </c>
      <c r="D20" s="421">
        <v>364519</v>
      </c>
      <c r="E20" s="439">
        <v>0.84554182604318651</v>
      </c>
      <c r="F20" s="421">
        <v>237016</v>
      </c>
      <c r="G20" s="440">
        <v>0.54978462423481878</v>
      </c>
      <c r="H20" s="421"/>
      <c r="I20" s="439"/>
      <c r="J20" s="421"/>
      <c r="K20" s="439"/>
      <c r="L20" s="421"/>
      <c r="M20" s="440"/>
      <c r="N20" s="421"/>
      <c r="O20" s="439"/>
      <c r="P20" s="421"/>
      <c r="Q20" s="439"/>
      <c r="R20" s="421"/>
      <c r="S20" s="444"/>
    </row>
    <row r="21" spans="1:19" ht="14.4" customHeight="1" x14ac:dyDescent="0.3">
      <c r="A21" s="426" t="s">
        <v>404</v>
      </c>
      <c r="B21" s="421">
        <v>486032</v>
      </c>
      <c r="C21" s="439">
        <v>1</v>
      </c>
      <c r="D21" s="421">
        <v>623595</v>
      </c>
      <c r="E21" s="439">
        <v>1.2830328044243999</v>
      </c>
      <c r="F21" s="421">
        <v>592548</v>
      </c>
      <c r="G21" s="440">
        <v>1.2191542943674492</v>
      </c>
      <c r="H21" s="421"/>
      <c r="I21" s="439"/>
      <c r="J21" s="421"/>
      <c r="K21" s="439"/>
      <c r="L21" s="421"/>
      <c r="M21" s="440"/>
      <c r="N21" s="421"/>
      <c r="O21" s="439"/>
      <c r="P21" s="421"/>
      <c r="Q21" s="439"/>
      <c r="R21" s="421"/>
      <c r="S21" s="444"/>
    </row>
    <row r="22" spans="1:19" ht="14.4" customHeight="1" x14ac:dyDescent="0.3">
      <c r="A22" s="426" t="s">
        <v>405</v>
      </c>
      <c r="B22" s="421">
        <v>7816</v>
      </c>
      <c r="C22" s="439">
        <v>1</v>
      </c>
      <c r="D22" s="421">
        <v>20056</v>
      </c>
      <c r="E22" s="439">
        <v>2.5660184237461618</v>
      </c>
      <c r="F22" s="421">
        <v>1384</v>
      </c>
      <c r="G22" s="440">
        <v>0.17707267144319344</v>
      </c>
      <c r="H22" s="421"/>
      <c r="I22" s="439"/>
      <c r="J22" s="421"/>
      <c r="K22" s="439"/>
      <c r="L22" s="421"/>
      <c r="M22" s="440"/>
      <c r="N22" s="421"/>
      <c r="O22" s="439"/>
      <c r="P22" s="421"/>
      <c r="Q22" s="439"/>
      <c r="R22" s="421"/>
      <c r="S22" s="444"/>
    </row>
    <row r="23" spans="1:19" ht="14.4" customHeight="1" x14ac:dyDescent="0.3">
      <c r="A23" s="426" t="s">
        <v>406</v>
      </c>
      <c r="B23" s="421">
        <v>8580</v>
      </c>
      <c r="C23" s="439">
        <v>1</v>
      </c>
      <c r="D23" s="421">
        <v>15504</v>
      </c>
      <c r="E23" s="439">
        <v>1.8069930069930069</v>
      </c>
      <c r="F23" s="421">
        <v>15250</v>
      </c>
      <c r="G23" s="440">
        <v>1.7773892773892774</v>
      </c>
      <c r="H23" s="421"/>
      <c r="I23" s="439"/>
      <c r="J23" s="421"/>
      <c r="K23" s="439"/>
      <c r="L23" s="421"/>
      <c r="M23" s="440"/>
      <c r="N23" s="421"/>
      <c r="O23" s="439"/>
      <c r="P23" s="421"/>
      <c r="Q23" s="439"/>
      <c r="R23" s="421"/>
      <c r="S23" s="444"/>
    </row>
    <row r="24" spans="1:19" ht="14.4" customHeight="1" x14ac:dyDescent="0.3">
      <c r="A24" s="426" t="s">
        <v>407</v>
      </c>
      <c r="B24" s="421">
        <v>185898</v>
      </c>
      <c r="C24" s="439">
        <v>1</v>
      </c>
      <c r="D24" s="421">
        <v>198366</v>
      </c>
      <c r="E24" s="439">
        <v>1.0670690378594714</v>
      </c>
      <c r="F24" s="421">
        <v>364684</v>
      </c>
      <c r="G24" s="440">
        <v>1.9617424609194289</v>
      </c>
      <c r="H24" s="421"/>
      <c r="I24" s="439"/>
      <c r="J24" s="421"/>
      <c r="K24" s="439"/>
      <c r="L24" s="421"/>
      <c r="M24" s="440"/>
      <c r="N24" s="421"/>
      <c r="O24" s="439"/>
      <c r="P24" s="421"/>
      <c r="Q24" s="439"/>
      <c r="R24" s="421"/>
      <c r="S24" s="444"/>
    </row>
    <row r="25" spans="1:19" ht="14.4" customHeight="1" x14ac:dyDescent="0.3">
      <c r="A25" s="426" t="s">
        <v>408</v>
      </c>
      <c r="B25" s="421">
        <v>8968</v>
      </c>
      <c r="C25" s="439">
        <v>1</v>
      </c>
      <c r="D25" s="421">
        <v>19380</v>
      </c>
      <c r="E25" s="439">
        <v>2.1610169491525424</v>
      </c>
      <c r="F25" s="421"/>
      <c r="G25" s="440"/>
      <c r="H25" s="421"/>
      <c r="I25" s="439"/>
      <c r="J25" s="421"/>
      <c r="K25" s="439"/>
      <c r="L25" s="421"/>
      <c r="M25" s="440"/>
      <c r="N25" s="421"/>
      <c r="O25" s="439"/>
      <c r="P25" s="421"/>
      <c r="Q25" s="439"/>
      <c r="R25" s="421"/>
      <c r="S25" s="444"/>
    </row>
    <row r="26" spans="1:19" ht="14.4" customHeight="1" x14ac:dyDescent="0.3">
      <c r="A26" s="426" t="s">
        <v>409</v>
      </c>
      <c r="B26" s="421">
        <v>37856</v>
      </c>
      <c r="C26" s="439">
        <v>1</v>
      </c>
      <c r="D26" s="421">
        <v>114895</v>
      </c>
      <c r="E26" s="439">
        <v>3.0350538884192728</v>
      </c>
      <c r="F26" s="421">
        <v>149832</v>
      </c>
      <c r="G26" s="440">
        <v>3.9579459002535926</v>
      </c>
      <c r="H26" s="421"/>
      <c r="I26" s="439"/>
      <c r="J26" s="421"/>
      <c r="K26" s="439"/>
      <c r="L26" s="421"/>
      <c r="M26" s="440"/>
      <c r="N26" s="421"/>
      <c r="O26" s="439"/>
      <c r="P26" s="421"/>
      <c r="Q26" s="439"/>
      <c r="R26" s="421"/>
      <c r="S26" s="444"/>
    </row>
    <row r="27" spans="1:19" ht="14.4" customHeight="1" x14ac:dyDescent="0.3">
      <c r="A27" s="426" t="s">
        <v>410</v>
      </c>
      <c r="B27" s="421">
        <v>22786</v>
      </c>
      <c r="C27" s="439">
        <v>1</v>
      </c>
      <c r="D27" s="421">
        <v>86916</v>
      </c>
      <c r="E27" s="439">
        <v>3.8144474677433511</v>
      </c>
      <c r="F27" s="421">
        <v>63682</v>
      </c>
      <c r="G27" s="440">
        <v>2.7947862722724479</v>
      </c>
      <c r="H27" s="421"/>
      <c r="I27" s="439"/>
      <c r="J27" s="421"/>
      <c r="K27" s="439"/>
      <c r="L27" s="421"/>
      <c r="M27" s="440"/>
      <c r="N27" s="421"/>
      <c r="O27" s="439"/>
      <c r="P27" s="421"/>
      <c r="Q27" s="439"/>
      <c r="R27" s="421"/>
      <c r="S27" s="444"/>
    </row>
    <row r="28" spans="1:19" ht="14.4" customHeight="1" x14ac:dyDescent="0.3">
      <c r="A28" s="426" t="s">
        <v>411</v>
      </c>
      <c r="B28" s="421">
        <v>67440</v>
      </c>
      <c r="C28" s="439">
        <v>1</v>
      </c>
      <c r="D28" s="421">
        <v>97872</v>
      </c>
      <c r="E28" s="439">
        <v>1.4512455516014235</v>
      </c>
      <c r="F28" s="421">
        <v>142552</v>
      </c>
      <c r="G28" s="440">
        <v>2.1137603795966786</v>
      </c>
      <c r="H28" s="421"/>
      <c r="I28" s="439"/>
      <c r="J28" s="421"/>
      <c r="K28" s="439"/>
      <c r="L28" s="421"/>
      <c r="M28" s="440"/>
      <c r="N28" s="421"/>
      <c r="O28" s="439"/>
      <c r="P28" s="421"/>
      <c r="Q28" s="439"/>
      <c r="R28" s="421"/>
      <c r="S28" s="444"/>
    </row>
    <row r="29" spans="1:19" ht="14.4" customHeight="1" x14ac:dyDescent="0.3">
      <c r="A29" s="426" t="s">
        <v>412</v>
      </c>
      <c r="B29" s="421">
        <v>291260</v>
      </c>
      <c r="C29" s="439">
        <v>1</v>
      </c>
      <c r="D29" s="421">
        <v>354654</v>
      </c>
      <c r="E29" s="439">
        <v>1.2176543294650828</v>
      </c>
      <c r="F29" s="421">
        <v>452588</v>
      </c>
      <c r="G29" s="440">
        <v>1.5538968619103206</v>
      </c>
      <c r="H29" s="421"/>
      <c r="I29" s="439"/>
      <c r="J29" s="421"/>
      <c r="K29" s="439"/>
      <c r="L29" s="421"/>
      <c r="M29" s="440"/>
      <c r="N29" s="421"/>
      <c r="O29" s="439"/>
      <c r="P29" s="421"/>
      <c r="Q29" s="439"/>
      <c r="R29" s="421"/>
      <c r="S29" s="444"/>
    </row>
    <row r="30" spans="1:19" ht="14.4" customHeight="1" x14ac:dyDescent="0.3">
      <c r="A30" s="426" t="s">
        <v>413</v>
      </c>
      <c r="B30" s="421">
        <v>13726</v>
      </c>
      <c r="C30" s="439">
        <v>1</v>
      </c>
      <c r="D30" s="421"/>
      <c r="E30" s="439"/>
      <c r="F30" s="421">
        <v>9688</v>
      </c>
      <c r="G30" s="440">
        <v>0.70581378405944917</v>
      </c>
      <c r="H30" s="421"/>
      <c r="I30" s="439"/>
      <c r="J30" s="421"/>
      <c r="K30" s="439"/>
      <c r="L30" s="421"/>
      <c r="M30" s="440"/>
      <c r="N30" s="421"/>
      <c r="O30" s="439"/>
      <c r="P30" s="421"/>
      <c r="Q30" s="439"/>
      <c r="R30" s="421"/>
      <c r="S30" s="444"/>
    </row>
    <row r="31" spans="1:19" ht="14.4" customHeight="1" thickBot="1" x14ac:dyDescent="0.35">
      <c r="A31" s="427" t="s">
        <v>414</v>
      </c>
      <c r="B31" s="423">
        <v>27304</v>
      </c>
      <c r="C31" s="374">
        <v>1</v>
      </c>
      <c r="D31" s="423">
        <v>25840</v>
      </c>
      <c r="E31" s="374">
        <v>0.94638148256665688</v>
      </c>
      <c r="F31" s="423">
        <v>43200</v>
      </c>
      <c r="G31" s="442">
        <v>1.5821857603281571</v>
      </c>
      <c r="H31" s="423"/>
      <c r="I31" s="374"/>
      <c r="J31" s="423"/>
      <c r="K31" s="374"/>
      <c r="L31" s="423"/>
      <c r="M31" s="442"/>
      <c r="N31" s="423"/>
      <c r="O31" s="374"/>
      <c r="P31" s="423"/>
      <c r="Q31" s="374"/>
      <c r="R31" s="423"/>
      <c r="S31" s="44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79" customWidth="1"/>
    <col min="8" max="9" width="9.33203125" style="179" hidden="1" customWidth="1"/>
    <col min="10" max="11" width="11.109375" style="179" customWidth="1"/>
    <col min="12" max="13" width="9.33203125" style="179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68" t="s">
        <v>443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4.4" customHeight="1" thickBot="1" x14ac:dyDescent="0.35">
      <c r="A2" s="200" t="s">
        <v>203</v>
      </c>
      <c r="B2" s="106"/>
      <c r="C2" s="106"/>
      <c r="D2" s="106"/>
      <c r="E2" s="106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5"/>
      <c r="Q2" s="194"/>
    </row>
    <row r="3" spans="1:17" ht="14.4" customHeight="1" thickBot="1" x14ac:dyDescent="0.35">
      <c r="E3" s="63" t="s">
        <v>111</v>
      </c>
      <c r="F3" s="77">
        <f t="shared" ref="F3:O3" si="0">SUBTOTAL(9,F6:F1048576)</f>
        <v>7056</v>
      </c>
      <c r="G3" s="78">
        <f t="shared" si="0"/>
        <v>2496689</v>
      </c>
      <c r="H3" s="78"/>
      <c r="I3" s="78"/>
      <c r="J3" s="78">
        <f t="shared" si="0"/>
        <v>8083</v>
      </c>
      <c r="K3" s="78">
        <f t="shared" si="0"/>
        <v>2944268</v>
      </c>
      <c r="L3" s="78"/>
      <c r="M3" s="78"/>
      <c r="N3" s="78">
        <f t="shared" si="0"/>
        <v>8500</v>
      </c>
      <c r="O3" s="78">
        <f t="shared" si="0"/>
        <v>3267302</v>
      </c>
      <c r="P3" s="59">
        <f>IF(G3=0,0,O3/G3)</f>
        <v>1.3086539813328772</v>
      </c>
      <c r="Q3" s="79">
        <f>IF(N3=0,0,O3/N3)</f>
        <v>384.38847058823529</v>
      </c>
    </row>
    <row r="4" spans="1:17" ht="14.4" customHeight="1" x14ac:dyDescent="0.3">
      <c r="A4" s="318" t="s">
        <v>55</v>
      </c>
      <c r="B4" s="317" t="s">
        <v>81</v>
      </c>
      <c r="C4" s="318" t="s">
        <v>82</v>
      </c>
      <c r="D4" s="327" t="s">
        <v>83</v>
      </c>
      <c r="E4" s="319" t="s">
        <v>56</v>
      </c>
      <c r="F4" s="325">
        <v>2014</v>
      </c>
      <c r="G4" s="326"/>
      <c r="H4" s="80"/>
      <c r="I4" s="80"/>
      <c r="J4" s="325">
        <v>2015</v>
      </c>
      <c r="K4" s="326"/>
      <c r="L4" s="80"/>
      <c r="M4" s="80"/>
      <c r="N4" s="325">
        <v>2016</v>
      </c>
      <c r="O4" s="326"/>
      <c r="P4" s="328" t="s">
        <v>2</v>
      </c>
      <c r="Q4" s="316" t="s">
        <v>84</v>
      </c>
    </row>
    <row r="5" spans="1:17" ht="14.4" customHeight="1" thickBot="1" x14ac:dyDescent="0.35">
      <c r="A5" s="430"/>
      <c r="B5" s="428"/>
      <c r="C5" s="430"/>
      <c r="D5" s="446"/>
      <c r="E5" s="432"/>
      <c r="F5" s="447" t="s">
        <v>58</v>
      </c>
      <c r="G5" s="448" t="s">
        <v>14</v>
      </c>
      <c r="H5" s="449"/>
      <c r="I5" s="449"/>
      <c r="J5" s="447" t="s">
        <v>58</v>
      </c>
      <c r="K5" s="448" t="s">
        <v>14</v>
      </c>
      <c r="L5" s="449"/>
      <c r="M5" s="449"/>
      <c r="N5" s="447" t="s">
        <v>58</v>
      </c>
      <c r="O5" s="448" t="s">
        <v>14</v>
      </c>
      <c r="P5" s="450"/>
      <c r="Q5" s="437"/>
    </row>
    <row r="6" spans="1:17" ht="14.4" customHeight="1" x14ac:dyDescent="0.3">
      <c r="A6" s="367" t="s">
        <v>415</v>
      </c>
      <c r="B6" s="368" t="s">
        <v>358</v>
      </c>
      <c r="C6" s="368" t="s">
        <v>359</v>
      </c>
      <c r="D6" s="368" t="s">
        <v>364</v>
      </c>
      <c r="E6" s="368" t="s">
        <v>365</v>
      </c>
      <c r="F6" s="371">
        <v>87</v>
      </c>
      <c r="G6" s="371">
        <v>27888</v>
      </c>
      <c r="H6" s="371">
        <v>1</v>
      </c>
      <c r="I6" s="371">
        <v>320.55172413793105</v>
      </c>
      <c r="J6" s="371">
        <v>56</v>
      </c>
      <c r="K6" s="371">
        <v>18088</v>
      </c>
      <c r="L6" s="371">
        <v>0.64859437751004012</v>
      </c>
      <c r="M6" s="371">
        <v>323</v>
      </c>
      <c r="N6" s="371">
        <v>158</v>
      </c>
      <c r="O6" s="371">
        <v>54668</v>
      </c>
      <c r="P6" s="438">
        <v>1.9602696500286863</v>
      </c>
      <c r="Q6" s="372">
        <v>346</v>
      </c>
    </row>
    <row r="7" spans="1:17" ht="14.4" customHeight="1" x14ac:dyDescent="0.3">
      <c r="A7" s="419" t="s">
        <v>415</v>
      </c>
      <c r="B7" s="439" t="s">
        <v>358</v>
      </c>
      <c r="C7" s="439" t="s">
        <v>359</v>
      </c>
      <c r="D7" s="439" t="s">
        <v>376</v>
      </c>
      <c r="E7" s="439" t="s">
        <v>377</v>
      </c>
      <c r="F7" s="420"/>
      <c r="G7" s="420"/>
      <c r="H7" s="420"/>
      <c r="I7" s="420"/>
      <c r="J7" s="420">
        <v>18</v>
      </c>
      <c r="K7" s="420">
        <v>9828</v>
      </c>
      <c r="L7" s="420"/>
      <c r="M7" s="420">
        <v>546</v>
      </c>
      <c r="N7" s="420"/>
      <c r="O7" s="420"/>
      <c r="P7" s="440"/>
      <c r="Q7" s="441"/>
    </row>
    <row r="8" spans="1:17" ht="14.4" customHeight="1" x14ac:dyDescent="0.3">
      <c r="A8" s="419" t="s">
        <v>416</v>
      </c>
      <c r="B8" s="439" t="s">
        <v>358</v>
      </c>
      <c r="C8" s="439" t="s">
        <v>359</v>
      </c>
      <c r="D8" s="439" t="s">
        <v>364</v>
      </c>
      <c r="E8" s="439" t="s">
        <v>365</v>
      </c>
      <c r="F8" s="420">
        <v>6</v>
      </c>
      <c r="G8" s="420">
        <v>1914</v>
      </c>
      <c r="H8" s="420">
        <v>1</v>
      </c>
      <c r="I8" s="420">
        <v>319</v>
      </c>
      <c r="J8" s="420">
        <v>20</v>
      </c>
      <c r="K8" s="420">
        <v>6460</v>
      </c>
      <c r="L8" s="420">
        <v>3.3751306165099271</v>
      </c>
      <c r="M8" s="420">
        <v>323</v>
      </c>
      <c r="N8" s="420">
        <v>32</v>
      </c>
      <c r="O8" s="420">
        <v>11072</v>
      </c>
      <c r="P8" s="440">
        <v>5.7847439916405436</v>
      </c>
      <c r="Q8" s="441">
        <v>346</v>
      </c>
    </row>
    <row r="9" spans="1:17" ht="14.4" customHeight="1" x14ac:dyDescent="0.3">
      <c r="A9" s="419" t="s">
        <v>416</v>
      </c>
      <c r="B9" s="439" t="s">
        <v>358</v>
      </c>
      <c r="C9" s="439" t="s">
        <v>359</v>
      </c>
      <c r="D9" s="439" t="s">
        <v>370</v>
      </c>
      <c r="E9" s="439" t="s">
        <v>371</v>
      </c>
      <c r="F9" s="420">
        <v>16</v>
      </c>
      <c r="G9" s="420">
        <v>5152</v>
      </c>
      <c r="H9" s="420">
        <v>1</v>
      </c>
      <c r="I9" s="420">
        <v>322</v>
      </c>
      <c r="J9" s="420">
        <v>4</v>
      </c>
      <c r="K9" s="420">
        <v>1292</v>
      </c>
      <c r="L9" s="420">
        <v>0.25077639751552794</v>
      </c>
      <c r="M9" s="420">
        <v>323</v>
      </c>
      <c r="N9" s="420"/>
      <c r="O9" s="420"/>
      <c r="P9" s="440"/>
      <c r="Q9" s="441"/>
    </row>
    <row r="10" spans="1:17" ht="14.4" customHeight="1" x14ac:dyDescent="0.3">
      <c r="A10" s="419" t="s">
        <v>417</v>
      </c>
      <c r="B10" s="439" t="s">
        <v>358</v>
      </c>
      <c r="C10" s="439" t="s">
        <v>359</v>
      </c>
      <c r="D10" s="439" t="s">
        <v>364</v>
      </c>
      <c r="E10" s="439" t="s">
        <v>365</v>
      </c>
      <c r="F10" s="420">
        <v>232</v>
      </c>
      <c r="G10" s="420">
        <v>74368</v>
      </c>
      <c r="H10" s="420">
        <v>1</v>
      </c>
      <c r="I10" s="420">
        <v>320.55172413793105</v>
      </c>
      <c r="J10" s="420">
        <v>185</v>
      </c>
      <c r="K10" s="420">
        <v>59755</v>
      </c>
      <c r="L10" s="420">
        <v>0.8035041953528399</v>
      </c>
      <c r="M10" s="420">
        <v>323</v>
      </c>
      <c r="N10" s="420">
        <v>273</v>
      </c>
      <c r="O10" s="420">
        <v>94458</v>
      </c>
      <c r="P10" s="440">
        <v>1.2701430722891567</v>
      </c>
      <c r="Q10" s="441">
        <v>346</v>
      </c>
    </row>
    <row r="11" spans="1:17" ht="14.4" customHeight="1" x14ac:dyDescent="0.3">
      <c r="A11" s="419" t="s">
        <v>417</v>
      </c>
      <c r="B11" s="439" t="s">
        <v>358</v>
      </c>
      <c r="C11" s="439" t="s">
        <v>359</v>
      </c>
      <c r="D11" s="439" t="s">
        <v>368</v>
      </c>
      <c r="E11" s="439" t="s">
        <v>369</v>
      </c>
      <c r="F11" s="420"/>
      <c r="G11" s="420"/>
      <c r="H11" s="420"/>
      <c r="I11" s="420"/>
      <c r="J11" s="420">
        <v>4</v>
      </c>
      <c r="K11" s="420">
        <v>1292</v>
      </c>
      <c r="L11" s="420"/>
      <c r="M11" s="420">
        <v>323</v>
      </c>
      <c r="N11" s="420"/>
      <c r="O11" s="420"/>
      <c r="P11" s="440"/>
      <c r="Q11" s="441"/>
    </row>
    <row r="12" spans="1:17" ht="14.4" customHeight="1" x14ac:dyDescent="0.3">
      <c r="A12" s="419" t="s">
        <v>417</v>
      </c>
      <c r="B12" s="439" t="s">
        <v>358</v>
      </c>
      <c r="C12" s="439" t="s">
        <v>359</v>
      </c>
      <c r="D12" s="439" t="s">
        <v>376</v>
      </c>
      <c r="E12" s="439" t="s">
        <v>377</v>
      </c>
      <c r="F12" s="420">
        <v>37</v>
      </c>
      <c r="G12" s="420">
        <v>20050</v>
      </c>
      <c r="H12" s="420">
        <v>1</v>
      </c>
      <c r="I12" s="420">
        <v>541.89189189189187</v>
      </c>
      <c r="J12" s="420">
        <v>122</v>
      </c>
      <c r="K12" s="420">
        <v>66612</v>
      </c>
      <c r="L12" s="420">
        <v>3.3222942643391522</v>
      </c>
      <c r="M12" s="420">
        <v>546</v>
      </c>
      <c r="N12" s="420">
        <v>137</v>
      </c>
      <c r="O12" s="420">
        <v>79460</v>
      </c>
      <c r="P12" s="440">
        <v>3.9630922693266832</v>
      </c>
      <c r="Q12" s="441">
        <v>580</v>
      </c>
    </row>
    <row r="13" spans="1:17" ht="14.4" customHeight="1" x14ac:dyDescent="0.3">
      <c r="A13" s="419" t="s">
        <v>417</v>
      </c>
      <c r="B13" s="439" t="s">
        <v>358</v>
      </c>
      <c r="C13" s="439" t="s">
        <v>359</v>
      </c>
      <c r="D13" s="439" t="s">
        <v>384</v>
      </c>
      <c r="E13" s="439" t="s">
        <v>385</v>
      </c>
      <c r="F13" s="420"/>
      <c r="G13" s="420"/>
      <c r="H13" s="420"/>
      <c r="I13" s="420"/>
      <c r="J13" s="420"/>
      <c r="K13" s="420"/>
      <c r="L13" s="420"/>
      <c r="M13" s="420"/>
      <c r="N13" s="420">
        <v>6</v>
      </c>
      <c r="O13" s="420">
        <v>3480</v>
      </c>
      <c r="P13" s="440"/>
      <c r="Q13" s="441">
        <v>580</v>
      </c>
    </row>
    <row r="14" spans="1:17" ht="14.4" customHeight="1" x14ac:dyDescent="0.3">
      <c r="A14" s="419" t="s">
        <v>418</v>
      </c>
      <c r="B14" s="439" t="s">
        <v>358</v>
      </c>
      <c r="C14" s="439" t="s">
        <v>359</v>
      </c>
      <c r="D14" s="439" t="s">
        <v>362</v>
      </c>
      <c r="E14" s="439" t="s">
        <v>363</v>
      </c>
      <c r="F14" s="420"/>
      <c r="G14" s="420"/>
      <c r="H14" s="420"/>
      <c r="I14" s="420"/>
      <c r="J14" s="420"/>
      <c r="K14" s="420"/>
      <c r="L14" s="420"/>
      <c r="M14" s="420"/>
      <c r="N14" s="420">
        <v>4</v>
      </c>
      <c r="O14" s="420">
        <v>296</v>
      </c>
      <c r="P14" s="440"/>
      <c r="Q14" s="441">
        <v>74</v>
      </c>
    </row>
    <row r="15" spans="1:17" ht="14.4" customHeight="1" x14ac:dyDescent="0.3">
      <c r="A15" s="419" t="s">
        <v>418</v>
      </c>
      <c r="B15" s="439" t="s">
        <v>358</v>
      </c>
      <c r="C15" s="439" t="s">
        <v>359</v>
      </c>
      <c r="D15" s="439" t="s">
        <v>364</v>
      </c>
      <c r="E15" s="439" t="s">
        <v>365</v>
      </c>
      <c r="F15" s="420">
        <v>160</v>
      </c>
      <c r="G15" s="420">
        <v>51388</v>
      </c>
      <c r="H15" s="420">
        <v>1</v>
      </c>
      <c r="I15" s="420">
        <v>321.17500000000001</v>
      </c>
      <c r="J15" s="420">
        <v>200</v>
      </c>
      <c r="K15" s="420">
        <v>64600</v>
      </c>
      <c r="L15" s="420">
        <v>1.2571028255623882</v>
      </c>
      <c r="M15" s="420">
        <v>323</v>
      </c>
      <c r="N15" s="420">
        <v>197</v>
      </c>
      <c r="O15" s="420">
        <v>68162</v>
      </c>
      <c r="P15" s="440">
        <v>1.3264186191328715</v>
      </c>
      <c r="Q15" s="441">
        <v>346</v>
      </c>
    </row>
    <row r="16" spans="1:17" ht="14.4" customHeight="1" x14ac:dyDescent="0.3">
      <c r="A16" s="419" t="s">
        <v>418</v>
      </c>
      <c r="B16" s="439" t="s">
        <v>358</v>
      </c>
      <c r="C16" s="439" t="s">
        <v>359</v>
      </c>
      <c r="D16" s="439" t="s">
        <v>370</v>
      </c>
      <c r="E16" s="439" t="s">
        <v>371</v>
      </c>
      <c r="F16" s="420"/>
      <c r="G16" s="420"/>
      <c r="H16" s="420"/>
      <c r="I16" s="420"/>
      <c r="J16" s="420"/>
      <c r="K16" s="420"/>
      <c r="L16" s="420"/>
      <c r="M16" s="420"/>
      <c r="N16" s="420">
        <v>4</v>
      </c>
      <c r="O16" s="420">
        <v>1384</v>
      </c>
      <c r="P16" s="440"/>
      <c r="Q16" s="441">
        <v>346</v>
      </c>
    </row>
    <row r="17" spans="1:17" ht="14.4" customHeight="1" x14ac:dyDescent="0.3">
      <c r="A17" s="419" t="s">
        <v>419</v>
      </c>
      <c r="B17" s="439" t="s">
        <v>358</v>
      </c>
      <c r="C17" s="439" t="s">
        <v>359</v>
      </c>
      <c r="D17" s="439" t="s">
        <v>364</v>
      </c>
      <c r="E17" s="439" t="s">
        <v>365</v>
      </c>
      <c r="F17" s="420">
        <v>48</v>
      </c>
      <c r="G17" s="420">
        <v>15390</v>
      </c>
      <c r="H17" s="420">
        <v>1</v>
      </c>
      <c r="I17" s="420">
        <v>320.625</v>
      </c>
      <c r="J17" s="420">
        <v>27</v>
      </c>
      <c r="K17" s="420">
        <v>8721</v>
      </c>
      <c r="L17" s="420">
        <v>0.56666666666666665</v>
      </c>
      <c r="M17" s="420">
        <v>323</v>
      </c>
      <c r="N17" s="420">
        <v>8</v>
      </c>
      <c r="O17" s="420">
        <v>2768</v>
      </c>
      <c r="P17" s="440">
        <v>0.17985705003248864</v>
      </c>
      <c r="Q17" s="441">
        <v>346</v>
      </c>
    </row>
    <row r="18" spans="1:17" ht="14.4" customHeight="1" x14ac:dyDescent="0.3">
      <c r="A18" s="419" t="s">
        <v>419</v>
      </c>
      <c r="B18" s="439" t="s">
        <v>358</v>
      </c>
      <c r="C18" s="439" t="s">
        <v>359</v>
      </c>
      <c r="D18" s="439" t="s">
        <v>370</v>
      </c>
      <c r="E18" s="439" t="s">
        <v>371</v>
      </c>
      <c r="F18" s="420">
        <v>4</v>
      </c>
      <c r="G18" s="420">
        <v>1288</v>
      </c>
      <c r="H18" s="420">
        <v>1</v>
      </c>
      <c r="I18" s="420">
        <v>322</v>
      </c>
      <c r="J18" s="420"/>
      <c r="K18" s="420"/>
      <c r="L18" s="420"/>
      <c r="M18" s="420"/>
      <c r="N18" s="420"/>
      <c r="O18" s="420"/>
      <c r="P18" s="440"/>
      <c r="Q18" s="441"/>
    </row>
    <row r="19" spans="1:17" ht="14.4" customHeight="1" x14ac:dyDescent="0.3">
      <c r="A19" s="419" t="s">
        <v>420</v>
      </c>
      <c r="B19" s="439" t="s">
        <v>358</v>
      </c>
      <c r="C19" s="439" t="s">
        <v>359</v>
      </c>
      <c r="D19" s="439" t="s">
        <v>364</v>
      </c>
      <c r="E19" s="439" t="s">
        <v>365</v>
      </c>
      <c r="F19" s="420">
        <v>12</v>
      </c>
      <c r="G19" s="420">
        <v>3864</v>
      </c>
      <c r="H19" s="420">
        <v>1</v>
      </c>
      <c r="I19" s="420">
        <v>322</v>
      </c>
      <c r="J19" s="420"/>
      <c r="K19" s="420"/>
      <c r="L19" s="420"/>
      <c r="M19" s="420"/>
      <c r="N19" s="420"/>
      <c r="O19" s="420"/>
      <c r="P19" s="440"/>
      <c r="Q19" s="441"/>
    </row>
    <row r="20" spans="1:17" ht="14.4" customHeight="1" x14ac:dyDescent="0.3">
      <c r="A20" s="419" t="s">
        <v>420</v>
      </c>
      <c r="B20" s="439" t="s">
        <v>358</v>
      </c>
      <c r="C20" s="439" t="s">
        <v>359</v>
      </c>
      <c r="D20" s="439" t="s">
        <v>376</v>
      </c>
      <c r="E20" s="439" t="s">
        <v>377</v>
      </c>
      <c r="F20" s="420">
        <v>8</v>
      </c>
      <c r="G20" s="420">
        <v>4352</v>
      </c>
      <c r="H20" s="420">
        <v>1</v>
      </c>
      <c r="I20" s="420">
        <v>544</v>
      </c>
      <c r="J20" s="420"/>
      <c r="K20" s="420"/>
      <c r="L20" s="420"/>
      <c r="M20" s="420"/>
      <c r="N20" s="420">
        <v>2</v>
      </c>
      <c r="O20" s="420">
        <v>1160</v>
      </c>
      <c r="P20" s="440">
        <v>0.26654411764705882</v>
      </c>
      <c r="Q20" s="441">
        <v>580</v>
      </c>
    </row>
    <row r="21" spans="1:17" ht="14.4" customHeight="1" x14ac:dyDescent="0.3">
      <c r="A21" s="419" t="s">
        <v>421</v>
      </c>
      <c r="B21" s="439" t="s">
        <v>358</v>
      </c>
      <c r="C21" s="439" t="s">
        <v>359</v>
      </c>
      <c r="D21" s="439" t="s">
        <v>364</v>
      </c>
      <c r="E21" s="439" t="s">
        <v>365</v>
      </c>
      <c r="F21" s="420">
        <v>4</v>
      </c>
      <c r="G21" s="420">
        <v>1288</v>
      </c>
      <c r="H21" s="420">
        <v>1</v>
      </c>
      <c r="I21" s="420">
        <v>322</v>
      </c>
      <c r="J21" s="420">
        <v>4</v>
      </c>
      <c r="K21" s="420">
        <v>1292</v>
      </c>
      <c r="L21" s="420">
        <v>1.0031055900621118</v>
      </c>
      <c r="M21" s="420">
        <v>323</v>
      </c>
      <c r="N21" s="420">
        <v>59</v>
      </c>
      <c r="O21" s="420">
        <v>20414</v>
      </c>
      <c r="P21" s="440">
        <v>15.849378881987578</v>
      </c>
      <c r="Q21" s="441">
        <v>346</v>
      </c>
    </row>
    <row r="22" spans="1:17" ht="14.4" customHeight="1" x14ac:dyDescent="0.3">
      <c r="A22" s="419" t="s">
        <v>421</v>
      </c>
      <c r="B22" s="439" t="s">
        <v>358</v>
      </c>
      <c r="C22" s="439" t="s">
        <v>359</v>
      </c>
      <c r="D22" s="439" t="s">
        <v>370</v>
      </c>
      <c r="E22" s="439" t="s">
        <v>371</v>
      </c>
      <c r="F22" s="420"/>
      <c r="G22" s="420"/>
      <c r="H22" s="420"/>
      <c r="I22" s="420"/>
      <c r="J22" s="420">
        <v>4</v>
      </c>
      <c r="K22" s="420">
        <v>1292</v>
      </c>
      <c r="L22" s="420"/>
      <c r="M22" s="420">
        <v>323</v>
      </c>
      <c r="N22" s="420">
        <v>8</v>
      </c>
      <c r="O22" s="420">
        <v>2768</v>
      </c>
      <c r="P22" s="440"/>
      <c r="Q22" s="441">
        <v>346</v>
      </c>
    </row>
    <row r="23" spans="1:17" ht="14.4" customHeight="1" x14ac:dyDescent="0.3">
      <c r="A23" s="419" t="s">
        <v>422</v>
      </c>
      <c r="B23" s="439" t="s">
        <v>358</v>
      </c>
      <c r="C23" s="439" t="s">
        <v>359</v>
      </c>
      <c r="D23" s="439" t="s">
        <v>362</v>
      </c>
      <c r="E23" s="439" t="s">
        <v>363</v>
      </c>
      <c r="F23" s="420"/>
      <c r="G23" s="420"/>
      <c r="H23" s="420"/>
      <c r="I23" s="420"/>
      <c r="J23" s="420"/>
      <c r="K23" s="420"/>
      <c r="L23" s="420"/>
      <c r="M23" s="420"/>
      <c r="N23" s="420">
        <v>2</v>
      </c>
      <c r="O23" s="420">
        <v>148</v>
      </c>
      <c r="P23" s="440"/>
      <c r="Q23" s="441">
        <v>74</v>
      </c>
    </row>
    <row r="24" spans="1:17" ht="14.4" customHeight="1" x14ac:dyDescent="0.3">
      <c r="A24" s="419" t="s">
        <v>422</v>
      </c>
      <c r="B24" s="439" t="s">
        <v>358</v>
      </c>
      <c r="C24" s="439" t="s">
        <v>359</v>
      </c>
      <c r="D24" s="439" t="s">
        <v>364</v>
      </c>
      <c r="E24" s="439" t="s">
        <v>365</v>
      </c>
      <c r="F24" s="420">
        <v>442</v>
      </c>
      <c r="G24" s="420">
        <v>141898</v>
      </c>
      <c r="H24" s="420">
        <v>1</v>
      </c>
      <c r="I24" s="420">
        <v>321.03619909502265</v>
      </c>
      <c r="J24" s="420">
        <v>526</v>
      </c>
      <c r="K24" s="420">
        <v>169898</v>
      </c>
      <c r="L24" s="420">
        <v>1.1973248389688367</v>
      </c>
      <c r="M24" s="420">
        <v>323</v>
      </c>
      <c r="N24" s="420">
        <v>694</v>
      </c>
      <c r="O24" s="420">
        <v>240124</v>
      </c>
      <c r="P24" s="440">
        <v>1.6922296297340342</v>
      </c>
      <c r="Q24" s="441">
        <v>346</v>
      </c>
    </row>
    <row r="25" spans="1:17" ht="14.4" customHeight="1" x14ac:dyDescent="0.3">
      <c r="A25" s="419" t="s">
        <v>422</v>
      </c>
      <c r="B25" s="439" t="s">
        <v>358</v>
      </c>
      <c r="C25" s="439" t="s">
        <v>359</v>
      </c>
      <c r="D25" s="439" t="s">
        <v>370</v>
      </c>
      <c r="E25" s="439" t="s">
        <v>371</v>
      </c>
      <c r="F25" s="420">
        <v>573</v>
      </c>
      <c r="G25" s="420">
        <v>183615</v>
      </c>
      <c r="H25" s="420">
        <v>1</v>
      </c>
      <c r="I25" s="420">
        <v>320.44502617801049</v>
      </c>
      <c r="J25" s="420">
        <v>544</v>
      </c>
      <c r="K25" s="420">
        <v>175712</v>
      </c>
      <c r="L25" s="420">
        <v>0.95695885412411841</v>
      </c>
      <c r="M25" s="420">
        <v>323</v>
      </c>
      <c r="N25" s="420">
        <v>530</v>
      </c>
      <c r="O25" s="420">
        <v>183380</v>
      </c>
      <c r="P25" s="440">
        <v>0.99872014813604548</v>
      </c>
      <c r="Q25" s="441">
        <v>346</v>
      </c>
    </row>
    <row r="26" spans="1:17" ht="14.4" customHeight="1" x14ac:dyDescent="0.3">
      <c r="A26" s="419" t="s">
        <v>423</v>
      </c>
      <c r="B26" s="439" t="s">
        <v>358</v>
      </c>
      <c r="C26" s="439" t="s">
        <v>359</v>
      </c>
      <c r="D26" s="439" t="s">
        <v>364</v>
      </c>
      <c r="E26" s="439" t="s">
        <v>365</v>
      </c>
      <c r="F26" s="420">
        <v>4</v>
      </c>
      <c r="G26" s="420">
        <v>1288</v>
      </c>
      <c r="H26" s="420">
        <v>1</v>
      </c>
      <c r="I26" s="420">
        <v>322</v>
      </c>
      <c r="J26" s="420"/>
      <c r="K26" s="420"/>
      <c r="L26" s="420"/>
      <c r="M26" s="420"/>
      <c r="N26" s="420">
        <v>4</v>
      </c>
      <c r="O26" s="420">
        <v>1384</v>
      </c>
      <c r="P26" s="440">
        <v>1.0745341614906831</v>
      </c>
      <c r="Q26" s="441">
        <v>346</v>
      </c>
    </row>
    <row r="27" spans="1:17" ht="14.4" customHeight="1" x14ac:dyDescent="0.3">
      <c r="A27" s="419" t="s">
        <v>423</v>
      </c>
      <c r="B27" s="439" t="s">
        <v>358</v>
      </c>
      <c r="C27" s="439" t="s">
        <v>359</v>
      </c>
      <c r="D27" s="439" t="s">
        <v>370</v>
      </c>
      <c r="E27" s="439" t="s">
        <v>371</v>
      </c>
      <c r="F27" s="420">
        <v>8</v>
      </c>
      <c r="G27" s="420">
        <v>2552</v>
      </c>
      <c r="H27" s="420">
        <v>1</v>
      </c>
      <c r="I27" s="420">
        <v>319</v>
      </c>
      <c r="J27" s="420"/>
      <c r="K27" s="420"/>
      <c r="L27" s="420"/>
      <c r="M27" s="420"/>
      <c r="N27" s="420"/>
      <c r="O27" s="420"/>
      <c r="P27" s="440"/>
      <c r="Q27" s="441"/>
    </row>
    <row r="28" spans="1:17" ht="14.4" customHeight="1" x14ac:dyDescent="0.3">
      <c r="A28" s="419" t="s">
        <v>424</v>
      </c>
      <c r="B28" s="439" t="s">
        <v>358</v>
      </c>
      <c r="C28" s="439" t="s">
        <v>359</v>
      </c>
      <c r="D28" s="439" t="s">
        <v>362</v>
      </c>
      <c r="E28" s="439" t="s">
        <v>363</v>
      </c>
      <c r="F28" s="420">
        <v>2</v>
      </c>
      <c r="G28" s="420">
        <v>140</v>
      </c>
      <c r="H28" s="420">
        <v>1</v>
      </c>
      <c r="I28" s="420">
        <v>70</v>
      </c>
      <c r="J28" s="420">
        <v>2</v>
      </c>
      <c r="K28" s="420">
        <v>140</v>
      </c>
      <c r="L28" s="420">
        <v>1</v>
      </c>
      <c r="M28" s="420">
        <v>70</v>
      </c>
      <c r="N28" s="420">
        <v>4</v>
      </c>
      <c r="O28" s="420">
        <v>296</v>
      </c>
      <c r="P28" s="440">
        <v>2.1142857142857143</v>
      </c>
      <c r="Q28" s="441">
        <v>74</v>
      </c>
    </row>
    <row r="29" spans="1:17" ht="14.4" customHeight="1" x14ac:dyDescent="0.3">
      <c r="A29" s="419" t="s">
        <v>424</v>
      </c>
      <c r="B29" s="439" t="s">
        <v>358</v>
      </c>
      <c r="C29" s="439" t="s">
        <v>359</v>
      </c>
      <c r="D29" s="439" t="s">
        <v>364</v>
      </c>
      <c r="E29" s="439" t="s">
        <v>365</v>
      </c>
      <c r="F29" s="420">
        <v>534</v>
      </c>
      <c r="G29" s="420">
        <v>171150</v>
      </c>
      <c r="H29" s="420">
        <v>1</v>
      </c>
      <c r="I29" s="420">
        <v>320.50561797752812</v>
      </c>
      <c r="J29" s="420">
        <v>427</v>
      </c>
      <c r="K29" s="420">
        <v>137921</v>
      </c>
      <c r="L29" s="420">
        <v>0.80584867075664623</v>
      </c>
      <c r="M29" s="420">
        <v>323</v>
      </c>
      <c r="N29" s="420">
        <v>573</v>
      </c>
      <c r="O29" s="420">
        <v>198258</v>
      </c>
      <c r="P29" s="440">
        <v>1.1583873794916739</v>
      </c>
      <c r="Q29" s="441">
        <v>346</v>
      </c>
    </row>
    <row r="30" spans="1:17" ht="14.4" customHeight="1" x14ac:dyDescent="0.3">
      <c r="A30" s="419" t="s">
        <v>424</v>
      </c>
      <c r="B30" s="439" t="s">
        <v>358</v>
      </c>
      <c r="C30" s="439" t="s">
        <v>359</v>
      </c>
      <c r="D30" s="439" t="s">
        <v>368</v>
      </c>
      <c r="E30" s="439" t="s">
        <v>369</v>
      </c>
      <c r="F30" s="420">
        <v>203</v>
      </c>
      <c r="G30" s="420">
        <v>65162</v>
      </c>
      <c r="H30" s="420">
        <v>1</v>
      </c>
      <c r="I30" s="420">
        <v>320.99507389162562</v>
      </c>
      <c r="J30" s="420">
        <v>230</v>
      </c>
      <c r="K30" s="420">
        <v>74290</v>
      </c>
      <c r="L30" s="420">
        <v>1.1400816426751788</v>
      </c>
      <c r="M30" s="420">
        <v>323</v>
      </c>
      <c r="N30" s="420">
        <v>210</v>
      </c>
      <c r="O30" s="420">
        <v>72660</v>
      </c>
      <c r="P30" s="440">
        <v>1.1150670636260398</v>
      </c>
      <c r="Q30" s="441">
        <v>346</v>
      </c>
    </row>
    <row r="31" spans="1:17" ht="14.4" customHeight="1" x14ac:dyDescent="0.3">
      <c r="A31" s="419" t="s">
        <v>424</v>
      </c>
      <c r="B31" s="439" t="s">
        <v>358</v>
      </c>
      <c r="C31" s="439" t="s">
        <v>359</v>
      </c>
      <c r="D31" s="439" t="s">
        <v>370</v>
      </c>
      <c r="E31" s="439" t="s">
        <v>371</v>
      </c>
      <c r="F31" s="420">
        <v>173</v>
      </c>
      <c r="G31" s="420">
        <v>55472</v>
      </c>
      <c r="H31" s="420">
        <v>1</v>
      </c>
      <c r="I31" s="420">
        <v>320.64739884393066</v>
      </c>
      <c r="J31" s="420">
        <v>215</v>
      </c>
      <c r="K31" s="420">
        <v>69445</v>
      </c>
      <c r="L31" s="420">
        <v>1.2518928468416499</v>
      </c>
      <c r="M31" s="420">
        <v>323</v>
      </c>
      <c r="N31" s="420">
        <v>116</v>
      </c>
      <c r="O31" s="420">
        <v>40136</v>
      </c>
      <c r="P31" s="440">
        <v>0.72353619844245742</v>
      </c>
      <c r="Q31" s="441">
        <v>346</v>
      </c>
    </row>
    <row r="32" spans="1:17" ht="14.4" customHeight="1" x14ac:dyDescent="0.3">
      <c r="A32" s="419" t="s">
        <v>424</v>
      </c>
      <c r="B32" s="439" t="s">
        <v>358</v>
      </c>
      <c r="C32" s="439" t="s">
        <v>359</v>
      </c>
      <c r="D32" s="439" t="s">
        <v>376</v>
      </c>
      <c r="E32" s="439" t="s">
        <v>377</v>
      </c>
      <c r="F32" s="420"/>
      <c r="G32" s="420"/>
      <c r="H32" s="420"/>
      <c r="I32" s="420"/>
      <c r="J32" s="420"/>
      <c r="K32" s="420"/>
      <c r="L32" s="420"/>
      <c r="M32" s="420"/>
      <c r="N32" s="420">
        <v>6</v>
      </c>
      <c r="O32" s="420">
        <v>3480</v>
      </c>
      <c r="P32" s="440"/>
      <c r="Q32" s="441">
        <v>580</v>
      </c>
    </row>
    <row r="33" spans="1:17" ht="14.4" customHeight="1" x14ac:dyDescent="0.3">
      <c r="A33" s="419" t="s">
        <v>424</v>
      </c>
      <c r="B33" s="439" t="s">
        <v>358</v>
      </c>
      <c r="C33" s="439" t="s">
        <v>359</v>
      </c>
      <c r="D33" s="439" t="s">
        <v>378</v>
      </c>
      <c r="E33" s="439" t="s">
        <v>379</v>
      </c>
      <c r="F33" s="420">
        <v>79</v>
      </c>
      <c r="G33" s="420">
        <v>42881</v>
      </c>
      <c r="H33" s="420">
        <v>1</v>
      </c>
      <c r="I33" s="420">
        <v>542.79746835443041</v>
      </c>
      <c r="J33" s="420">
        <v>117</v>
      </c>
      <c r="K33" s="420">
        <v>63999</v>
      </c>
      <c r="L33" s="420">
        <v>1.4924791865861338</v>
      </c>
      <c r="M33" s="420">
        <v>547</v>
      </c>
      <c r="N33" s="420">
        <v>109</v>
      </c>
      <c r="O33" s="420">
        <v>63329</v>
      </c>
      <c r="P33" s="440">
        <v>1.4768545509666287</v>
      </c>
      <c r="Q33" s="441">
        <v>581</v>
      </c>
    </row>
    <row r="34" spans="1:17" ht="14.4" customHeight="1" x14ac:dyDescent="0.3">
      <c r="A34" s="419" t="s">
        <v>424</v>
      </c>
      <c r="B34" s="439" t="s">
        <v>358</v>
      </c>
      <c r="C34" s="439" t="s">
        <v>359</v>
      </c>
      <c r="D34" s="439" t="s">
        <v>380</v>
      </c>
      <c r="E34" s="439" t="s">
        <v>381</v>
      </c>
      <c r="F34" s="420">
        <v>4</v>
      </c>
      <c r="G34" s="420">
        <v>1088</v>
      </c>
      <c r="H34" s="420">
        <v>1</v>
      </c>
      <c r="I34" s="420">
        <v>272</v>
      </c>
      <c r="J34" s="420"/>
      <c r="K34" s="420"/>
      <c r="L34" s="420"/>
      <c r="M34" s="420"/>
      <c r="N34" s="420"/>
      <c r="O34" s="420"/>
      <c r="P34" s="440"/>
      <c r="Q34" s="441"/>
    </row>
    <row r="35" spans="1:17" ht="14.4" customHeight="1" x14ac:dyDescent="0.3">
      <c r="A35" s="419" t="s">
        <v>424</v>
      </c>
      <c r="B35" s="439" t="s">
        <v>358</v>
      </c>
      <c r="C35" s="439" t="s">
        <v>359</v>
      </c>
      <c r="D35" s="439" t="s">
        <v>382</v>
      </c>
      <c r="E35" s="439" t="s">
        <v>383</v>
      </c>
      <c r="F35" s="420">
        <v>50</v>
      </c>
      <c r="G35" s="420">
        <v>27034</v>
      </c>
      <c r="H35" s="420">
        <v>1</v>
      </c>
      <c r="I35" s="420">
        <v>540.67999999999995</v>
      </c>
      <c r="J35" s="420">
        <v>10</v>
      </c>
      <c r="K35" s="420">
        <v>5470</v>
      </c>
      <c r="L35" s="420">
        <v>0.2023377968484131</v>
      </c>
      <c r="M35" s="420">
        <v>547</v>
      </c>
      <c r="N35" s="420">
        <v>9</v>
      </c>
      <c r="O35" s="420">
        <v>5229</v>
      </c>
      <c r="P35" s="440">
        <v>0.19342309684101502</v>
      </c>
      <c r="Q35" s="441">
        <v>581</v>
      </c>
    </row>
    <row r="36" spans="1:17" ht="14.4" customHeight="1" x14ac:dyDescent="0.3">
      <c r="A36" s="419" t="s">
        <v>425</v>
      </c>
      <c r="B36" s="439" t="s">
        <v>358</v>
      </c>
      <c r="C36" s="439" t="s">
        <v>359</v>
      </c>
      <c r="D36" s="439" t="s">
        <v>364</v>
      </c>
      <c r="E36" s="439" t="s">
        <v>365</v>
      </c>
      <c r="F36" s="420"/>
      <c r="G36" s="420"/>
      <c r="H36" s="420"/>
      <c r="I36" s="420"/>
      <c r="J36" s="420">
        <v>48</v>
      </c>
      <c r="K36" s="420">
        <v>15504</v>
      </c>
      <c r="L36" s="420"/>
      <c r="M36" s="420">
        <v>323</v>
      </c>
      <c r="N36" s="420">
        <v>12</v>
      </c>
      <c r="O36" s="420">
        <v>4152</v>
      </c>
      <c r="P36" s="440"/>
      <c r="Q36" s="441">
        <v>346</v>
      </c>
    </row>
    <row r="37" spans="1:17" ht="14.4" customHeight="1" x14ac:dyDescent="0.3">
      <c r="A37" s="419" t="s">
        <v>426</v>
      </c>
      <c r="B37" s="439" t="s">
        <v>358</v>
      </c>
      <c r="C37" s="439" t="s">
        <v>359</v>
      </c>
      <c r="D37" s="439" t="s">
        <v>364</v>
      </c>
      <c r="E37" s="439" t="s">
        <v>365</v>
      </c>
      <c r="F37" s="420"/>
      <c r="G37" s="420"/>
      <c r="H37" s="420"/>
      <c r="I37" s="420"/>
      <c r="J37" s="420">
        <v>88</v>
      </c>
      <c r="K37" s="420">
        <v>28424</v>
      </c>
      <c r="L37" s="420"/>
      <c r="M37" s="420">
        <v>323</v>
      </c>
      <c r="N37" s="420">
        <v>50</v>
      </c>
      <c r="O37" s="420">
        <v>17300</v>
      </c>
      <c r="P37" s="440"/>
      <c r="Q37" s="441">
        <v>346</v>
      </c>
    </row>
    <row r="38" spans="1:17" ht="14.4" customHeight="1" x14ac:dyDescent="0.3">
      <c r="A38" s="419" t="s">
        <v>427</v>
      </c>
      <c r="B38" s="439" t="s">
        <v>358</v>
      </c>
      <c r="C38" s="439" t="s">
        <v>359</v>
      </c>
      <c r="D38" s="439" t="s">
        <v>364</v>
      </c>
      <c r="E38" s="439" t="s">
        <v>365</v>
      </c>
      <c r="F38" s="420">
        <v>24</v>
      </c>
      <c r="G38" s="420">
        <v>7728</v>
      </c>
      <c r="H38" s="420">
        <v>1</v>
      </c>
      <c r="I38" s="420">
        <v>322</v>
      </c>
      <c r="J38" s="420">
        <v>132</v>
      </c>
      <c r="K38" s="420">
        <v>42636</v>
      </c>
      <c r="L38" s="420">
        <v>5.5170807453416151</v>
      </c>
      <c r="M38" s="420">
        <v>323</v>
      </c>
      <c r="N38" s="420">
        <v>72</v>
      </c>
      <c r="O38" s="420">
        <v>24912</v>
      </c>
      <c r="P38" s="440">
        <v>3.2236024844720497</v>
      </c>
      <c r="Q38" s="441">
        <v>346</v>
      </c>
    </row>
    <row r="39" spans="1:17" ht="14.4" customHeight="1" x14ac:dyDescent="0.3">
      <c r="A39" s="419" t="s">
        <v>428</v>
      </c>
      <c r="B39" s="439" t="s">
        <v>358</v>
      </c>
      <c r="C39" s="439" t="s">
        <v>359</v>
      </c>
      <c r="D39" s="439" t="s">
        <v>364</v>
      </c>
      <c r="E39" s="439" t="s">
        <v>365</v>
      </c>
      <c r="F39" s="420">
        <v>3</v>
      </c>
      <c r="G39" s="420">
        <v>966</v>
      </c>
      <c r="H39" s="420">
        <v>1</v>
      </c>
      <c r="I39" s="420">
        <v>322</v>
      </c>
      <c r="J39" s="420"/>
      <c r="K39" s="420"/>
      <c r="L39" s="420"/>
      <c r="M39" s="420"/>
      <c r="N39" s="420"/>
      <c r="O39" s="420"/>
      <c r="P39" s="440"/>
      <c r="Q39" s="441"/>
    </row>
    <row r="40" spans="1:17" ht="14.4" customHeight="1" x14ac:dyDescent="0.3">
      <c r="A40" s="419" t="s">
        <v>429</v>
      </c>
      <c r="B40" s="439" t="s">
        <v>358</v>
      </c>
      <c r="C40" s="439" t="s">
        <v>359</v>
      </c>
      <c r="D40" s="439" t="s">
        <v>364</v>
      </c>
      <c r="E40" s="439" t="s">
        <v>365</v>
      </c>
      <c r="F40" s="420">
        <v>1264</v>
      </c>
      <c r="G40" s="420">
        <v>405025</v>
      </c>
      <c r="H40" s="420">
        <v>1</v>
      </c>
      <c r="I40" s="420">
        <v>320.43117088607596</v>
      </c>
      <c r="J40" s="420">
        <v>1083</v>
      </c>
      <c r="K40" s="420">
        <v>349809</v>
      </c>
      <c r="L40" s="420">
        <v>0.86367261280167895</v>
      </c>
      <c r="M40" s="420">
        <v>323</v>
      </c>
      <c r="N40" s="420">
        <v>562</v>
      </c>
      <c r="O40" s="420">
        <v>194452</v>
      </c>
      <c r="P40" s="440">
        <v>0.48009875933584345</v>
      </c>
      <c r="Q40" s="441">
        <v>346</v>
      </c>
    </row>
    <row r="41" spans="1:17" ht="14.4" customHeight="1" x14ac:dyDescent="0.3">
      <c r="A41" s="419" t="s">
        <v>429</v>
      </c>
      <c r="B41" s="439" t="s">
        <v>358</v>
      </c>
      <c r="C41" s="439" t="s">
        <v>359</v>
      </c>
      <c r="D41" s="439" t="s">
        <v>366</v>
      </c>
      <c r="E41" s="439" t="s">
        <v>367</v>
      </c>
      <c r="F41" s="420"/>
      <c r="G41" s="420"/>
      <c r="H41" s="420"/>
      <c r="I41" s="420"/>
      <c r="J41" s="420">
        <v>4</v>
      </c>
      <c r="K41" s="420">
        <v>860</v>
      </c>
      <c r="L41" s="420"/>
      <c r="M41" s="420">
        <v>215</v>
      </c>
      <c r="N41" s="420"/>
      <c r="O41" s="420"/>
      <c r="P41" s="440"/>
      <c r="Q41" s="441"/>
    </row>
    <row r="42" spans="1:17" ht="14.4" customHeight="1" x14ac:dyDescent="0.3">
      <c r="A42" s="419" t="s">
        <v>429</v>
      </c>
      <c r="B42" s="439" t="s">
        <v>358</v>
      </c>
      <c r="C42" s="439" t="s">
        <v>359</v>
      </c>
      <c r="D42" s="439" t="s">
        <v>368</v>
      </c>
      <c r="E42" s="439" t="s">
        <v>369</v>
      </c>
      <c r="F42" s="420">
        <v>4</v>
      </c>
      <c r="G42" s="420">
        <v>1288</v>
      </c>
      <c r="H42" s="420">
        <v>1</v>
      </c>
      <c r="I42" s="420">
        <v>322</v>
      </c>
      <c r="J42" s="420"/>
      <c r="K42" s="420"/>
      <c r="L42" s="420"/>
      <c r="M42" s="420"/>
      <c r="N42" s="420">
        <v>4</v>
      </c>
      <c r="O42" s="420">
        <v>1384</v>
      </c>
      <c r="P42" s="440">
        <v>1.0745341614906831</v>
      </c>
      <c r="Q42" s="441">
        <v>346</v>
      </c>
    </row>
    <row r="43" spans="1:17" ht="14.4" customHeight="1" x14ac:dyDescent="0.3">
      <c r="A43" s="419" t="s">
        <v>429</v>
      </c>
      <c r="B43" s="439" t="s">
        <v>358</v>
      </c>
      <c r="C43" s="439" t="s">
        <v>359</v>
      </c>
      <c r="D43" s="439" t="s">
        <v>370</v>
      </c>
      <c r="E43" s="439" t="s">
        <v>371</v>
      </c>
      <c r="F43" s="420">
        <v>3</v>
      </c>
      <c r="G43" s="420">
        <v>966</v>
      </c>
      <c r="H43" s="420">
        <v>1</v>
      </c>
      <c r="I43" s="420">
        <v>322</v>
      </c>
      <c r="J43" s="420">
        <v>4</v>
      </c>
      <c r="K43" s="420">
        <v>1292</v>
      </c>
      <c r="L43" s="420">
        <v>1.3374741200828157</v>
      </c>
      <c r="M43" s="420">
        <v>323</v>
      </c>
      <c r="N43" s="420"/>
      <c r="O43" s="420"/>
      <c r="P43" s="440"/>
      <c r="Q43" s="441"/>
    </row>
    <row r="44" spans="1:17" ht="14.4" customHeight="1" x14ac:dyDescent="0.3">
      <c r="A44" s="419" t="s">
        <v>429</v>
      </c>
      <c r="B44" s="439" t="s">
        <v>358</v>
      </c>
      <c r="C44" s="439" t="s">
        <v>359</v>
      </c>
      <c r="D44" s="439" t="s">
        <v>376</v>
      </c>
      <c r="E44" s="439" t="s">
        <v>377</v>
      </c>
      <c r="F44" s="420">
        <v>44</v>
      </c>
      <c r="G44" s="420">
        <v>23828</v>
      </c>
      <c r="H44" s="420">
        <v>1</v>
      </c>
      <c r="I44" s="420">
        <v>541.5454545454545</v>
      </c>
      <c r="J44" s="420">
        <v>23</v>
      </c>
      <c r="K44" s="420">
        <v>12558</v>
      </c>
      <c r="L44" s="420">
        <v>0.52702702702702697</v>
      </c>
      <c r="M44" s="420">
        <v>546</v>
      </c>
      <c r="N44" s="420">
        <v>67</v>
      </c>
      <c r="O44" s="420">
        <v>38860</v>
      </c>
      <c r="P44" s="440">
        <v>1.6308544569414134</v>
      </c>
      <c r="Q44" s="441">
        <v>580</v>
      </c>
    </row>
    <row r="45" spans="1:17" ht="14.4" customHeight="1" x14ac:dyDescent="0.3">
      <c r="A45" s="419" t="s">
        <v>429</v>
      </c>
      <c r="B45" s="439" t="s">
        <v>358</v>
      </c>
      <c r="C45" s="439" t="s">
        <v>359</v>
      </c>
      <c r="D45" s="439" t="s">
        <v>384</v>
      </c>
      <c r="E45" s="439" t="s">
        <v>385</v>
      </c>
      <c r="F45" s="420"/>
      <c r="G45" s="420"/>
      <c r="H45" s="420"/>
      <c r="I45" s="420"/>
      <c r="J45" s="420"/>
      <c r="K45" s="420"/>
      <c r="L45" s="420"/>
      <c r="M45" s="420"/>
      <c r="N45" s="420">
        <v>4</v>
      </c>
      <c r="O45" s="420">
        <v>2320</v>
      </c>
      <c r="P45" s="440"/>
      <c r="Q45" s="441">
        <v>580</v>
      </c>
    </row>
    <row r="46" spans="1:17" ht="14.4" customHeight="1" x14ac:dyDescent="0.3">
      <c r="A46" s="419" t="s">
        <v>430</v>
      </c>
      <c r="B46" s="439" t="s">
        <v>358</v>
      </c>
      <c r="C46" s="439" t="s">
        <v>359</v>
      </c>
      <c r="D46" s="439" t="s">
        <v>362</v>
      </c>
      <c r="E46" s="439" t="s">
        <v>363</v>
      </c>
      <c r="F46" s="420">
        <v>1</v>
      </c>
      <c r="G46" s="420">
        <v>70</v>
      </c>
      <c r="H46" s="420">
        <v>1</v>
      </c>
      <c r="I46" s="420">
        <v>70</v>
      </c>
      <c r="J46" s="420"/>
      <c r="K46" s="420"/>
      <c r="L46" s="420"/>
      <c r="M46" s="420"/>
      <c r="N46" s="420"/>
      <c r="O46" s="420"/>
      <c r="P46" s="440"/>
      <c r="Q46" s="441"/>
    </row>
    <row r="47" spans="1:17" ht="14.4" customHeight="1" x14ac:dyDescent="0.3">
      <c r="A47" s="419" t="s">
        <v>430</v>
      </c>
      <c r="B47" s="439" t="s">
        <v>358</v>
      </c>
      <c r="C47" s="439" t="s">
        <v>359</v>
      </c>
      <c r="D47" s="439" t="s">
        <v>364</v>
      </c>
      <c r="E47" s="439" t="s">
        <v>365</v>
      </c>
      <c r="F47" s="420">
        <v>178</v>
      </c>
      <c r="G47" s="420">
        <v>57064</v>
      </c>
      <c r="H47" s="420">
        <v>1</v>
      </c>
      <c r="I47" s="420">
        <v>320.58426966292137</v>
      </c>
      <c r="J47" s="420">
        <v>105</v>
      </c>
      <c r="K47" s="420">
        <v>33915</v>
      </c>
      <c r="L47" s="420">
        <v>0.59433267909715404</v>
      </c>
      <c r="M47" s="420">
        <v>323</v>
      </c>
      <c r="N47" s="420">
        <v>48</v>
      </c>
      <c r="O47" s="420">
        <v>16608</v>
      </c>
      <c r="P47" s="440">
        <v>0.29104163745969436</v>
      </c>
      <c r="Q47" s="441">
        <v>346</v>
      </c>
    </row>
    <row r="48" spans="1:17" ht="14.4" customHeight="1" x14ac:dyDescent="0.3">
      <c r="A48" s="419" t="s">
        <v>430</v>
      </c>
      <c r="B48" s="439" t="s">
        <v>358</v>
      </c>
      <c r="C48" s="439" t="s">
        <v>359</v>
      </c>
      <c r="D48" s="439" t="s">
        <v>376</v>
      </c>
      <c r="E48" s="439" t="s">
        <v>377</v>
      </c>
      <c r="F48" s="420">
        <v>654</v>
      </c>
      <c r="G48" s="420">
        <v>354066</v>
      </c>
      <c r="H48" s="420">
        <v>1</v>
      </c>
      <c r="I48" s="420">
        <v>541.38532110091739</v>
      </c>
      <c r="J48" s="420">
        <v>928</v>
      </c>
      <c r="K48" s="420">
        <v>506688</v>
      </c>
      <c r="L48" s="420">
        <v>1.4310552269915779</v>
      </c>
      <c r="M48" s="420">
        <v>546</v>
      </c>
      <c r="N48" s="420">
        <v>916</v>
      </c>
      <c r="O48" s="420">
        <v>531280</v>
      </c>
      <c r="P48" s="440">
        <v>1.5005112041257844</v>
      </c>
      <c r="Q48" s="441">
        <v>580</v>
      </c>
    </row>
    <row r="49" spans="1:17" ht="14.4" customHeight="1" x14ac:dyDescent="0.3">
      <c r="A49" s="419" t="s">
        <v>430</v>
      </c>
      <c r="B49" s="439" t="s">
        <v>358</v>
      </c>
      <c r="C49" s="439" t="s">
        <v>359</v>
      </c>
      <c r="D49" s="439" t="s">
        <v>384</v>
      </c>
      <c r="E49" s="439" t="s">
        <v>385</v>
      </c>
      <c r="F49" s="420">
        <v>132</v>
      </c>
      <c r="G49" s="420">
        <v>71568</v>
      </c>
      <c r="H49" s="420">
        <v>1</v>
      </c>
      <c r="I49" s="420">
        <v>542.18181818181813</v>
      </c>
      <c r="J49" s="420">
        <v>140</v>
      </c>
      <c r="K49" s="420">
        <v>76440</v>
      </c>
      <c r="L49" s="420">
        <v>1.068075117370892</v>
      </c>
      <c r="M49" s="420">
        <v>546</v>
      </c>
      <c r="N49" s="420">
        <v>76</v>
      </c>
      <c r="O49" s="420">
        <v>44080</v>
      </c>
      <c r="P49" s="440">
        <v>0.61591772859378491</v>
      </c>
      <c r="Q49" s="441">
        <v>580</v>
      </c>
    </row>
    <row r="50" spans="1:17" ht="14.4" customHeight="1" x14ac:dyDescent="0.3">
      <c r="A50" s="419" t="s">
        <v>430</v>
      </c>
      <c r="B50" s="439" t="s">
        <v>358</v>
      </c>
      <c r="C50" s="439" t="s">
        <v>359</v>
      </c>
      <c r="D50" s="439" t="s">
        <v>386</v>
      </c>
      <c r="E50" s="439" t="s">
        <v>387</v>
      </c>
      <c r="F50" s="420">
        <v>12</v>
      </c>
      <c r="G50" s="420">
        <v>3264</v>
      </c>
      <c r="H50" s="420">
        <v>1</v>
      </c>
      <c r="I50" s="420">
        <v>272</v>
      </c>
      <c r="J50" s="420">
        <v>24</v>
      </c>
      <c r="K50" s="420">
        <v>6552</v>
      </c>
      <c r="L50" s="420">
        <v>2.0073529411764706</v>
      </c>
      <c r="M50" s="420">
        <v>273</v>
      </c>
      <c r="N50" s="420">
        <v>2</v>
      </c>
      <c r="O50" s="420">
        <v>580</v>
      </c>
      <c r="P50" s="440">
        <v>0.17769607843137256</v>
      </c>
      <c r="Q50" s="441">
        <v>290</v>
      </c>
    </row>
    <row r="51" spans="1:17" ht="14.4" customHeight="1" x14ac:dyDescent="0.3">
      <c r="A51" s="419" t="s">
        <v>431</v>
      </c>
      <c r="B51" s="439" t="s">
        <v>358</v>
      </c>
      <c r="C51" s="439" t="s">
        <v>359</v>
      </c>
      <c r="D51" s="439" t="s">
        <v>364</v>
      </c>
      <c r="E51" s="439" t="s">
        <v>365</v>
      </c>
      <c r="F51" s="420">
        <v>4</v>
      </c>
      <c r="G51" s="420">
        <v>1288</v>
      </c>
      <c r="H51" s="420">
        <v>1</v>
      </c>
      <c r="I51" s="420">
        <v>322</v>
      </c>
      <c r="J51" s="420">
        <v>5</v>
      </c>
      <c r="K51" s="420">
        <v>1615</v>
      </c>
      <c r="L51" s="420">
        <v>1.2538819875776397</v>
      </c>
      <c r="M51" s="420">
        <v>323</v>
      </c>
      <c r="N51" s="420"/>
      <c r="O51" s="420"/>
      <c r="P51" s="440"/>
      <c r="Q51" s="441"/>
    </row>
    <row r="52" spans="1:17" ht="14.4" customHeight="1" x14ac:dyDescent="0.3">
      <c r="A52" s="419" t="s">
        <v>431</v>
      </c>
      <c r="B52" s="439" t="s">
        <v>358</v>
      </c>
      <c r="C52" s="439" t="s">
        <v>359</v>
      </c>
      <c r="D52" s="439" t="s">
        <v>370</v>
      </c>
      <c r="E52" s="439" t="s">
        <v>371</v>
      </c>
      <c r="F52" s="420"/>
      <c r="G52" s="420"/>
      <c r="H52" s="420"/>
      <c r="I52" s="420"/>
      <c r="J52" s="420">
        <v>3</v>
      </c>
      <c r="K52" s="420">
        <v>969</v>
      </c>
      <c r="L52" s="420"/>
      <c r="M52" s="420">
        <v>323</v>
      </c>
      <c r="N52" s="420">
        <v>4</v>
      </c>
      <c r="O52" s="420">
        <v>1384</v>
      </c>
      <c r="P52" s="440"/>
      <c r="Q52" s="441">
        <v>346</v>
      </c>
    </row>
    <row r="53" spans="1:17" ht="14.4" customHeight="1" x14ac:dyDescent="0.3">
      <c r="A53" s="419" t="s">
        <v>431</v>
      </c>
      <c r="B53" s="439" t="s">
        <v>358</v>
      </c>
      <c r="C53" s="439" t="s">
        <v>359</v>
      </c>
      <c r="D53" s="439" t="s">
        <v>384</v>
      </c>
      <c r="E53" s="439" t="s">
        <v>385</v>
      </c>
      <c r="F53" s="420">
        <v>12</v>
      </c>
      <c r="G53" s="420">
        <v>6528</v>
      </c>
      <c r="H53" s="420">
        <v>1</v>
      </c>
      <c r="I53" s="420">
        <v>544</v>
      </c>
      <c r="J53" s="420">
        <v>32</v>
      </c>
      <c r="K53" s="420">
        <v>17472</v>
      </c>
      <c r="L53" s="420">
        <v>2.6764705882352939</v>
      </c>
      <c r="M53" s="420">
        <v>546</v>
      </c>
      <c r="N53" s="420"/>
      <c r="O53" s="420"/>
      <c r="P53" s="440"/>
      <c r="Q53" s="441"/>
    </row>
    <row r="54" spans="1:17" ht="14.4" customHeight="1" x14ac:dyDescent="0.3">
      <c r="A54" s="419" t="s">
        <v>432</v>
      </c>
      <c r="B54" s="439" t="s">
        <v>358</v>
      </c>
      <c r="C54" s="439" t="s">
        <v>359</v>
      </c>
      <c r="D54" s="439" t="s">
        <v>364</v>
      </c>
      <c r="E54" s="439" t="s">
        <v>365</v>
      </c>
      <c r="F54" s="420">
        <v>20</v>
      </c>
      <c r="G54" s="420">
        <v>6428</v>
      </c>
      <c r="H54" s="420">
        <v>1</v>
      </c>
      <c r="I54" s="420">
        <v>321.39999999999998</v>
      </c>
      <c r="J54" s="420">
        <v>48</v>
      </c>
      <c r="K54" s="420">
        <v>15504</v>
      </c>
      <c r="L54" s="420">
        <v>2.4119477286869944</v>
      </c>
      <c r="M54" s="420">
        <v>323</v>
      </c>
      <c r="N54" s="420">
        <v>34</v>
      </c>
      <c r="O54" s="420">
        <v>11764</v>
      </c>
      <c r="P54" s="440">
        <v>1.8301182327317984</v>
      </c>
      <c r="Q54" s="441">
        <v>346</v>
      </c>
    </row>
    <row r="55" spans="1:17" ht="14.4" customHeight="1" x14ac:dyDescent="0.3">
      <c r="A55" s="419" t="s">
        <v>432</v>
      </c>
      <c r="B55" s="439" t="s">
        <v>358</v>
      </c>
      <c r="C55" s="439" t="s">
        <v>359</v>
      </c>
      <c r="D55" s="439" t="s">
        <v>376</v>
      </c>
      <c r="E55" s="439" t="s">
        <v>377</v>
      </c>
      <c r="F55" s="420">
        <v>4</v>
      </c>
      <c r="G55" s="420">
        <v>2152</v>
      </c>
      <c r="H55" s="420">
        <v>1</v>
      </c>
      <c r="I55" s="420">
        <v>538</v>
      </c>
      <c r="J55" s="420"/>
      <c r="K55" s="420"/>
      <c r="L55" s="420"/>
      <c r="M55" s="420"/>
      <c r="N55" s="420"/>
      <c r="O55" s="420"/>
      <c r="P55" s="440"/>
      <c r="Q55" s="441"/>
    </row>
    <row r="56" spans="1:17" ht="14.4" customHeight="1" x14ac:dyDescent="0.3">
      <c r="A56" s="419" t="s">
        <v>432</v>
      </c>
      <c r="B56" s="439" t="s">
        <v>358</v>
      </c>
      <c r="C56" s="439" t="s">
        <v>359</v>
      </c>
      <c r="D56" s="439" t="s">
        <v>378</v>
      </c>
      <c r="E56" s="439" t="s">
        <v>379</v>
      </c>
      <c r="F56" s="420"/>
      <c r="G56" s="420"/>
      <c r="H56" s="420"/>
      <c r="I56" s="420"/>
      <c r="J56" s="420"/>
      <c r="K56" s="420"/>
      <c r="L56" s="420"/>
      <c r="M56" s="420"/>
      <c r="N56" s="420">
        <v>6</v>
      </c>
      <c r="O56" s="420">
        <v>3486</v>
      </c>
      <c r="P56" s="440"/>
      <c r="Q56" s="441">
        <v>581</v>
      </c>
    </row>
    <row r="57" spans="1:17" ht="14.4" customHeight="1" x14ac:dyDescent="0.3">
      <c r="A57" s="419" t="s">
        <v>433</v>
      </c>
      <c r="B57" s="439" t="s">
        <v>358</v>
      </c>
      <c r="C57" s="439" t="s">
        <v>359</v>
      </c>
      <c r="D57" s="439" t="s">
        <v>362</v>
      </c>
      <c r="E57" s="439" t="s">
        <v>363</v>
      </c>
      <c r="F57" s="420">
        <v>2</v>
      </c>
      <c r="G57" s="420">
        <v>138</v>
      </c>
      <c r="H57" s="420">
        <v>1</v>
      </c>
      <c r="I57" s="420">
        <v>69</v>
      </c>
      <c r="J57" s="420"/>
      <c r="K57" s="420"/>
      <c r="L57" s="420"/>
      <c r="M57" s="420"/>
      <c r="N57" s="420"/>
      <c r="O57" s="420"/>
      <c r="P57" s="440"/>
      <c r="Q57" s="441"/>
    </row>
    <row r="58" spans="1:17" ht="14.4" customHeight="1" x14ac:dyDescent="0.3">
      <c r="A58" s="419" t="s">
        <v>433</v>
      </c>
      <c r="B58" s="439" t="s">
        <v>358</v>
      </c>
      <c r="C58" s="439" t="s">
        <v>359</v>
      </c>
      <c r="D58" s="439" t="s">
        <v>364</v>
      </c>
      <c r="E58" s="439" t="s">
        <v>365</v>
      </c>
      <c r="F58" s="420">
        <v>551</v>
      </c>
      <c r="G58" s="420">
        <v>176768</v>
      </c>
      <c r="H58" s="420">
        <v>1</v>
      </c>
      <c r="I58" s="420">
        <v>320.81306715063522</v>
      </c>
      <c r="J58" s="420">
        <v>567</v>
      </c>
      <c r="K58" s="420">
        <v>183141</v>
      </c>
      <c r="L58" s="420">
        <v>1.0360529055032586</v>
      </c>
      <c r="M58" s="420">
        <v>323</v>
      </c>
      <c r="N58" s="420">
        <v>992</v>
      </c>
      <c r="O58" s="420">
        <v>343232</v>
      </c>
      <c r="P58" s="440">
        <v>1.941708906589428</v>
      </c>
      <c r="Q58" s="441">
        <v>346</v>
      </c>
    </row>
    <row r="59" spans="1:17" ht="14.4" customHeight="1" x14ac:dyDescent="0.3">
      <c r="A59" s="419" t="s">
        <v>433</v>
      </c>
      <c r="B59" s="439" t="s">
        <v>358</v>
      </c>
      <c r="C59" s="439" t="s">
        <v>359</v>
      </c>
      <c r="D59" s="439" t="s">
        <v>368</v>
      </c>
      <c r="E59" s="439" t="s">
        <v>369</v>
      </c>
      <c r="F59" s="420">
        <v>20</v>
      </c>
      <c r="G59" s="420">
        <v>6428</v>
      </c>
      <c r="H59" s="420">
        <v>1</v>
      </c>
      <c r="I59" s="420">
        <v>321.39999999999998</v>
      </c>
      <c r="J59" s="420">
        <v>18</v>
      </c>
      <c r="K59" s="420">
        <v>5814</v>
      </c>
      <c r="L59" s="420">
        <v>0.90448039825762294</v>
      </c>
      <c r="M59" s="420">
        <v>323</v>
      </c>
      <c r="N59" s="420">
        <v>34</v>
      </c>
      <c r="O59" s="420">
        <v>11764</v>
      </c>
      <c r="P59" s="440">
        <v>1.8301182327317984</v>
      </c>
      <c r="Q59" s="441">
        <v>346</v>
      </c>
    </row>
    <row r="60" spans="1:17" ht="14.4" customHeight="1" x14ac:dyDescent="0.3">
      <c r="A60" s="419" t="s">
        <v>433</v>
      </c>
      <c r="B60" s="439" t="s">
        <v>358</v>
      </c>
      <c r="C60" s="439" t="s">
        <v>359</v>
      </c>
      <c r="D60" s="439" t="s">
        <v>370</v>
      </c>
      <c r="E60" s="439" t="s">
        <v>371</v>
      </c>
      <c r="F60" s="420">
        <v>8</v>
      </c>
      <c r="G60" s="420">
        <v>2564</v>
      </c>
      <c r="H60" s="420">
        <v>1</v>
      </c>
      <c r="I60" s="420">
        <v>320.5</v>
      </c>
      <c r="J60" s="420">
        <v>15</v>
      </c>
      <c r="K60" s="420">
        <v>4845</v>
      </c>
      <c r="L60" s="420">
        <v>1.8896255850234009</v>
      </c>
      <c r="M60" s="420">
        <v>323</v>
      </c>
      <c r="N60" s="420">
        <v>28</v>
      </c>
      <c r="O60" s="420">
        <v>9688</v>
      </c>
      <c r="P60" s="440">
        <v>3.7784711388455539</v>
      </c>
      <c r="Q60" s="441">
        <v>346</v>
      </c>
    </row>
    <row r="61" spans="1:17" ht="14.4" customHeight="1" x14ac:dyDescent="0.3">
      <c r="A61" s="419" t="s">
        <v>433</v>
      </c>
      <c r="B61" s="439" t="s">
        <v>358</v>
      </c>
      <c r="C61" s="439" t="s">
        <v>359</v>
      </c>
      <c r="D61" s="439" t="s">
        <v>376</v>
      </c>
      <c r="E61" s="439" t="s">
        <v>377</v>
      </c>
      <c r="F61" s="420"/>
      <c r="G61" s="420"/>
      <c r="H61" s="420"/>
      <c r="I61" s="420"/>
      <c r="J61" s="420">
        <v>6</v>
      </c>
      <c r="K61" s="420">
        <v>3276</v>
      </c>
      <c r="L61" s="420"/>
      <c r="M61" s="420">
        <v>546</v>
      </c>
      <c r="N61" s="420"/>
      <c r="O61" s="420"/>
      <c r="P61" s="440"/>
      <c r="Q61" s="441"/>
    </row>
    <row r="62" spans="1:17" ht="14.4" customHeight="1" x14ac:dyDescent="0.3">
      <c r="A62" s="419" t="s">
        <v>433</v>
      </c>
      <c r="B62" s="439" t="s">
        <v>358</v>
      </c>
      <c r="C62" s="439" t="s">
        <v>359</v>
      </c>
      <c r="D62" s="439" t="s">
        <v>434</v>
      </c>
      <c r="E62" s="439" t="s">
        <v>435</v>
      </c>
      <c r="F62" s="420"/>
      <c r="G62" s="420"/>
      <c r="H62" s="420"/>
      <c r="I62" s="420"/>
      <c r="J62" s="420">
        <v>2</v>
      </c>
      <c r="K62" s="420">
        <v>1290</v>
      </c>
      <c r="L62" s="420"/>
      <c r="M62" s="420">
        <v>645</v>
      </c>
      <c r="N62" s="420"/>
      <c r="O62" s="420"/>
      <c r="P62" s="440"/>
      <c r="Q62" s="441"/>
    </row>
    <row r="63" spans="1:17" ht="14.4" customHeight="1" x14ac:dyDescent="0.3">
      <c r="A63" s="419" t="s">
        <v>436</v>
      </c>
      <c r="B63" s="439" t="s">
        <v>358</v>
      </c>
      <c r="C63" s="439" t="s">
        <v>359</v>
      </c>
      <c r="D63" s="439" t="s">
        <v>364</v>
      </c>
      <c r="E63" s="439" t="s">
        <v>365</v>
      </c>
      <c r="F63" s="420">
        <v>28</v>
      </c>
      <c r="G63" s="420">
        <v>8968</v>
      </c>
      <c r="H63" s="420">
        <v>1</v>
      </c>
      <c r="I63" s="420">
        <v>320.28571428571428</v>
      </c>
      <c r="J63" s="420">
        <v>60</v>
      </c>
      <c r="K63" s="420">
        <v>19380</v>
      </c>
      <c r="L63" s="420">
        <v>2.1610169491525424</v>
      </c>
      <c r="M63" s="420">
        <v>323</v>
      </c>
      <c r="N63" s="420"/>
      <c r="O63" s="420"/>
      <c r="P63" s="440"/>
      <c r="Q63" s="441"/>
    </row>
    <row r="64" spans="1:17" ht="14.4" customHeight="1" x14ac:dyDescent="0.3">
      <c r="A64" s="419" t="s">
        <v>437</v>
      </c>
      <c r="B64" s="439" t="s">
        <v>358</v>
      </c>
      <c r="C64" s="439" t="s">
        <v>359</v>
      </c>
      <c r="D64" s="439" t="s">
        <v>362</v>
      </c>
      <c r="E64" s="439" t="s">
        <v>363</v>
      </c>
      <c r="F64" s="420"/>
      <c r="G64" s="420"/>
      <c r="H64" s="420"/>
      <c r="I64" s="420"/>
      <c r="J64" s="420"/>
      <c r="K64" s="420"/>
      <c r="L64" s="420"/>
      <c r="M64" s="420"/>
      <c r="N64" s="420">
        <v>2</v>
      </c>
      <c r="O64" s="420">
        <v>148</v>
      </c>
      <c r="P64" s="440"/>
      <c r="Q64" s="441">
        <v>74</v>
      </c>
    </row>
    <row r="65" spans="1:17" ht="14.4" customHeight="1" x14ac:dyDescent="0.3">
      <c r="A65" s="419" t="s">
        <v>437</v>
      </c>
      <c r="B65" s="439" t="s">
        <v>358</v>
      </c>
      <c r="C65" s="439" t="s">
        <v>359</v>
      </c>
      <c r="D65" s="439" t="s">
        <v>364</v>
      </c>
      <c r="E65" s="439" t="s">
        <v>365</v>
      </c>
      <c r="F65" s="420">
        <v>84</v>
      </c>
      <c r="G65" s="420">
        <v>27024</v>
      </c>
      <c r="H65" s="420">
        <v>1</v>
      </c>
      <c r="I65" s="420">
        <v>321.71428571428572</v>
      </c>
      <c r="J65" s="420">
        <v>305</v>
      </c>
      <c r="K65" s="420">
        <v>98515</v>
      </c>
      <c r="L65" s="420">
        <v>3.6454632918886913</v>
      </c>
      <c r="M65" s="420">
        <v>323</v>
      </c>
      <c r="N65" s="420">
        <v>384</v>
      </c>
      <c r="O65" s="420">
        <v>132864</v>
      </c>
      <c r="P65" s="440">
        <v>4.9165186500888103</v>
      </c>
      <c r="Q65" s="441">
        <v>346</v>
      </c>
    </row>
    <row r="66" spans="1:17" ht="14.4" customHeight="1" x14ac:dyDescent="0.3">
      <c r="A66" s="419" t="s">
        <v>437</v>
      </c>
      <c r="B66" s="439" t="s">
        <v>358</v>
      </c>
      <c r="C66" s="439" t="s">
        <v>359</v>
      </c>
      <c r="D66" s="439" t="s">
        <v>376</v>
      </c>
      <c r="E66" s="439" t="s">
        <v>377</v>
      </c>
      <c r="F66" s="420">
        <v>20</v>
      </c>
      <c r="G66" s="420">
        <v>10832</v>
      </c>
      <c r="H66" s="420">
        <v>1</v>
      </c>
      <c r="I66" s="420">
        <v>541.6</v>
      </c>
      <c r="J66" s="420">
        <v>30</v>
      </c>
      <c r="K66" s="420">
        <v>16380</v>
      </c>
      <c r="L66" s="420">
        <v>1.5121861152141802</v>
      </c>
      <c r="M66" s="420">
        <v>546</v>
      </c>
      <c r="N66" s="420">
        <v>29</v>
      </c>
      <c r="O66" s="420">
        <v>16820</v>
      </c>
      <c r="P66" s="440">
        <v>1.5528064992614476</v>
      </c>
      <c r="Q66" s="441">
        <v>580</v>
      </c>
    </row>
    <row r="67" spans="1:17" ht="14.4" customHeight="1" x14ac:dyDescent="0.3">
      <c r="A67" s="419" t="s">
        <v>438</v>
      </c>
      <c r="B67" s="439" t="s">
        <v>358</v>
      </c>
      <c r="C67" s="439" t="s">
        <v>359</v>
      </c>
      <c r="D67" s="439" t="s">
        <v>364</v>
      </c>
      <c r="E67" s="439" t="s">
        <v>365</v>
      </c>
      <c r="F67" s="420">
        <v>32</v>
      </c>
      <c r="G67" s="420">
        <v>10280</v>
      </c>
      <c r="H67" s="420">
        <v>1</v>
      </c>
      <c r="I67" s="420">
        <v>321.25</v>
      </c>
      <c r="J67" s="420">
        <v>144</v>
      </c>
      <c r="K67" s="420">
        <v>46512</v>
      </c>
      <c r="L67" s="420">
        <v>4.5245136186770427</v>
      </c>
      <c r="M67" s="420">
        <v>323</v>
      </c>
      <c r="N67" s="420">
        <v>114</v>
      </c>
      <c r="O67" s="420">
        <v>39444</v>
      </c>
      <c r="P67" s="440">
        <v>3.8369649805447472</v>
      </c>
      <c r="Q67" s="441">
        <v>346</v>
      </c>
    </row>
    <row r="68" spans="1:17" ht="14.4" customHeight="1" x14ac:dyDescent="0.3">
      <c r="A68" s="419" t="s">
        <v>438</v>
      </c>
      <c r="B68" s="439" t="s">
        <v>358</v>
      </c>
      <c r="C68" s="439" t="s">
        <v>359</v>
      </c>
      <c r="D68" s="439" t="s">
        <v>370</v>
      </c>
      <c r="E68" s="439" t="s">
        <v>371</v>
      </c>
      <c r="F68" s="420"/>
      <c r="G68" s="420"/>
      <c r="H68" s="420"/>
      <c r="I68" s="420"/>
      <c r="J68" s="420"/>
      <c r="K68" s="420"/>
      <c r="L68" s="420"/>
      <c r="M68" s="420"/>
      <c r="N68" s="420">
        <v>3</v>
      </c>
      <c r="O68" s="420">
        <v>1038</v>
      </c>
      <c r="P68" s="440"/>
      <c r="Q68" s="441">
        <v>346</v>
      </c>
    </row>
    <row r="69" spans="1:17" ht="14.4" customHeight="1" x14ac:dyDescent="0.3">
      <c r="A69" s="419" t="s">
        <v>438</v>
      </c>
      <c r="B69" s="439" t="s">
        <v>358</v>
      </c>
      <c r="C69" s="439" t="s">
        <v>359</v>
      </c>
      <c r="D69" s="439" t="s">
        <v>376</v>
      </c>
      <c r="E69" s="439" t="s">
        <v>377</v>
      </c>
      <c r="F69" s="420">
        <v>23</v>
      </c>
      <c r="G69" s="420">
        <v>12506</v>
      </c>
      <c r="H69" s="420">
        <v>1</v>
      </c>
      <c r="I69" s="420">
        <v>543.73913043478262</v>
      </c>
      <c r="J69" s="420">
        <v>74</v>
      </c>
      <c r="K69" s="420">
        <v>40404</v>
      </c>
      <c r="L69" s="420">
        <v>3.2307692307692308</v>
      </c>
      <c r="M69" s="420">
        <v>546</v>
      </c>
      <c r="N69" s="420">
        <v>40</v>
      </c>
      <c r="O69" s="420">
        <v>23200</v>
      </c>
      <c r="P69" s="440">
        <v>1.8551095474172397</v>
      </c>
      <c r="Q69" s="441">
        <v>580</v>
      </c>
    </row>
    <row r="70" spans="1:17" ht="14.4" customHeight="1" x14ac:dyDescent="0.3">
      <c r="A70" s="419" t="s">
        <v>439</v>
      </c>
      <c r="B70" s="439" t="s">
        <v>358</v>
      </c>
      <c r="C70" s="439" t="s">
        <v>359</v>
      </c>
      <c r="D70" s="439" t="s">
        <v>362</v>
      </c>
      <c r="E70" s="439" t="s">
        <v>363</v>
      </c>
      <c r="F70" s="420"/>
      <c r="G70" s="420"/>
      <c r="H70" s="420"/>
      <c r="I70" s="420"/>
      <c r="J70" s="420">
        <v>4</v>
      </c>
      <c r="K70" s="420">
        <v>280</v>
      </c>
      <c r="L70" s="420"/>
      <c r="M70" s="420">
        <v>70</v>
      </c>
      <c r="N70" s="420"/>
      <c r="O70" s="420"/>
      <c r="P70" s="440"/>
      <c r="Q70" s="441"/>
    </row>
    <row r="71" spans="1:17" ht="14.4" customHeight="1" x14ac:dyDescent="0.3">
      <c r="A71" s="419" t="s">
        <v>439</v>
      </c>
      <c r="B71" s="439" t="s">
        <v>358</v>
      </c>
      <c r="C71" s="439" t="s">
        <v>359</v>
      </c>
      <c r="D71" s="439" t="s">
        <v>364</v>
      </c>
      <c r="E71" s="439" t="s">
        <v>365</v>
      </c>
      <c r="F71" s="420">
        <v>210</v>
      </c>
      <c r="G71" s="420">
        <v>67440</v>
      </c>
      <c r="H71" s="420">
        <v>1</v>
      </c>
      <c r="I71" s="420">
        <v>321.14285714285717</v>
      </c>
      <c r="J71" s="420">
        <v>284</v>
      </c>
      <c r="K71" s="420">
        <v>91732</v>
      </c>
      <c r="L71" s="420">
        <v>1.3602016607354686</v>
      </c>
      <c r="M71" s="420">
        <v>323</v>
      </c>
      <c r="N71" s="420">
        <v>412</v>
      </c>
      <c r="O71" s="420">
        <v>142552</v>
      </c>
      <c r="P71" s="440">
        <v>2.1137603795966786</v>
      </c>
      <c r="Q71" s="441">
        <v>346</v>
      </c>
    </row>
    <row r="72" spans="1:17" ht="14.4" customHeight="1" x14ac:dyDescent="0.3">
      <c r="A72" s="419" t="s">
        <v>439</v>
      </c>
      <c r="B72" s="439" t="s">
        <v>358</v>
      </c>
      <c r="C72" s="439" t="s">
        <v>359</v>
      </c>
      <c r="D72" s="439" t="s">
        <v>368</v>
      </c>
      <c r="E72" s="439" t="s">
        <v>369</v>
      </c>
      <c r="F72" s="420"/>
      <c r="G72" s="420"/>
      <c r="H72" s="420"/>
      <c r="I72" s="420"/>
      <c r="J72" s="420">
        <v>8</v>
      </c>
      <c r="K72" s="420">
        <v>2584</v>
      </c>
      <c r="L72" s="420"/>
      <c r="M72" s="420">
        <v>323</v>
      </c>
      <c r="N72" s="420"/>
      <c r="O72" s="420"/>
      <c r="P72" s="440"/>
      <c r="Q72" s="441"/>
    </row>
    <row r="73" spans="1:17" ht="14.4" customHeight="1" x14ac:dyDescent="0.3">
      <c r="A73" s="419" t="s">
        <v>439</v>
      </c>
      <c r="B73" s="439" t="s">
        <v>358</v>
      </c>
      <c r="C73" s="439" t="s">
        <v>359</v>
      </c>
      <c r="D73" s="439" t="s">
        <v>376</v>
      </c>
      <c r="E73" s="439" t="s">
        <v>377</v>
      </c>
      <c r="F73" s="420"/>
      <c r="G73" s="420"/>
      <c r="H73" s="420"/>
      <c r="I73" s="420"/>
      <c r="J73" s="420">
        <v>6</v>
      </c>
      <c r="K73" s="420">
        <v>3276</v>
      </c>
      <c r="L73" s="420"/>
      <c r="M73" s="420">
        <v>546</v>
      </c>
      <c r="N73" s="420"/>
      <c r="O73" s="420"/>
      <c r="P73" s="440"/>
      <c r="Q73" s="441"/>
    </row>
    <row r="74" spans="1:17" ht="14.4" customHeight="1" x14ac:dyDescent="0.3">
      <c r="A74" s="419" t="s">
        <v>440</v>
      </c>
      <c r="B74" s="439" t="s">
        <v>358</v>
      </c>
      <c r="C74" s="439" t="s">
        <v>359</v>
      </c>
      <c r="D74" s="439" t="s">
        <v>364</v>
      </c>
      <c r="E74" s="439" t="s">
        <v>365</v>
      </c>
      <c r="F74" s="420">
        <v>907</v>
      </c>
      <c r="G74" s="420">
        <v>290941</v>
      </c>
      <c r="H74" s="420">
        <v>1</v>
      </c>
      <c r="I74" s="420">
        <v>320.77287761852261</v>
      </c>
      <c r="J74" s="420">
        <v>1098</v>
      </c>
      <c r="K74" s="420">
        <v>354654</v>
      </c>
      <c r="L74" s="420">
        <v>1.218989417098312</v>
      </c>
      <c r="M74" s="420">
        <v>323</v>
      </c>
      <c r="N74" s="420">
        <v>1287</v>
      </c>
      <c r="O74" s="420">
        <v>445302</v>
      </c>
      <c r="P74" s="440">
        <v>1.5305577419476801</v>
      </c>
      <c r="Q74" s="441">
        <v>346</v>
      </c>
    </row>
    <row r="75" spans="1:17" ht="14.4" customHeight="1" x14ac:dyDescent="0.3">
      <c r="A75" s="419" t="s">
        <v>440</v>
      </c>
      <c r="B75" s="439" t="s">
        <v>358</v>
      </c>
      <c r="C75" s="439" t="s">
        <v>359</v>
      </c>
      <c r="D75" s="439" t="s">
        <v>370</v>
      </c>
      <c r="E75" s="439" t="s">
        <v>371</v>
      </c>
      <c r="F75" s="420">
        <v>1</v>
      </c>
      <c r="G75" s="420">
        <v>319</v>
      </c>
      <c r="H75" s="420">
        <v>1</v>
      </c>
      <c r="I75" s="420">
        <v>319</v>
      </c>
      <c r="J75" s="420"/>
      <c r="K75" s="420"/>
      <c r="L75" s="420"/>
      <c r="M75" s="420"/>
      <c r="N75" s="420">
        <v>11</v>
      </c>
      <c r="O75" s="420">
        <v>3806</v>
      </c>
      <c r="P75" s="440">
        <v>11.931034482758621</v>
      </c>
      <c r="Q75" s="441">
        <v>346</v>
      </c>
    </row>
    <row r="76" spans="1:17" ht="14.4" customHeight="1" x14ac:dyDescent="0.3">
      <c r="A76" s="419" t="s">
        <v>440</v>
      </c>
      <c r="B76" s="439" t="s">
        <v>358</v>
      </c>
      <c r="C76" s="439" t="s">
        <v>359</v>
      </c>
      <c r="D76" s="439" t="s">
        <v>376</v>
      </c>
      <c r="E76" s="439" t="s">
        <v>377</v>
      </c>
      <c r="F76" s="420"/>
      <c r="G76" s="420"/>
      <c r="H76" s="420"/>
      <c r="I76" s="420"/>
      <c r="J76" s="420"/>
      <c r="K76" s="420"/>
      <c r="L76" s="420"/>
      <c r="M76" s="420"/>
      <c r="N76" s="420">
        <v>6</v>
      </c>
      <c r="O76" s="420">
        <v>3480</v>
      </c>
      <c r="P76" s="440"/>
      <c r="Q76" s="441">
        <v>580</v>
      </c>
    </row>
    <row r="77" spans="1:17" ht="14.4" customHeight="1" x14ac:dyDescent="0.3">
      <c r="A77" s="419" t="s">
        <v>441</v>
      </c>
      <c r="B77" s="439" t="s">
        <v>358</v>
      </c>
      <c r="C77" s="439" t="s">
        <v>359</v>
      </c>
      <c r="D77" s="439" t="s">
        <v>364</v>
      </c>
      <c r="E77" s="439" t="s">
        <v>365</v>
      </c>
      <c r="F77" s="420">
        <v>36</v>
      </c>
      <c r="G77" s="420">
        <v>11550</v>
      </c>
      <c r="H77" s="420">
        <v>1</v>
      </c>
      <c r="I77" s="420">
        <v>320.83333333333331</v>
      </c>
      <c r="J77" s="420"/>
      <c r="K77" s="420"/>
      <c r="L77" s="420"/>
      <c r="M77" s="420"/>
      <c r="N77" s="420">
        <v>28</v>
      </c>
      <c r="O77" s="420">
        <v>9688</v>
      </c>
      <c r="P77" s="440">
        <v>0.83878787878787875</v>
      </c>
      <c r="Q77" s="441">
        <v>346</v>
      </c>
    </row>
    <row r="78" spans="1:17" ht="14.4" customHeight="1" x14ac:dyDescent="0.3">
      <c r="A78" s="419" t="s">
        <v>441</v>
      </c>
      <c r="B78" s="439" t="s">
        <v>358</v>
      </c>
      <c r="C78" s="439" t="s">
        <v>359</v>
      </c>
      <c r="D78" s="439" t="s">
        <v>376</v>
      </c>
      <c r="E78" s="439" t="s">
        <v>377</v>
      </c>
      <c r="F78" s="420">
        <v>4</v>
      </c>
      <c r="G78" s="420">
        <v>2176</v>
      </c>
      <c r="H78" s="420">
        <v>1</v>
      </c>
      <c r="I78" s="420">
        <v>544</v>
      </c>
      <c r="J78" s="420"/>
      <c r="K78" s="420"/>
      <c r="L78" s="420"/>
      <c r="M78" s="420"/>
      <c r="N78" s="420"/>
      <c r="O78" s="420"/>
      <c r="P78" s="440"/>
      <c r="Q78" s="441"/>
    </row>
    <row r="79" spans="1:17" ht="14.4" customHeight="1" x14ac:dyDescent="0.3">
      <c r="A79" s="419" t="s">
        <v>442</v>
      </c>
      <c r="B79" s="439" t="s">
        <v>358</v>
      </c>
      <c r="C79" s="439" t="s">
        <v>359</v>
      </c>
      <c r="D79" s="439" t="s">
        <v>362</v>
      </c>
      <c r="E79" s="439" t="s">
        <v>363</v>
      </c>
      <c r="F79" s="420"/>
      <c r="G79" s="420"/>
      <c r="H79" s="420"/>
      <c r="I79" s="420"/>
      <c r="J79" s="420"/>
      <c r="K79" s="420"/>
      <c r="L79" s="420"/>
      <c r="M79" s="420"/>
      <c r="N79" s="420">
        <v>4</v>
      </c>
      <c r="O79" s="420">
        <v>296</v>
      </c>
      <c r="P79" s="440"/>
      <c r="Q79" s="441">
        <v>74</v>
      </c>
    </row>
    <row r="80" spans="1:17" ht="14.4" customHeight="1" x14ac:dyDescent="0.3">
      <c r="A80" s="419" t="s">
        <v>442</v>
      </c>
      <c r="B80" s="439" t="s">
        <v>358</v>
      </c>
      <c r="C80" s="439" t="s">
        <v>359</v>
      </c>
      <c r="D80" s="439" t="s">
        <v>364</v>
      </c>
      <c r="E80" s="439" t="s">
        <v>365</v>
      </c>
      <c r="F80" s="420">
        <v>59</v>
      </c>
      <c r="G80" s="420">
        <v>18998</v>
      </c>
      <c r="H80" s="420">
        <v>1</v>
      </c>
      <c r="I80" s="420">
        <v>322</v>
      </c>
      <c r="J80" s="420">
        <v>64</v>
      </c>
      <c r="K80" s="420">
        <v>20672</v>
      </c>
      <c r="L80" s="420">
        <v>1.0881145383724602</v>
      </c>
      <c r="M80" s="420">
        <v>323</v>
      </c>
      <c r="N80" s="420">
        <v>108</v>
      </c>
      <c r="O80" s="420">
        <v>37368</v>
      </c>
      <c r="P80" s="440">
        <v>1.9669438888304032</v>
      </c>
      <c r="Q80" s="441">
        <v>346</v>
      </c>
    </row>
    <row r="81" spans="1:17" ht="14.4" customHeight="1" thickBot="1" x14ac:dyDescent="0.35">
      <c r="A81" s="373" t="s">
        <v>442</v>
      </c>
      <c r="B81" s="374" t="s">
        <v>358</v>
      </c>
      <c r="C81" s="374" t="s">
        <v>359</v>
      </c>
      <c r="D81" s="374" t="s">
        <v>370</v>
      </c>
      <c r="E81" s="374" t="s">
        <v>371</v>
      </c>
      <c r="F81" s="377">
        <v>26</v>
      </c>
      <c r="G81" s="377">
        <v>8306</v>
      </c>
      <c r="H81" s="377">
        <v>1</v>
      </c>
      <c r="I81" s="377">
        <v>319.46153846153845</v>
      </c>
      <c r="J81" s="377">
        <v>16</v>
      </c>
      <c r="K81" s="377">
        <v>5168</v>
      </c>
      <c r="L81" s="377">
        <v>0.62220081868528776</v>
      </c>
      <c r="M81" s="377">
        <v>323</v>
      </c>
      <c r="N81" s="377">
        <v>16</v>
      </c>
      <c r="O81" s="377">
        <v>5536</v>
      </c>
      <c r="P81" s="442">
        <v>0.66650614013965803</v>
      </c>
      <c r="Q81" s="378">
        <v>346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68" t="s">
        <v>104</v>
      </c>
      <c r="B1" s="268"/>
      <c r="C1" s="269"/>
      <c r="D1" s="269"/>
      <c r="E1" s="269"/>
    </row>
    <row r="2" spans="1:5" ht="14.4" customHeight="1" thickBot="1" x14ac:dyDescent="0.35">
      <c r="A2" s="200" t="s">
        <v>203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5017.8363545580269</v>
      </c>
      <c r="D4" s="133">
        <f ca="1">IF(ISERROR(VLOOKUP("Náklady celkem",INDIRECT("HI!$A:$G"),5,0)),0,VLOOKUP("Náklady celkem",INDIRECT("HI!$A:$G"),5,0))</f>
        <v>5168.6640200000011</v>
      </c>
      <c r="E4" s="134">
        <f ca="1">IF(C4=0,0,D4/C4)</f>
        <v>1.030058306964309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0.6666667268526667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120</v>
      </c>
      <c r="B8" s="140"/>
      <c r="C8" s="141"/>
      <c r="D8" s="141"/>
      <c r="E8" s="138"/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4" t="s">
        <v>125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97</v>
      </c>
      <c r="C11" s="141">
        <f>IF(ISERROR(HI!F6),"",HI!F6)</f>
        <v>0</v>
      </c>
      <c r="D11" s="141">
        <f>IF(ISERROR(HI!E6),"",HI!E6)</f>
        <v>0</v>
      </c>
      <c r="E11" s="138">
        <f t="shared" si="0"/>
        <v>0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4797.3337664341534</v>
      </c>
      <c r="D12" s="137">
        <f ca="1">IF(ISERROR(VLOOKUP("Osobní náklady (Kč) *",INDIRECT("HI!$A:$G"),5,0)),0,VLOOKUP("Osobní náklady (Kč) *",INDIRECT("HI!$A:$G"),5,0))</f>
        <v>4970.2028100000016</v>
      </c>
      <c r="E12" s="138">
        <f ca="1">IF(C12=0,0,D12/C12)</f>
        <v>1.0360343999359338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2867.7249999999999</v>
      </c>
      <c r="D14" s="156">
        <f ca="1">IF(ISERROR(VLOOKUP("Výnosy celkem",INDIRECT("HI!$A:$G"),5,0)),0,VLOOKUP("Výnosy celkem",INDIRECT("HI!$A:$G"),5,0))</f>
        <v>3123.6869700000007</v>
      </c>
      <c r="E14" s="157">
        <f t="shared" ref="E14:E17" ca="1" si="1">IF(C14=0,0,D14/C14)</f>
        <v>1.0892561071929843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2867.7249999999999</v>
      </c>
      <c r="D15" s="137">
        <f ca="1">IF(ISERROR(VLOOKUP("Ambulance *",INDIRECT("HI!$A:$G"),5,0)),0,VLOOKUP("Ambulance *",INDIRECT("HI!$A:$G"),5,0))</f>
        <v>3123.6869700000007</v>
      </c>
      <c r="E15" s="138">
        <f t="shared" ca="1" si="1"/>
        <v>1.0892561071929843</v>
      </c>
    </row>
    <row r="16" spans="1:5" ht="14.4" customHeight="1" x14ac:dyDescent="0.3">
      <c r="A16" s="159" t="str">
        <f>HYPERLINK("#'ZV Vykáz.-A'!A1","Zdravotní výkony vykázané u ambulantních pacientů (min. 100 %)")</f>
        <v>Zdravotní výkony vykázané u ambulantních pacientů (min. 100 %)</v>
      </c>
      <c r="B16" s="123" t="s">
        <v>106</v>
      </c>
      <c r="C16" s="142">
        <v>1</v>
      </c>
      <c r="D16" s="142">
        <f>IF(ISERROR(VLOOKUP("Celkem:",'ZV Vykáz.-A'!$A:$S,7,0)),"",VLOOKUP("Celkem:",'ZV Vykáz.-A'!$A:$S,7,0))</f>
        <v>1.0892561071929843</v>
      </c>
      <c r="E16" s="138">
        <f t="shared" si="1"/>
        <v>1.0892561071929843</v>
      </c>
    </row>
    <row r="17" spans="1:5" ht="14.4" customHeight="1" x14ac:dyDescent="0.3">
      <c r="A17" s="159" t="str">
        <f>HYPERLINK("#'ZV Vykáz.-H'!A1","Zdravotní výkony vykázané u hospitalizovaných pacientů (max. 85 %)")</f>
        <v>Zdravotní výkony vykázané u hospitalizovaných pacientů (max. 85 %)</v>
      </c>
      <c r="B17" s="123" t="s">
        <v>108</v>
      </c>
      <c r="C17" s="142">
        <v>0.85</v>
      </c>
      <c r="D17" s="142">
        <f>IF(ISERROR(VLOOKUP("Celkem:",'ZV Vykáz.-H'!$A:$S,7,0)),"",VLOOKUP("Celkem:",'ZV Vykáz.-H'!$A:$S,7,0))</f>
        <v>1.3086539813328772</v>
      </c>
      <c r="E17" s="138">
        <f t="shared" si="1"/>
        <v>1.5395929192151498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0"/>
      <c r="C18" s="137">
        <f ca="1">IF(ISERROR(VLOOKUP("Hospitalizace *",INDIRECT("HI!$A:$G"),6,0)),0,VLOOKUP("Hospitalizace *",INDIRECT("HI!$A:$G"),6,0))</f>
        <v>0</v>
      </c>
      <c r="D18" s="137">
        <f ca="1">IF(ISERROR(VLOOKUP("Hospitalizace *",INDIRECT("HI!$A:$G"),5,0)),0,VLOOKUP("Hospitalizace *",INDIRECT("HI!$A:$G"),5,0))</f>
        <v>0</v>
      </c>
      <c r="E18" s="138">
        <f ca="1">IF(C18=0,0,D18/C18)</f>
        <v>0</v>
      </c>
    </row>
    <row r="19" spans="1:5" ht="14.4" customHeight="1" thickBot="1" x14ac:dyDescent="0.35">
      <c r="A19" s="161" t="s">
        <v>122</v>
      </c>
      <c r="B19" s="147"/>
      <c r="C19" s="148"/>
      <c r="D19" s="148"/>
      <c r="E19" s="149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123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4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68" t="s">
        <v>113</v>
      </c>
      <c r="B1" s="268"/>
      <c r="C1" s="268"/>
      <c r="D1" s="268"/>
      <c r="E1" s="268"/>
      <c r="F1" s="268"/>
      <c r="G1" s="269"/>
      <c r="H1" s="269"/>
    </row>
    <row r="2" spans="1:8" ht="14.4" customHeight="1" thickBot="1" x14ac:dyDescent="0.35">
      <c r="A2" s="200" t="s">
        <v>203</v>
      </c>
      <c r="B2" s="86"/>
      <c r="C2" s="86"/>
      <c r="D2" s="86"/>
      <c r="E2" s="86"/>
      <c r="F2" s="86"/>
    </row>
    <row r="3" spans="1:8" ht="14.4" customHeight="1" x14ac:dyDescent="0.3">
      <c r="A3" s="270"/>
      <c r="B3" s="82">
        <v>2014</v>
      </c>
      <c r="C3" s="40">
        <v>2015</v>
      </c>
      <c r="D3" s="7"/>
      <c r="E3" s="274">
        <v>2016</v>
      </c>
      <c r="F3" s="275"/>
      <c r="G3" s="275"/>
      <c r="H3" s="276"/>
    </row>
    <row r="4" spans="1:8" ht="14.4" customHeight="1" thickBot="1" x14ac:dyDescent="0.35">
      <c r="A4" s="271"/>
      <c r="B4" s="272" t="s">
        <v>59</v>
      </c>
      <c r="C4" s="273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0</v>
      </c>
      <c r="C5" s="29">
        <v>0.75165000000000004</v>
      </c>
      <c r="D5" s="8"/>
      <c r="E5" s="92">
        <v>0</v>
      </c>
      <c r="F5" s="28">
        <v>0.6666667268526667</v>
      </c>
      <c r="G5" s="91">
        <f>E5-F5</f>
        <v>-0.6666667268526667</v>
      </c>
      <c r="H5" s="97">
        <f>IF(F5&lt;0.00000001,"",E5/F5)</f>
        <v>0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3">
        <v>0</v>
      </c>
      <c r="F6" s="30">
        <v>0</v>
      </c>
      <c r="G6" s="94">
        <f>E6-F6</f>
        <v>0</v>
      </c>
      <c r="H6" s="98" t="str">
        <f>IF(F6&lt;0.00000001,"",E6/F6)</f>
        <v/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4453.3887700000032</v>
      </c>
      <c r="C7" s="31">
        <v>4641.4877500000002</v>
      </c>
      <c r="D7" s="8"/>
      <c r="E7" s="93">
        <v>4970.2028100000016</v>
      </c>
      <c r="F7" s="30">
        <v>4797.3337664341534</v>
      </c>
      <c r="G7" s="94">
        <f>E7-F7</f>
        <v>172.86904356584819</v>
      </c>
      <c r="H7" s="98">
        <f>IF(F7&lt;0.00000001,"",E7/F7)</f>
        <v>1.0360343999359338</v>
      </c>
    </row>
    <row r="8" spans="1:8" ht="14.4" customHeight="1" thickBot="1" x14ac:dyDescent="0.35">
      <c r="A8" s="1" t="s">
        <v>62</v>
      </c>
      <c r="B8" s="11">
        <v>164.61140999999952</v>
      </c>
      <c r="C8" s="33">
        <v>178.55199000000189</v>
      </c>
      <c r="D8" s="8"/>
      <c r="E8" s="95">
        <v>198.46120999999948</v>
      </c>
      <c r="F8" s="32">
        <v>219.8359213970208</v>
      </c>
      <c r="G8" s="96">
        <f>E8-F8</f>
        <v>-21.374711397021315</v>
      </c>
      <c r="H8" s="99">
        <f>IF(F8&lt;0.00000001,"",E8/F8)</f>
        <v>0.90276970541852952</v>
      </c>
    </row>
    <row r="9" spans="1:8" ht="14.4" customHeight="1" thickBot="1" x14ac:dyDescent="0.35">
      <c r="A9" s="2" t="s">
        <v>63</v>
      </c>
      <c r="B9" s="3">
        <v>4618.0001800000027</v>
      </c>
      <c r="C9" s="35">
        <v>4820.7913900000021</v>
      </c>
      <c r="D9" s="8"/>
      <c r="E9" s="3">
        <v>5168.6640200000011</v>
      </c>
      <c r="F9" s="34">
        <v>5017.8363545580269</v>
      </c>
      <c r="G9" s="34">
        <f>E9-F9</f>
        <v>150.8276654419742</v>
      </c>
      <c r="H9" s="100">
        <f>IF(F9&lt;0.00000001,"",E9/F9)</f>
        <v>1.030058306964309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2867.7249999999999</v>
      </c>
      <c r="C11" s="29">
        <f>IF(ISERROR(VLOOKUP("Celkem:",'ZV Vykáz.-A'!A:F,4,0)),0,VLOOKUP("Celkem:",'ZV Vykáz.-A'!A:F,4,0)/1000)</f>
        <v>2653.4720000000002</v>
      </c>
      <c r="D11" s="8"/>
      <c r="E11" s="92">
        <f>IF(ISERROR(VLOOKUP("Celkem:",'ZV Vykáz.-A'!A:F,6,0)),0,VLOOKUP("Celkem:",'ZV Vykáz.-A'!A:F,6,0)/1000)</f>
        <v>3123.6869700000007</v>
      </c>
      <c r="F11" s="28">
        <f>B11</f>
        <v>2867.7249999999999</v>
      </c>
      <c r="G11" s="91">
        <f>E11-F11</f>
        <v>255.96197000000075</v>
      </c>
      <c r="H11" s="97">
        <f>IF(F11&lt;0.00000001,"",E11/F11)</f>
        <v>1.0892561071929843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2867.7249999999999</v>
      </c>
      <c r="C13" s="37">
        <f>SUM(C11:C12)</f>
        <v>2653.4720000000002</v>
      </c>
      <c r="D13" s="8"/>
      <c r="E13" s="5">
        <f>SUM(E11:E12)</f>
        <v>3123.6869700000007</v>
      </c>
      <c r="F13" s="36">
        <f>SUM(F11:F12)</f>
        <v>2867.7249999999999</v>
      </c>
      <c r="G13" s="36">
        <f>E13-F13</f>
        <v>255.96197000000075</v>
      </c>
      <c r="H13" s="101">
        <f>IF(F13&lt;0.00000001,"",E13/F13)</f>
        <v>1.0892561071929843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0.62098849896536779</v>
      </c>
      <c r="C15" s="39">
        <f>IF(C9=0,"",C13/C9)</f>
        <v>0.55042248986426257</v>
      </c>
      <c r="D15" s="8"/>
      <c r="E15" s="6">
        <f>IF(E9=0,"",E13/E9)</f>
        <v>0.60435094212217721</v>
      </c>
      <c r="F15" s="38">
        <f>IF(F9=0,"",F13/F9)</f>
        <v>0.57150628226348177</v>
      </c>
      <c r="G15" s="38">
        <f>IF(ISERROR(F15-E15),"",E15-F15)</f>
        <v>3.2844659858695446E-2</v>
      </c>
      <c r="H15" s="102">
        <f>IF(ISERROR(F15-E15),"",IF(F15&lt;0.00000001,"",E15/F15))</f>
        <v>1.0574703391336528</v>
      </c>
    </row>
    <row r="17" spans="1:8" ht="14.4" customHeight="1" x14ac:dyDescent="0.3">
      <c r="A17" s="88" t="s">
        <v>127</v>
      </c>
    </row>
    <row r="18" spans="1:8" ht="14.4" customHeight="1" x14ac:dyDescent="0.3">
      <c r="A18" s="241" t="s">
        <v>158</v>
      </c>
      <c r="B18" s="242"/>
      <c r="C18" s="242"/>
      <c r="D18" s="242"/>
      <c r="E18" s="242"/>
      <c r="F18" s="242"/>
      <c r="G18" s="242"/>
      <c r="H18" s="242"/>
    </row>
    <row r="19" spans="1:8" x14ac:dyDescent="0.3">
      <c r="A19" s="240" t="s">
        <v>157</v>
      </c>
      <c r="B19" s="242"/>
      <c r="C19" s="242"/>
      <c r="D19" s="242"/>
      <c r="E19" s="242"/>
      <c r="F19" s="242"/>
      <c r="G19" s="242"/>
      <c r="H19" s="242"/>
    </row>
    <row r="20" spans="1:8" ht="14.4" customHeight="1" x14ac:dyDescent="0.3">
      <c r="A20" s="89" t="s">
        <v>171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202</v>
      </c>
    </row>
    <row r="23" spans="1:8" ht="14.4" customHeight="1" x14ac:dyDescent="0.3">
      <c r="A23" s="90" t="s">
        <v>129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68" t="s">
        <v>90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3" ht="14.4" customHeight="1" x14ac:dyDescent="0.3">
      <c r="A2" s="200" t="s">
        <v>203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0"/>
      <c r="B3" s="171" t="s">
        <v>68</v>
      </c>
      <c r="C3" s="172" t="s">
        <v>69</v>
      </c>
      <c r="D3" s="172" t="s">
        <v>70</v>
      </c>
      <c r="E3" s="171" t="s">
        <v>71</v>
      </c>
      <c r="F3" s="172" t="s">
        <v>72</v>
      </c>
      <c r="G3" s="172" t="s">
        <v>73</v>
      </c>
      <c r="H3" s="172" t="s">
        <v>74</v>
      </c>
      <c r="I3" s="172" t="s">
        <v>75</v>
      </c>
      <c r="J3" s="172" t="s">
        <v>76</v>
      </c>
      <c r="K3" s="172" t="s">
        <v>77</v>
      </c>
      <c r="L3" s="172" t="s">
        <v>78</v>
      </c>
      <c r="M3" s="172" t="s">
        <v>79</v>
      </c>
    </row>
    <row r="4" spans="1:13" ht="14.4" customHeight="1" x14ac:dyDescent="0.3">
      <c r="A4" s="170" t="s">
        <v>67</v>
      </c>
      <c r="B4" s="173">
        <f>(B10+B8)/B6</f>
        <v>0.73907345627480969</v>
      </c>
      <c r="C4" s="173">
        <f t="shared" ref="C4:M4" si="0">(C10+C8)/C6</f>
        <v>0.70259883623489106</v>
      </c>
      <c r="D4" s="173">
        <f t="shared" si="0"/>
        <v>0.71887611503542836</v>
      </c>
      <c r="E4" s="173">
        <f t="shared" si="0"/>
        <v>0.70522493379281248</v>
      </c>
      <c r="F4" s="173">
        <f t="shared" si="0"/>
        <v>0.70070780815557465</v>
      </c>
      <c r="G4" s="173">
        <f t="shared" si="0"/>
        <v>0.69056886117016048</v>
      </c>
      <c r="H4" s="173">
        <f t="shared" si="0"/>
        <v>0.62419152516998699</v>
      </c>
      <c r="I4" s="173">
        <f t="shared" si="0"/>
        <v>0.60435095179585663</v>
      </c>
      <c r="J4" s="173">
        <f t="shared" si="0"/>
        <v>0.60435095179585663</v>
      </c>
      <c r="K4" s="173">
        <f t="shared" si="0"/>
        <v>0.60435095179585663</v>
      </c>
      <c r="L4" s="173">
        <f t="shared" si="0"/>
        <v>0.60435095179585663</v>
      </c>
      <c r="M4" s="173">
        <f t="shared" si="0"/>
        <v>0.60435095179585663</v>
      </c>
    </row>
    <row r="5" spans="1:13" ht="14.4" customHeight="1" x14ac:dyDescent="0.3">
      <c r="A5" s="174" t="s">
        <v>39</v>
      </c>
      <c r="B5" s="173">
        <f>IF(ISERROR(VLOOKUP($A5,'Man Tab'!$A:$Q,COLUMN()+2,0)),0,VLOOKUP($A5,'Man Tab'!$A:$Q,COLUMN()+2,0))</f>
        <v>641.58439999999996</v>
      </c>
      <c r="C5" s="173">
        <f>IF(ISERROR(VLOOKUP($A5,'Man Tab'!$A:$Q,COLUMN()+2,0)),0,VLOOKUP($A5,'Man Tab'!$A:$Q,COLUMN()+2,0))</f>
        <v>625.54930999999999</v>
      </c>
      <c r="D5" s="173">
        <f>IF(ISERROR(VLOOKUP($A5,'Man Tab'!$A:$Q,COLUMN()+2,0)),0,VLOOKUP($A5,'Man Tab'!$A:$Q,COLUMN()+2,0))</f>
        <v>637.95486000000005</v>
      </c>
      <c r="E5" s="173">
        <f>IF(ISERROR(VLOOKUP($A5,'Man Tab'!$A:$Q,COLUMN()+2,0)),0,VLOOKUP($A5,'Man Tab'!$A:$Q,COLUMN()+2,0))</f>
        <v>605.39414999999997</v>
      </c>
      <c r="F5" s="173">
        <f>IF(ISERROR(VLOOKUP($A5,'Man Tab'!$A:$Q,COLUMN()+2,0)),0,VLOOKUP($A5,'Man Tab'!$A:$Q,COLUMN()+2,0))</f>
        <v>627.95384999999999</v>
      </c>
      <c r="G5" s="173">
        <f>IF(ISERROR(VLOOKUP($A5,'Man Tab'!$A:$Q,COLUMN()+2,0)),0,VLOOKUP($A5,'Man Tab'!$A:$Q,COLUMN()+2,0))</f>
        <v>598.36146000000099</v>
      </c>
      <c r="H5" s="173">
        <f>IF(ISERROR(VLOOKUP($A5,'Man Tab'!$A:$Q,COLUMN()+2,0)),0,VLOOKUP($A5,'Man Tab'!$A:$Q,COLUMN()+2,0))</f>
        <v>820.42021999999997</v>
      </c>
      <c r="I5" s="173">
        <f>IF(ISERROR(VLOOKUP($A5,'Man Tab'!$A:$Q,COLUMN()+2,0)),0,VLOOKUP($A5,'Man Tab'!$A:$Q,COLUMN()+2,0))</f>
        <v>611.44577000000004</v>
      </c>
      <c r="J5" s="173">
        <f>IF(ISERROR(VLOOKUP($A5,'Man Tab'!$A:$Q,COLUMN()+2,0)),0,VLOOKUP($A5,'Man Tab'!$A:$Q,COLUMN()+2,0))</f>
        <v>0</v>
      </c>
      <c r="K5" s="173">
        <f>IF(ISERROR(VLOOKUP($A5,'Man Tab'!$A:$Q,COLUMN()+2,0)),0,VLOOKUP($A5,'Man Tab'!$A:$Q,COLUMN()+2,0))</f>
        <v>0</v>
      </c>
      <c r="L5" s="173">
        <f>IF(ISERROR(VLOOKUP($A5,'Man Tab'!$A:$Q,COLUMN()+2,0)),0,VLOOKUP($A5,'Man Tab'!$A:$Q,COLUMN()+2,0))</f>
        <v>0</v>
      </c>
      <c r="M5" s="173">
        <f>IF(ISERROR(VLOOKUP($A5,'Man Tab'!$A:$Q,COLUMN()+2,0)),0,VLOOKUP($A5,'Man Tab'!$A:$Q,COLUMN()+2,0))</f>
        <v>0</v>
      </c>
    </row>
    <row r="6" spans="1:13" ht="14.4" customHeight="1" x14ac:dyDescent="0.3">
      <c r="A6" s="174" t="s">
        <v>63</v>
      </c>
      <c r="B6" s="175">
        <f>B5</f>
        <v>641.58439999999996</v>
      </c>
      <c r="C6" s="175">
        <f t="shared" ref="C6:M6" si="1">C5+B6</f>
        <v>1267.1337100000001</v>
      </c>
      <c r="D6" s="175">
        <f t="shared" si="1"/>
        <v>1905.0885700000001</v>
      </c>
      <c r="E6" s="175">
        <f t="shared" si="1"/>
        <v>2510.48272</v>
      </c>
      <c r="F6" s="175">
        <f t="shared" si="1"/>
        <v>3138.4365699999998</v>
      </c>
      <c r="G6" s="175">
        <f t="shared" si="1"/>
        <v>3736.7980300000008</v>
      </c>
      <c r="H6" s="175">
        <f t="shared" si="1"/>
        <v>4557.2182500000008</v>
      </c>
      <c r="I6" s="175">
        <f t="shared" si="1"/>
        <v>5168.6640200000011</v>
      </c>
      <c r="J6" s="175">
        <f t="shared" si="1"/>
        <v>5168.6640200000011</v>
      </c>
      <c r="K6" s="175">
        <f t="shared" si="1"/>
        <v>5168.6640200000011</v>
      </c>
      <c r="L6" s="175">
        <f t="shared" si="1"/>
        <v>5168.6640200000011</v>
      </c>
      <c r="M6" s="175">
        <f t="shared" si="1"/>
        <v>5168.6640200000011</v>
      </c>
    </row>
    <row r="7" spans="1:13" ht="14.4" customHeight="1" x14ac:dyDescent="0.3">
      <c r="A7" s="174" t="s">
        <v>88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4.4" customHeight="1" x14ac:dyDescent="0.3">
      <c r="A8" s="174" t="s">
        <v>64</v>
      </c>
      <c r="B8" s="175">
        <f>B7*30</f>
        <v>0</v>
      </c>
      <c r="C8" s="175">
        <f t="shared" ref="C8:M8" si="2">C7*30</f>
        <v>0</v>
      </c>
      <c r="D8" s="175">
        <f t="shared" si="2"/>
        <v>0</v>
      </c>
      <c r="E8" s="175">
        <f t="shared" si="2"/>
        <v>0</v>
      </c>
      <c r="F8" s="175">
        <f t="shared" si="2"/>
        <v>0</v>
      </c>
      <c r="G8" s="175">
        <f t="shared" si="2"/>
        <v>0</v>
      </c>
      <c r="H8" s="175">
        <f t="shared" si="2"/>
        <v>0</v>
      </c>
      <c r="I8" s="175">
        <f t="shared" si="2"/>
        <v>0</v>
      </c>
      <c r="J8" s="175">
        <f t="shared" si="2"/>
        <v>0</v>
      </c>
      <c r="K8" s="175">
        <f t="shared" si="2"/>
        <v>0</v>
      </c>
      <c r="L8" s="175">
        <f t="shared" si="2"/>
        <v>0</v>
      </c>
      <c r="M8" s="175">
        <f t="shared" si="2"/>
        <v>0</v>
      </c>
    </row>
    <row r="9" spans="1:13" ht="14.4" customHeight="1" x14ac:dyDescent="0.3">
      <c r="A9" s="174" t="s">
        <v>89</v>
      </c>
      <c r="B9" s="174">
        <v>474178</v>
      </c>
      <c r="C9" s="174">
        <v>416108.67</v>
      </c>
      <c r="D9" s="174">
        <v>479236</v>
      </c>
      <c r="E9" s="174">
        <v>400932.33999999997</v>
      </c>
      <c r="F9" s="174">
        <v>428672.00000000006</v>
      </c>
      <c r="G9" s="174">
        <v>381389.35</v>
      </c>
      <c r="H9" s="174">
        <v>264060.65000000002</v>
      </c>
      <c r="I9" s="174">
        <v>279110.01</v>
      </c>
      <c r="J9" s="174">
        <v>0</v>
      </c>
      <c r="K9" s="174">
        <v>0</v>
      </c>
      <c r="L9" s="174">
        <v>0</v>
      </c>
      <c r="M9" s="174">
        <v>0</v>
      </c>
    </row>
    <row r="10" spans="1:13" ht="14.4" customHeight="1" x14ac:dyDescent="0.3">
      <c r="A10" s="174" t="s">
        <v>65</v>
      </c>
      <c r="B10" s="175">
        <f>B9/1000</f>
        <v>474.178</v>
      </c>
      <c r="C10" s="175">
        <f t="shared" ref="C10:M10" si="3">C9/1000+B10</f>
        <v>890.28666999999996</v>
      </c>
      <c r="D10" s="175">
        <f t="shared" si="3"/>
        <v>1369.5226699999998</v>
      </c>
      <c r="E10" s="175">
        <f t="shared" si="3"/>
        <v>1770.4550099999997</v>
      </c>
      <c r="F10" s="175">
        <f t="shared" si="3"/>
        <v>2199.1270099999997</v>
      </c>
      <c r="G10" s="175">
        <f t="shared" si="3"/>
        <v>2580.5163599999996</v>
      </c>
      <c r="H10" s="175">
        <f t="shared" si="3"/>
        <v>2844.5770099999995</v>
      </c>
      <c r="I10" s="175">
        <f t="shared" si="3"/>
        <v>3123.6870199999994</v>
      </c>
      <c r="J10" s="175">
        <f t="shared" si="3"/>
        <v>3123.6870199999994</v>
      </c>
      <c r="K10" s="175">
        <f t="shared" si="3"/>
        <v>3123.6870199999994</v>
      </c>
      <c r="L10" s="175">
        <f t="shared" si="3"/>
        <v>3123.6870199999994</v>
      </c>
      <c r="M10" s="175">
        <f t="shared" si="3"/>
        <v>3123.6870199999994</v>
      </c>
    </row>
    <row r="11" spans="1:13" ht="14.4" customHeight="1" x14ac:dyDescent="0.3">
      <c r="A11" s="170"/>
      <c r="B11" s="170" t="s">
        <v>80</v>
      </c>
      <c r="C11" s="170">
        <f ca="1">IF(MONTH(TODAY())=1,12,MONTH(TODAY())-1)</f>
        <v>8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4" customHeight="1" x14ac:dyDescent="0.3">
      <c r="A12" s="170">
        <v>0</v>
      </c>
      <c r="B12" s="173">
        <f>IF(ISERROR(HI!F15),#REF!,HI!F15)</f>
        <v>0.57150628226348177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4.4" customHeight="1" x14ac:dyDescent="0.3">
      <c r="A13" s="170">
        <v>1</v>
      </c>
      <c r="B13" s="173">
        <f>IF(ISERROR(HI!F15),#REF!,HI!F15)</f>
        <v>0.57150628226348177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6" customFormat="1" ht="18.600000000000001" customHeight="1" thickBot="1" x14ac:dyDescent="0.4">
      <c r="A1" s="277" t="s">
        <v>205</v>
      </c>
      <c r="B1" s="277"/>
      <c r="C1" s="277"/>
      <c r="D1" s="277"/>
      <c r="E1" s="277"/>
      <c r="F1" s="277"/>
      <c r="G1" s="277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s="176" customFormat="1" ht="14.4" customHeight="1" thickBot="1" x14ac:dyDescent="0.3">
      <c r="A2" s="200" t="s">
        <v>203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4" customHeight="1" x14ac:dyDescent="0.3">
      <c r="A3" s="60"/>
      <c r="B3" s="278" t="s">
        <v>15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182</v>
      </c>
      <c r="E4" s="104" t="s">
        <v>183</v>
      </c>
      <c r="F4" s="104" t="s">
        <v>184</v>
      </c>
      <c r="G4" s="104" t="s">
        <v>185</v>
      </c>
      <c r="H4" s="104" t="s">
        <v>186</v>
      </c>
      <c r="I4" s="104" t="s">
        <v>187</v>
      </c>
      <c r="J4" s="104" t="s">
        <v>188</v>
      </c>
      <c r="K4" s="104" t="s">
        <v>189</v>
      </c>
      <c r="L4" s="104" t="s">
        <v>190</v>
      </c>
      <c r="M4" s="104" t="s">
        <v>191</v>
      </c>
      <c r="N4" s="104" t="s">
        <v>192</v>
      </c>
      <c r="O4" s="104" t="s">
        <v>193</v>
      </c>
      <c r="P4" s="280" t="s">
        <v>3</v>
      </c>
      <c r="Q4" s="281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204</v>
      </c>
    </row>
    <row r="7" spans="1:17" ht="14.4" customHeight="1" x14ac:dyDescent="0.3">
      <c r="A7" s="15" t="s">
        <v>21</v>
      </c>
      <c r="B7" s="46">
        <v>1.0000000902790001</v>
      </c>
      <c r="C7" s="47">
        <v>8.3333340855999999E-2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>
        <v>0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204</v>
      </c>
    </row>
    <row r="9" spans="1:17" ht="14.4" customHeight="1" x14ac:dyDescent="0.3">
      <c r="A9" s="15" t="s">
        <v>23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1" t="s">
        <v>204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204</v>
      </c>
    </row>
    <row r="11" spans="1:17" ht="14.4" customHeight="1" x14ac:dyDescent="0.3">
      <c r="A11" s="15" t="s">
        <v>25</v>
      </c>
      <c r="B11" s="46">
        <v>142.70594871835399</v>
      </c>
      <c r="C11" s="47">
        <v>11.892162393195999</v>
      </c>
      <c r="D11" s="47">
        <v>5.2003500000000003</v>
      </c>
      <c r="E11" s="47">
        <v>3.67977</v>
      </c>
      <c r="F11" s="47">
        <v>1.01712</v>
      </c>
      <c r="G11" s="47">
        <v>0.80818000000000001</v>
      </c>
      <c r="H11" s="47">
        <v>0.43864999999999998</v>
      </c>
      <c r="I11" s="47">
        <v>0.94710000000000005</v>
      </c>
      <c r="J11" s="47">
        <v>0</v>
      </c>
      <c r="K11" s="47">
        <v>1.4251799999999999</v>
      </c>
      <c r="L11" s="47">
        <v>0</v>
      </c>
      <c r="M11" s="47">
        <v>0</v>
      </c>
      <c r="N11" s="47">
        <v>0</v>
      </c>
      <c r="O11" s="47">
        <v>0</v>
      </c>
      <c r="P11" s="48">
        <v>13.516349999999999</v>
      </c>
      <c r="Q11" s="71">
        <v>0.14207203821600001</v>
      </c>
    </row>
    <row r="12" spans="1:17" ht="14.4" customHeight="1" x14ac:dyDescent="0.3">
      <c r="A12" s="15" t="s">
        <v>26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204</v>
      </c>
    </row>
    <row r="13" spans="1:17" ht="14.4" customHeight="1" x14ac:dyDescent="0.3">
      <c r="A13" s="15" t="s">
        <v>27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1.06843</v>
      </c>
      <c r="G13" s="47">
        <v>0.29765000000000003</v>
      </c>
      <c r="H13" s="47">
        <v>0.35694999999999999</v>
      </c>
      <c r="I13" s="47">
        <v>0.35694999999999999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2.3921600000000001</v>
      </c>
      <c r="Q13" s="71" t="s">
        <v>204</v>
      </c>
    </row>
    <row r="14" spans="1:17" ht="14.4" customHeight="1" x14ac:dyDescent="0.3">
      <c r="A14" s="15" t="s">
        <v>28</v>
      </c>
      <c r="B14" s="46">
        <v>85.306409596110996</v>
      </c>
      <c r="C14" s="47">
        <v>7.1088674663419997</v>
      </c>
      <c r="D14" s="47">
        <v>12.085000000000001</v>
      </c>
      <c r="E14" s="47">
        <v>9.07</v>
      </c>
      <c r="F14" s="47">
        <v>9.6549999999999994</v>
      </c>
      <c r="G14" s="47">
        <v>7.2009999999999996</v>
      </c>
      <c r="H14" s="47">
        <v>5.2439999999999998</v>
      </c>
      <c r="I14" s="47">
        <v>4.3360000000000003</v>
      </c>
      <c r="J14" s="47">
        <v>3.9590000000000001</v>
      </c>
      <c r="K14" s="47">
        <v>4.1020000000000003</v>
      </c>
      <c r="L14" s="47">
        <v>0</v>
      </c>
      <c r="M14" s="47">
        <v>0</v>
      </c>
      <c r="N14" s="47">
        <v>0</v>
      </c>
      <c r="O14" s="47">
        <v>0</v>
      </c>
      <c r="P14" s="48">
        <v>55.652000000000001</v>
      </c>
      <c r="Q14" s="71">
        <v>0.97856656252700003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204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204</v>
      </c>
    </row>
    <row r="17" spans="1:17" ht="14.4" customHeight="1" x14ac:dyDescent="0.3">
      <c r="A17" s="15" t="s">
        <v>31</v>
      </c>
      <c r="B17" s="46">
        <v>4.5623317729219997</v>
      </c>
      <c r="C17" s="47">
        <v>0.38019431441000001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1">
        <v>0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0.61699999999999999</v>
      </c>
      <c r="F18" s="47">
        <v>3.1</v>
      </c>
      <c r="G18" s="47">
        <v>1.1120000000000001</v>
      </c>
      <c r="H18" s="47">
        <v>4.9850000000000003</v>
      </c>
      <c r="I18" s="47">
        <v>2.5099999999999998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12.324</v>
      </c>
      <c r="Q18" s="71" t="s">
        <v>204</v>
      </c>
    </row>
    <row r="19" spans="1:17" ht="14.4" customHeight="1" x14ac:dyDescent="0.3">
      <c r="A19" s="15" t="s">
        <v>33</v>
      </c>
      <c r="B19" s="46">
        <v>54.179092709975997</v>
      </c>
      <c r="C19" s="47">
        <v>4.514924392498</v>
      </c>
      <c r="D19" s="47">
        <v>5.4363799999999998</v>
      </c>
      <c r="E19" s="47">
        <v>4.3867399999999996</v>
      </c>
      <c r="F19" s="47">
        <v>4.44754</v>
      </c>
      <c r="G19" s="47">
        <v>5.4043599999999996</v>
      </c>
      <c r="H19" s="47">
        <v>4.3199399999999999</v>
      </c>
      <c r="I19" s="47">
        <v>3.8421799999999999</v>
      </c>
      <c r="J19" s="47">
        <v>7.5635599999999998</v>
      </c>
      <c r="K19" s="47">
        <v>3.3079999999999998</v>
      </c>
      <c r="L19" s="47">
        <v>0</v>
      </c>
      <c r="M19" s="47">
        <v>0</v>
      </c>
      <c r="N19" s="47">
        <v>0</v>
      </c>
      <c r="O19" s="47">
        <v>0</v>
      </c>
      <c r="P19" s="48">
        <v>38.7087</v>
      </c>
      <c r="Q19" s="71">
        <v>1.071687381529</v>
      </c>
    </row>
    <row r="20" spans="1:17" ht="14.4" customHeight="1" x14ac:dyDescent="0.3">
      <c r="A20" s="15" t="s">
        <v>34</v>
      </c>
      <c r="B20" s="46">
        <v>7196.0006496512297</v>
      </c>
      <c r="C20" s="47">
        <v>599.66672080426895</v>
      </c>
      <c r="D20" s="47">
        <v>614.97949000000006</v>
      </c>
      <c r="E20" s="47">
        <v>603.12480000000005</v>
      </c>
      <c r="F20" s="47">
        <v>600.49576999999999</v>
      </c>
      <c r="G20" s="47">
        <v>574.99995999999999</v>
      </c>
      <c r="H20" s="47">
        <v>597.13831000000005</v>
      </c>
      <c r="I20" s="47">
        <v>575.09823000000097</v>
      </c>
      <c r="J20" s="47">
        <v>805.32665999999995</v>
      </c>
      <c r="K20" s="47">
        <v>599.03958999999998</v>
      </c>
      <c r="L20" s="47">
        <v>0</v>
      </c>
      <c r="M20" s="47">
        <v>0</v>
      </c>
      <c r="N20" s="47">
        <v>0</v>
      </c>
      <c r="O20" s="47">
        <v>0</v>
      </c>
      <c r="P20" s="48">
        <v>4970.2028099999998</v>
      </c>
      <c r="Q20" s="71">
        <v>1.0360343999349999</v>
      </c>
    </row>
    <row r="21" spans="1:17" ht="14.4" customHeight="1" x14ac:dyDescent="0.3">
      <c r="A21" s="16" t="s">
        <v>35</v>
      </c>
      <c r="B21" s="46">
        <v>43.000099298164997</v>
      </c>
      <c r="C21" s="47">
        <v>3.58334160818</v>
      </c>
      <c r="D21" s="47">
        <v>3.5710000000000002</v>
      </c>
      <c r="E21" s="47">
        <v>3.5710000000000002</v>
      </c>
      <c r="F21" s="47">
        <v>3.5710000000000002</v>
      </c>
      <c r="G21" s="47">
        <v>3.5710000000000002</v>
      </c>
      <c r="H21" s="47">
        <v>3.5710000000000002</v>
      </c>
      <c r="I21" s="47">
        <v>3.5710000000000002</v>
      </c>
      <c r="J21" s="47">
        <v>3.5710000000000002</v>
      </c>
      <c r="K21" s="47">
        <v>3.5710000000000002</v>
      </c>
      <c r="L21" s="47">
        <v>0</v>
      </c>
      <c r="M21" s="47">
        <v>0</v>
      </c>
      <c r="N21" s="47">
        <v>0</v>
      </c>
      <c r="O21" s="47">
        <v>0</v>
      </c>
      <c r="P21" s="48">
        <v>28.568000000000001</v>
      </c>
      <c r="Q21" s="71">
        <v>0.99655583822799998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204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204</v>
      </c>
    </row>
    <row r="24" spans="1:17" ht="14.4" customHeight="1" x14ac:dyDescent="0.3">
      <c r="A24" s="16" t="s">
        <v>38</v>
      </c>
      <c r="B24" s="46">
        <v>0</v>
      </c>
      <c r="C24" s="47">
        <v>1.13686837721616E-13</v>
      </c>
      <c r="D24" s="47">
        <v>1.13686837721616E-13</v>
      </c>
      <c r="E24" s="47">
        <v>1.1000000000000001</v>
      </c>
      <c r="F24" s="47">
        <v>14.6</v>
      </c>
      <c r="G24" s="47">
        <v>12</v>
      </c>
      <c r="H24" s="47">
        <v>11.899999999999</v>
      </c>
      <c r="I24" s="47">
        <v>7.7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47.3</v>
      </c>
      <c r="Q24" s="71"/>
    </row>
    <row r="25" spans="1:17" ht="14.4" customHeight="1" x14ac:dyDescent="0.3">
      <c r="A25" s="17" t="s">
        <v>39</v>
      </c>
      <c r="B25" s="49">
        <v>7526.7545318370403</v>
      </c>
      <c r="C25" s="50">
        <v>627.22954431975404</v>
      </c>
      <c r="D25" s="50">
        <v>641.58439999999996</v>
      </c>
      <c r="E25" s="50">
        <v>625.54930999999999</v>
      </c>
      <c r="F25" s="50">
        <v>637.95486000000005</v>
      </c>
      <c r="G25" s="50">
        <v>605.39414999999997</v>
      </c>
      <c r="H25" s="50">
        <v>627.95384999999999</v>
      </c>
      <c r="I25" s="50">
        <v>598.36146000000099</v>
      </c>
      <c r="J25" s="50">
        <v>820.42021999999997</v>
      </c>
      <c r="K25" s="50">
        <v>611.44577000000004</v>
      </c>
      <c r="L25" s="50">
        <v>0</v>
      </c>
      <c r="M25" s="50">
        <v>0</v>
      </c>
      <c r="N25" s="50">
        <v>0</v>
      </c>
      <c r="O25" s="50">
        <v>0</v>
      </c>
      <c r="P25" s="51">
        <v>5168.6640200000002</v>
      </c>
      <c r="Q25" s="72">
        <v>1.0300583069639999</v>
      </c>
    </row>
    <row r="26" spans="1:17" ht="14.4" customHeight="1" x14ac:dyDescent="0.3">
      <c r="A26" s="15" t="s">
        <v>40</v>
      </c>
      <c r="B26" s="46">
        <v>1033.3683016167499</v>
      </c>
      <c r="C26" s="47">
        <v>86.114025134729005</v>
      </c>
      <c r="D26" s="47">
        <v>82.660269999999997</v>
      </c>
      <c r="E26" s="47">
        <v>70.474469999999997</v>
      </c>
      <c r="F26" s="47">
        <v>78.44238</v>
      </c>
      <c r="G26" s="47">
        <v>77.546899999999994</v>
      </c>
      <c r="H26" s="47">
        <v>70.239559999999997</v>
      </c>
      <c r="I26" s="47">
        <v>105.05638</v>
      </c>
      <c r="J26" s="47">
        <v>86.296539999999993</v>
      </c>
      <c r="K26" s="47">
        <v>84.639889999999994</v>
      </c>
      <c r="L26" s="47">
        <v>0</v>
      </c>
      <c r="M26" s="47">
        <v>0</v>
      </c>
      <c r="N26" s="47">
        <v>0</v>
      </c>
      <c r="O26" s="47">
        <v>0</v>
      </c>
      <c r="P26" s="48">
        <v>655.35639000000003</v>
      </c>
      <c r="Q26" s="71">
        <v>0.95129159996599999</v>
      </c>
    </row>
    <row r="27" spans="1:17" ht="14.4" customHeight="1" x14ac:dyDescent="0.3">
      <c r="A27" s="18" t="s">
        <v>41</v>
      </c>
      <c r="B27" s="49">
        <v>8560.1228334537991</v>
      </c>
      <c r="C27" s="50">
        <v>713.34356945448303</v>
      </c>
      <c r="D27" s="50">
        <v>724.24467000000004</v>
      </c>
      <c r="E27" s="50">
        <v>696.02377999999999</v>
      </c>
      <c r="F27" s="50">
        <v>716.39724000000001</v>
      </c>
      <c r="G27" s="50">
        <v>682.94105000000002</v>
      </c>
      <c r="H27" s="50">
        <v>698.19340999999997</v>
      </c>
      <c r="I27" s="50">
        <v>703.41784000000098</v>
      </c>
      <c r="J27" s="50">
        <v>906.71676000000002</v>
      </c>
      <c r="K27" s="50">
        <v>696.08565999999996</v>
      </c>
      <c r="L27" s="50">
        <v>0</v>
      </c>
      <c r="M27" s="50">
        <v>0</v>
      </c>
      <c r="N27" s="50">
        <v>0</v>
      </c>
      <c r="O27" s="50">
        <v>0</v>
      </c>
      <c r="P27" s="51">
        <v>5824.0204100000001</v>
      </c>
      <c r="Q27" s="72">
        <v>1.0205496795969999</v>
      </c>
    </row>
    <row r="28" spans="1:17" ht="14.4" customHeight="1" x14ac:dyDescent="0.3">
      <c r="A28" s="16" t="s">
        <v>42</v>
      </c>
      <c r="B28" s="46">
        <v>25.256597930760002</v>
      </c>
      <c r="C28" s="47">
        <v>2.1047164942299998</v>
      </c>
      <c r="D28" s="47">
        <v>0</v>
      </c>
      <c r="E28" s="47">
        <v>9.7439999999999998</v>
      </c>
      <c r="F28" s="47">
        <v>10.400320000000001</v>
      </c>
      <c r="G28" s="47">
        <v>3.8976000000000002</v>
      </c>
      <c r="H28" s="47">
        <v>0</v>
      </c>
      <c r="I28" s="47">
        <v>15.839399999999999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39.881320000000002</v>
      </c>
      <c r="Q28" s="71">
        <v>2.368568409886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204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204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127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194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77" t="s">
        <v>47</v>
      </c>
      <c r="B1" s="277"/>
      <c r="C1" s="277"/>
      <c r="D1" s="277"/>
      <c r="E1" s="277"/>
      <c r="F1" s="277"/>
      <c r="G1" s="277"/>
      <c r="H1" s="282"/>
      <c r="I1" s="282"/>
      <c r="J1" s="282"/>
      <c r="K1" s="282"/>
    </row>
    <row r="2" spans="1:11" s="55" customFormat="1" ht="14.4" customHeight="1" thickBot="1" x14ac:dyDescent="0.35">
      <c r="A2" s="200" t="s">
        <v>203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78" t="s">
        <v>48</v>
      </c>
      <c r="C3" s="279"/>
      <c r="D3" s="279"/>
      <c r="E3" s="279"/>
      <c r="F3" s="285" t="s">
        <v>49</v>
      </c>
      <c r="G3" s="279"/>
      <c r="H3" s="279"/>
      <c r="I3" s="279"/>
      <c r="J3" s="279"/>
      <c r="K3" s="286"/>
    </row>
    <row r="4" spans="1:11" ht="14.4" customHeight="1" x14ac:dyDescent="0.3">
      <c r="A4" s="61"/>
      <c r="B4" s="283"/>
      <c r="C4" s="284"/>
      <c r="D4" s="284"/>
      <c r="E4" s="284"/>
      <c r="F4" s="287" t="s">
        <v>199</v>
      </c>
      <c r="G4" s="289" t="s">
        <v>50</v>
      </c>
      <c r="H4" s="116" t="s">
        <v>117</v>
      </c>
      <c r="I4" s="287" t="s">
        <v>51</v>
      </c>
      <c r="J4" s="289" t="s">
        <v>174</v>
      </c>
      <c r="K4" s="290" t="s">
        <v>201</v>
      </c>
    </row>
    <row r="5" spans="1:11" ht="42" thickBot="1" x14ac:dyDescent="0.35">
      <c r="A5" s="62"/>
      <c r="B5" s="24" t="s">
        <v>195</v>
      </c>
      <c r="C5" s="25" t="s">
        <v>196</v>
      </c>
      <c r="D5" s="26" t="s">
        <v>197</v>
      </c>
      <c r="E5" s="26" t="s">
        <v>198</v>
      </c>
      <c r="F5" s="288"/>
      <c r="G5" s="288"/>
      <c r="H5" s="25" t="s">
        <v>200</v>
      </c>
      <c r="I5" s="288"/>
      <c r="J5" s="288"/>
      <c r="K5" s="291"/>
    </row>
    <row r="6" spans="1:11" ht="14.4" customHeight="1" thickBot="1" x14ac:dyDescent="0.35">
      <c r="A6" s="347" t="s">
        <v>206</v>
      </c>
      <c r="B6" s="329">
        <v>7410.5677601384004</v>
      </c>
      <c r="C6" s="329">
        <v>7577.2372500000001</v>
      </c>
      <c r="D6" s="330">
        <v>166.669489861606</v>
      </c>
      <c r="E6" s="331">
        <v>1.0224907854909999</v>
      </c>
      <c r="F6" s="329">
        <v>7526.7545318370403</v>
      </c>
      <c r="G6" s="330">
        <v>5017.8363545580296</v>
      </c>
      <c r="H6" s="332">
        <v>611.44577000000004</v>
      </c>
      <c r="I6" s="329">
        <v>5168.6640200000002</v>
      </c>
      <c r="J6" s="330">
        <v>150.82766544197199</v>
      </c>
      <c r="K6" s="333">
        <v>0.68670553797599998</v>
      </c>
    </row>
    <row r="7" spans="1:11" ht="14.4" customHeight="1" thickBot="1" x14ac:dyDescent="0.35">
      <c r="A7" s="348" t="s">
        <v>207</v>
      </c>
      <c r="B7" s="329">
        <v>222.420582798716</v>
      </c>
      <c r="C7" s="329">
        <v>200.86267000000001</v>
      </c>
      <c r="D7" s="330">
        <v>-21.557912798716</v>
      </c>
      <c r="E7" s="331">
        <v>0.90307590903900004</v>
      </c>
      <c r="F7" s="329">
        <v>229.01235840474499</v>
      </c>
      <c r="G7" s="330">
        <v>152.67490560316401</v>
      </c>
      <c r="H7" s="332">
        <v>5.5271800000000004</v>
      </c>
      <c r="I7" s="329">
        <v>71.560509999999994</v>
      </c>
      <c r="J7" s="330">
        <v>-81.114395603163004</v>
      </c>
      <c r="K7" s="333">
        <v>0.31247444678699998</v>
      </c>
    </row>
    <row r="8" spans="1:11" ht="14.4" customHeight="1" thickBot="1" x14ac:dyDescent="0.35">
      <c r="A8" s="349" t="s">
        <v>208</v>
      </c>
      <c r="B8" s="329">
        <v>136.72653210042799</v>
      </c>
      <c r="C8" s="329">
        <v>114.16867000000001</v>
      </c>
      <c r="D8" s="330">
        <v>-22.557862100428</v>
      </c>
      <c r="E8" s="331">
        <v>0.83501474253800001</v>
      </c>
      <c r="F8" s="329">
        <v>143.70594880863399</v>
      </c>
      <c r="G8" s="330">
        <v>95.803965872421998</v>
      </c>
      <c r="H8" s="332">
        <v>1.4251799999999999</v>
      </c>
      <c r="I8" s="329">
        <v>15.90851</v>
      </c>
      <c r="J8" s="330">
        <v>-79.895455872422005</v>
      </c>
      <c r="K8" s="333">
        <v>0.110701819457</v>
      </c>
    </row>
    <row r="9" spans="1:11" ht="14.4" customHeight="1" thickBot="1" x14ac:dyDescent="0.35">
      <c r="A9" s="350" t="s">
        <v>209</v>
      </c>
      <c r="B9" s="334">
        <v>1</v>
      </c>
      <c r="C9" s="334">
        <v>0.75165000000000004</v>
      </c>
      <c r="D9" s="335">
        <v>-0.24834999999999999</v>
      </c>
      <c r="E9" s="336">
        <v>0.75165000000000004</v>
      </c>
      <c r="F9" s="334">
        <v>1.0000000902790001</v>
      </c>
      <c r="G9" s="335">
        <v>0.66666672685200001</v>
      </c>
      <c r="H9" s="337">
        <v>0</v>
      </c>
      <c r="I9" s="334">
        <v>0</v>
      </c>
      <c r="J9" s="335">
        <v>-0.66666672685200001</v>
      </c>
      <c r="K9" s="338">
        <v>0</v>
      </c>
    </row>
    <row r="10" spans="1:11" ht="14.4" customHeight="1" thickBot="1" x14ac:dyDescent="0.35">
      <c r="A10" s="351" t="s">
        <v>210</v>
      </c>
      <c r="B10" s="329">
        <v>1</v>
      </c>
      <c r="C10" s="329">
        <v>0.75165000000000004</v>
      </c>
      <c r="D10" s="330">
        <v>-0.24834999999999999</v>
      </c>
      <c r="E10" s="331">
        <v>0.75165000000000004</v>
      </c>
      <c r="F10" s="329">
        <v>1.0000000902790001</v>
      </c>
      <c r="G10" s="330">
        <v>0.66666672685200001</v>
      </c>
      <c r="H10" s="332">
        <v>0</v>
      </c>
      <c r="I10" s="329">
        <v>0</v>
      </c>
      <c r="J10" s="330">
        <v>-0.66666672685200001</v>
      </c>
      <c r="K10" s="333">
        <v>0</v>
      </c>
    </row>
    <row r="11" spans="1:11" ht="14.4" customHeight="1" thickBot="1" x14ac:dyDescent="0.35">
      <c r="A11" s="350" t="s">
        <v>211</v>
      </c>
      <c r="B11" s="334">
        <v>131.72653222641901</v>
      </c>
      <c r="C11" s="334">
        <v>106.67733</v>
      </c>
      <c r="D11" s="335">
        <v>-25.049202226418</v>
      </c>
      <c r="E11" s="336">
        <v>0.80983935579900002</v>
      </c>
      <c r="F11" s="334">
        <v>142.70594871835399</v>
      </c>
      <c r="G11" s="335">
        <v>95.137299145569003</v>
      </c>
      <c r="H11" s="337">
        <v>1.4251799999999999</v>
      </c>
      <c r="I11" s="334">
        <v>13.516349999999999</v>
      </c>
      <c r="J11" s="335">
        <v>-81.620949145569</v>
      </c>
      <c r="K11" s="338">
        <v>9.4714692143999996E-2</v>
      </c>
    </row>
    <row r="12" spans="1:11" ht="14.4" customHeight="1" thickBot="1" x14ac:dyDescent="0.35">
      <c r="A12" s="351" t="s">
        <v>212</v>
      </c>
      <c r="B12" s="329">
        <v>0.95715506856300003</v>
      </c>
      <c r="C12" s="329">
        <v>0.72599999999999998</v>
      </c>
      <c r="D12" s="330">
        <v>-0.231155068563</v>
      </c>
      <c r="E12" s="331">
        <v>0.75849778561900005</v>
      </c>
      <c r="F12" s="329">
        <v>0.67503448220399997</v>
      </c>
      <c r="G12" s="330">
        <v>0.450022988136</v>
      </c>
      <c r="H12" s="332">
        <v>0</v>
      </c>
      <c r="I12" s="329">
        <v>0</v>
      </c>
      <c r="J12" s="330">
        <v>-0.450022988136</v>
      </c>
      <c r="K12" s="333">
        <v>0</v>
      </c>
    </row>
    <row r="13" spans="1:11" ht="14.4" customHeight="1" thickBot="1" x14ac:dyDescent="0.35">
      <c r="A13" s="351" t="s">
        <v>213</v>
      </c>
      <c r="B13" s="329">
        <v>0.99999996850200001</v>
      </c>
      <c r="C13" s="329">
        <v>7.4060000000000001E-2</v>
      </c>
      <c r="D13" s="330">
        <v>-0.925939968502</v>
      </c>
      <c r="E13" s="331">
        <v>7.4060002331999997E-2</v>
      </c>
      <c r="F13" s="329">
        <v>8.4277704253999997E-2</v>
      </c>
      <c r="G13" s="330">
        <v>5.6185136168999998E-2</v>
      </c>
      <c r="H13" s="332">
        <v>0</v>
      </c>
      <c r="I13" s="329">
        <v>0.16927</v>
      </c>
      <c r="J13" s="330">
        <v>0.11308486382999999</v>
      </c>
      <c r="K13" s="333">
        <v>2.008479009937</v>
      </c>
    </row>
    <row r="14" spans="1:11" ht="14.4" customHeight="1" thickBot="1" x14ac:dyDescent="0.35">
      <c r="A14" s="351" t="s">
        <v>214</v>
      </c>
      <c r="B14" s="329">
        <v>5.0999999999999996</v>
      </c>
      <c r="C14" s="329">
        <v>4.2980799999999997</v>
      </c>
      <c r="D14" s="330">
        <v>-0.80191999999999997</v>
      </c>
      <c r="E14" s="331">
        <v>0.84276078431300006</v>
      </c>
      <c r="F14" s="329">
        <v>4.3448788551649997</v>
      </c>
      <c r="G14" s="330">
        <v>2.8965859034429999</v>
      </c>
      <c r="H14" s="332">
        <v>0</v>
      </c>
      <c r="I14" s="329">
        <v>0</v>
      </c>
      <c r="J14" s="330">
        <v>-2.8965859034429999</v>
      </c>
      <c r="K14" s="333">
        <v>0</v>
      </c>
    </row>
    <row r="15" spans="1:11" ht="14.4" customHeight="1" thickBot="1" x14ac:dyDescent="0.35">
      <c r="A15" s="351" t="s">
        <v>215</v>
      </c>
      <c r="B15" s="329">
        <v>116.866666225701</v>
      </c>
      <c r="C15" s="329">
        <v>92.514839999998998</v>
      </c>
      <c r="D15" s="330">
        <v>-24.351826225700002</v>
      </c>
      <c r="E15" s="331">
        <v>0.79162727052799997</v>
      </c>
      <c r="F15" s="329">
        <v>127.00001146549501</v>
      </c>
      <c r="G15" s="330">
        <v>84.666674310329</v>
      </c>
      <c r="H15" s="332">
        <v>0</v>
      </c>
      <c r="I15" s="329">
        <v>6.9680900000000001</v>
      </c>
      <c r="J15" s="330">
        <v>-77.698584310328997</v>
      </c>
      <c r="K15" s="333">
        <v>5.4866845439999999E-2</v>
      </c>
    </row>
    <row r="16" spans="1:11" ht="14.4" customHeight="1" thickBot="1" x14ac:dyDescent="0.35">
      <c r="A16" s="351" t="s">
        <v>216</v>
      </c>
      <c r="B16" s="329">
        <v>1.999999937004</v>
      </c>
      <c r="C16" s="329">
        <v>0.28139999999999998</v>
      </c>
      <c r="D16" s="330">
        <v>-1.7185999370039999</v>
      </c>
      <c r="E16" s="331">
        <v>0.140700004431</v>
      </c>
      <c r="F16" s="329">
        <v>0.30975407730499999</v>
      </c>
      <c r="G16" s="330">
        <v>0.20650271820300001</v>
      </c>
      <c r="H16" s="332">
        <v>0</v>
      </c>
      <c r="I16" s="329">
        <v>0.3301</v>
      </c>
      <c r="J16" s="330">
        <v>0.12359728179600001</v>
      </c>
      <c r="K16" s="333">
        <v>1.0656841158370001</v>
      </c>
    </row>
    <row r="17" spans="1:11" ht="14.4" customHeight="1" thickBot="1" x14ac:dyDescent="0.35">
      <c r="A17" s="351" t="s">
        <v>217</v>
      </c>
      <c r="B17" s="329">
        <v>2.8027110581439998</v>
      </c>
      <c r="C17" s="329">
        <v>7.5855300000000003</v>
      </c>
      <c r="D17" s="330">
        <v>4.782818941855</v>
      </c>
      <c r="E17" s="331">
        <v>2.706497331559</v>
      </c>
      <c r="F17" s="329">
        <v>9.3275206526590004</v>
      </c>
      <c r="G17" s="330">
        <v>6.2183471017720002</v>
      </c>
      <c r="H17" s="332">
        <v>1.4251799999999999</v>
      </c>
      <c r="I17" s="329">
        <v>5.2628000000000004</v>
      </c>
      <c r="J17" s="330">
        <v>-0.95554710177199997</v>
      </c>
      <c r="K17" s="333">
        <v>0.56422281932899998</v>
      </c>
    </row>
    <row r="18" spans="1:11" ht="14.4" customHeight="1" thickBot="1" x14ac:dyDescent="0.35">
      <c r="A18" s="351" t="s">
        <v>218</v>
      </c>
      <c r="B18" s="329">
        <v>2.9999999685019998</v>
      </c>
      <c r="C18" s="329">
        <v>1.1974199999999999</v>
      </c>
      <c r="D18" s="330">
        <v>-1.8025799685020001</v>
      </c>
      <c r="E18" s="331">
        <v>0.39914000419000001</v>
      </c>
      <c r="F18" s="329">
        <v>0.96447148127000004</v>
      </c>
      <c r="G18" s="330">
        <v>0.64298098751300004</v>
      </c>
      <c r="H18" s="332">
        <v>0</v>
      </c>
      <c r="I18" s="329">
        <v>0.78608999999999996</v>
      </c>
      <c r="J18" s="330">
        <v>0.143109012486</v>
      </c>
      <c r="K18" s="333">
        <v>0.81504742780299999</v>
      </c>
    </row>
    <row r="19" spans="1:11" ht="14.4" customHeight="1" thickBot="1" x14ac:dyDescent="0.35">
      <c r="A19" s="350" t="s">
        <v>219</v>
      </c>
      <c r="B19" s="334">
        <v>0.99999996850200001</v>
      </c>
      <c r="C19" s="334">
        <v>0</v>
      </c>
      <c r="D19" s="335">
        <v>-0.99999996850200001</v>
      </c>
      <c r="E19" s="336">
        <v>0</v>
      </c>
      <c r="F19" s="334">
        <v>0</v>
      </c>
      <c r="G19" s="335">
        <v>0</v>
      </c>
      <c r="H19" s="337">
        <v>0</v>
      </c>
      <c r="I19" s="334">
        <v>0</v>
      </c>
      <c r="J19" s="335">
        <v>0</v>
      </c>
      <c r="K19" s="338">
        <v>0</v>
      </c>
    </row>
    <row r="20" spans="1:11" ht="14.4" customHeight="1" thickBot="1" x14ac:dyDescent="0.35">
      <c r="A20" s="351" t="s">
        <v>220</v>
      </c>
      <c r="B20" s="329">
        <v>0.99999996850200001</v>
      </c>
      <c r="C20" s="329">
        <v>0</v>
      </c>
      <c r="D20" s="330">
        <v>-0.99999996850200001</v>
      </c>
      <c r="E20" s="331">
        <v>0</v>
      </c>
      <c r="F20" s="329">
        <v>0</v>
      </c>
      <c r="G20" s="330">
        <v>0</v>
      </c>
      <c r="H20" s="332">
        <v>0</v>
      </c>
      <c r="I20" s="329">
        <v>0</v>
      </c>
      <c r="J20" s="330">
        <v>0</v>
      </c>
      <c r="K20" s="333">
        <v>0</v>
      </c>
    </row>
    <row r="21" spans="1:11" ht="14.4" customHeight="1" thickBot="1" x14ac:dyDescent="0.35">
      <c r="A21" s="350" t="s">
        <v>221</v>
      </c>
      <c r="B21" s="334">
        <v>2.9999999055069999</v>
      </c>
      <c r="C21" s="334">
        <v>6.7396900000000004</v>
      </c>
      <c r="D21" s="335">
        <v>3.739690094492</v>
      </c>
      <c r="E21" s="336">
        <v>2.2465634040940001</v>
      </c>
      <c r="F21" s="334">
        <v>0</v>
      </c>
      <c r="G21" s="335">
        <v>0</v>
      </c>
      <c r="H21" s="337">
        <v>0</v>
      </c>
      <c r="I21" s="334">
        <v>2.3921600000000001</v>
      </c>
      <c r="J21" s="335">
        <v>2.3921600000000001</v>
      </c>
      <c r="K21" s="339" t="s">
        <v>204</v>
      </c>
    </row>
    <row r="22" spans="1:11" ht="14.4" customHeight="1" thickBot="1" x14ac:dyDescent="0.35">
      <c r="A22" s="351" t="s">
        <v>222</v>
      </c>
      <c r="B22" s="329">
        <v>2.9999999055069999</v>
      </c>
      <c r="C22" s="329">
        <v>6.7396900000000004</v>
      </c>
      <c r="D22" s="330">
        <v>3.739690094492</v>
      </c>
      <c r="E22" s="331">
        <v>2.2465634040940001</v>
      </c>
      <c r="F22" s="329">
        <v>0</v>
      </c>
      <c r="G22" s="330">
        <v>0</v>
      </c>
      <c r="H22" s="332">
        <v>0</v>
      </c>
      <c r="I22" s="329">
        <v>2.3921600000000001</v>
      </c>
      <c r="J22" s="330">
        <v>2.3921600000000001</v>
      </c>
      <c r="K22" s="340" t="s">
        <v>204</v>
      </c>
    </row>
    <row r="23" spans="1:11" ht="14.4" customHeight="1" thickBot="1" x14ac:dyDescent="0.35">
      <c r="A23" s="349" t="s">
        <v>28</v>
      </c>
      <c r="B23" s="329">
        <v>85.694050698287995</v>
      </c>
      <c r="C23" s="329">
        <v>86.694000000000003</v>
      </c>
      <c r="D23" s="330">
        <v>0.99994930171100005</v>
      </c>
      <c r="E23" s="331">
        <v>1.011668829907</v>
      </c>
      <c r="F23" s="329">
        <v>85.306409596110996</v>
      </c>
      <c r="G23" s="330">
        <v>56.870939730741</v>
      </c>
      <c r="H23" s="332">
        <v>4.1020000000000003</v>
      </c>
      <c r="I23" s="329">
        <v>55.652000000000001</v>
      </c>
      <c r="J23" s="330">
        <v>-1.2189397307409999</v>
      </c>
      <c r="K23" s="333">
        <v>0.65237770835099995</v>
      </c>
    </row>
    <row r="24" spans="1:11" ht="14.4" customHeight="1" thickBot="1" x14ac:dyDescent="0.35">
      <c r="A24" s="350" t="s">
        <v>223</v>
      </c>
      <c r="B24" s="334">
        <v>85.694050698287995</v>
      </c>
      <c r="C24" s="334">
        <v>86.694000000000003</v>
      </c>
      <c r="D24" s="335">
        <v>0.99994930171100005</v>
      </c>
      <c r="E24" s="336">
        <v>1.011668829907</v>
      </c>
      <c r="F24" s="334">
        <v>85.306409596110996</v>
      </c>
      <c r="G24" s="335">
        <v>56.870939730741</v>
      </c>
      <c r="H24" s="337">
        <v>4.1020000000000003</v>
      </c>
      <c r="I24" s="334">
        <v>55.652000000000001</v>
      </c>
      <c r="J24" s="335">
        <v>-1.2189397307409999</v>
      </c>
      <c r="K24" s="338">
        <v>0.65237770835099995</v>
      </c>
    </row>
    <row r="25" spans="1:11" ht="14.4" customHeight="1" thickBot="1" x14ac:dyDescent="0.35">
      <c r="A25" s="351" t="s">
        <v>224</v>
      </c>
      <c r="B25" s="329">
        <v>15.694052903117999</v>
      </c>
      <c r="C25" s="329">
        <v>15.446999999999999</v>
      </c>
      <c r="D25" s="330">
        <v>-0.24705290311799999</v>
      </c>
      <c r="E25" s="331">
        <v>0.98425818336100002</v>
      </c>
      <c r="F25" s="329">
        <v>15.239606635123</v>
      </c>
      <c r="G25" s="330">
        <v>10.159737756747999</v>
      </c>
      <c r="H25" s="332">
        <v>1.198</v>
      </c>
      <c r="I25" s="329">
        <v>9.2509999999999994</v>
      </c>
      <c r="J25" s="330">
        <v>-0.90873775674799995</v>
      </c>
      <c r="K25" s="333">
        <v>0.607036665807</v>
      </c>
    </row>
    <row r="26" spans="1:11" ht="14.4" customHeight="1" thickBot="1" x14ac:dyDescent="0.35">
      <c r="A26" s="351" t="s">
        <v>225</v>
      </c>
      <c r="B26" s="329">
        <v>14.999999527536</v>
      </c>
      <c r="C26" s="329">
        <v>13.391</v>
      </c>
      <c r="D26" s="330">
        <v>-1.6089995275360001</v>
      </c>
      <c r="E26" s="331">
        <v>0.892733361452</v>
      </c>
      <c r="F26" s="329">
        <v>12.970312640247</v>
      </c>
      <c r="G26" s="330">
        <v>8.6468750934980001</v>
      </c>
      <c r="H26" s="332">
        <v>1.093</v>
      </c>
      <c r="I26" s="329">
        <v>9.3650000000000002</v>
      </c>
      <c r="J26" s="330">
        <v>0.71812490650100003</v>
      </c>
      <c r="K26" s="333">
        <v>0.722033482133</v>
      </c>
    </row>
    <row r="27" spans="1:11" ht="14.4" customHeight="1" thickBot="1" x14ac:dyDescent="0.35">
      <c r="A27" s="351" t="s">
        <v>226</v>
      </c>
      <c r="B27" s="329">
        <v>54.999998267633003</v>
      </c>
      <c r="C27" s="329">
        <v>57.856000000000002</v>
      </c>
      <c r="D27" s="330">
        <v>2.8560017323659999</v>
      </c>
      <c r="E27" s="331">
        <v>1.0519273058600001</v>
      </c>
      <c r="F27" s="329">
        <v>57.096490320740003</v>
      </c>
      <c r="G27" s="330">
        <v>38.064326880492999</v>
      </c>
      <c r="H27" s="332">
        <v>1.8109999999999999</v>
      </c>
      <c r="I27" s="329">
        <v>37.036000000000001</v>
      </c>
      <c r="J27" s="330">
        <v>-1.0283268804929999</v>
      </c>
      <c r="K27" s="333">
        <v>0.64865633232300002</v>
      </c>
    </row>
    <row r="28" spans="1:11" ht="14.4" customHeight="1" thickBot="1" x14ac:dyDescent="0.35">
      <c r="A28" s="352" t="s">
        <v>227</v>
      </c>
      <c r="B28" s="334">
        <v>109.147415189246</v>
      </c>
      <c r="C28" s="334">
        <v>81.778840000000002</v>
      </c>
      <c r="D28" s="335">
        <v>-27.368575189245998</v>
      </c>
      <c r="E28" s="336">
        <v>0.74925127505900002</v>
      </c>
      <c r="F28" s="334">
        <v>58.741424482898999</v>
      </c>
      <c r="G28" s="335">
        <v>39.160949655266002</v>
      </c>
      <c r="H28" s="337">
        <v>3.3079999999999998</v>
      </c>
      <c r="I28" s="334">
        <v>51.032699999999998</v>
      </c>
      <c r="J28" s="335">
        <v>11.871750344733</v>
      </c>
      <c r="K28" s="338">
        <v>0.86876851300799995</v>
      </c>
    </row>
    <row r="29" spans="1:11" ht="14.4" customHeight="1" thickBot="1" x14ac:dyDescent="0.35">
      <c r="A29" s="349" t="s">
        <v>31</v>
      </c>
      <c r="B29" s="329">
        <v>24.539564812719998</v>
      </c>
      <c r="C29" s="329">
        <v>3.6142699999999999</v>
      </c>
      <c r="D29" s="330">
        <v>-20.925294812720001</v>
      </c>
      <c r="E29" s="331">
        <v>0.14728337798899999</v>
      </c>
      <c r="F29" s="329">
        <v>4.5623317729219997</v>
      </c>
      <c r="G29" s="330">
        <v>3.0415545152810002</v>
      </c>
      <c r="H29" s="332">
        <v>0</v>
      </c>
      <c r="I29" s="329">
        <v>0</v>
      </c>
      <c r="J29" s="330">
        <v>-3.0415545152810002</v>
      </c>
      <c r="K29" s="333">
        <v>0</v>
      </c>
    </row>
    <row r="30" spans="1:11" ht="14.4" customHeight="1" thickBot="1" x14ac:dyDescent="0.35">
      <c r="A30" s="353" t="s">
        <v>228</v>
      </c>
      <c r="B30" s="329">
        <v>24.539564812719998</v>
      </c>
      <c r="C30" s="329">
        <v>3.6142699999999999</v>
      </c>
      <c r="D30" s="330">
        <v>-20.925294812720001</v>
      </c>
      <c r="E30" s="331">
        <v>0.14728337798899999</v>
      </c>
      <c r="F30" s="329">
        <v>4.5623317729219997</v>
      </c>
      <c r="G30" s="330">
        <v>3.0415545152810002</v>
      </c>
      <c r="H30" s="332">
        <v>0</v>
      </c>
      <c r="I30" s="329">
        <v>0</v>
      </c>
      <c r="J30" s="330">
        <v>-3.0415545152810002</v>
      </c>
      <c r="K30" s="333">
        <v>0</v>
      </c>
    </row>
    <row r="31" spans="1:11" ht="14.4" customHeight="1" thickBot="1" x14ac:dyDescent="0.35">
      <c r="A31" s="351" t="s">
        <v>229</v>
      </c>
      <c r="B31" s="329">
        <v>0</v>
      </c>
      <c r="C31" s="329">
        <v>1.8754999999999999</v>
      </c>
      <c r="D31" s="330">
        <v>1.8754999999999999</v>
      </c>
      <c r="E31" s="341" t="s">
        <v>230</v>
      </c>
      <c r="F31" s="329">
        <v>2.9861159676079998</v>
      </c>
      <c r="G31" s="330">
        <v>1.9907439784050001</v>
      </c>
      <c r="H31" s="332">
        <v>0</v>
      </c>
      <c r="I31" s="329">
        <v>0</v>
      </c>
      <c r="J31" s="330">
        <v>-1.9907439784050001</v>
      </c>
      <c r="K31" s="333">
        <v>0</v>
      </c>
    </row>
    <row r="32" spans="1:11" ht="14.4" customHeight="1" thickBot="1" x14ac:dyDescent="0.35">
      <c r="A32" s="351" t="s">
        <v>231</v>
      </c>
      <c r="B32" s="329">
        <v>23.999999244057999</v>
      </c>
      <c r="C32" s="329">
        <v>1.05633</v>
      </c>
      <c r="D32" s="330">
        <v>-22.943669244058</v>
      </c>
      <c r="E32" s="331">
        <v>4.4013751386E-2</v>
      </c>
      <c r="F32" s="329">
        <v>1.085631331711</v>
      </c>
      <c r="G32" s="330">
        <v>0.72375422114099996</v>
      </c>
      <c r="H32" s="332">
        <v>0</v>
      </c>
      <c r="I32" s="329">
        <v>0</v>
      </c>
      <c r="J32" s="330">
        <v>-0.72375422114099996</v>
      </c>
      <c r="K32" s="333">
        <v>0</v>
      </c>
    </row>
    <row r="33" spans="1:11" ht="14.4" customHeight="1" thickBot="1" x14ac:dyDescent="0.35">
      <c r="A33" s="351" t="s">
        <v>232</v>
      </c>
      <c r="B33" s="329">
        <v>0.53956556866200001</v>
      </c>
      <c r="C33" s="329">
        <v>0.68244000000000005</v>
      </c>
      <c r="D33" s="330">
        <v>0.14287443133700001</v>
      </c>
      <c r="E33" s="331">
        <v>1.264795308736</v>
      </c>
      <c r="F33" s="329">
        <v>0.49058447360099999</v>
      </c>
      <c r="G33" s="330">
        <v>0.32705631573400001</v>
      </c>
      <c r="H33" s="332">
        <v>0</v>
      </c>
      <c r="I33" s="329">
        <v>0</v>
      </c>
      <c r="J33" s="330">
        <v>-0.32705631573400001</v>
      </c>
      <c r="K33" s="333">
        <v>0</v>
      </c>
    </row>
    <row r="34" spans="1:11" ht="14.4" customHeight="1" thickBot="1" x14ac:dyDescent="0.35">
      <c r="A34" s="354" t="s">
        <v>32</v>
      </c>
      <c r="B34" s="334">
        <v>0</v>
      </c>
      <c r="C34" s="334">
        <v>26.37</v>
      </c>
      <c r="D34" s="335">
        <v>26.37</v>
      </c>
      <c r="E34" s="342" t="s">
        <v>204</v>
      </c>
      <c r="F34" s="334">
        <v>0</v>
      </c>
      <c r="G34" s="335">
        <v>0</v>
      </c>
      <c r="H34" s="337">
        <v>0</v>
      </c>
      <c r="I34" s="334">
        <v>12.324</v>
      </c>
      <c r="J34" s="335">
        <v>12.324</v>
      </c>
      <c r="K34" s="339" t="s">
        <v>204</v>
      </c>
    </row>
    <row r="35" spans="1:11" ht="14.4" customHeight="1" thickBot="1" x14ac:dyDescent="0.35">
      <c r="A35" s="350" t="s">
        <v>233</v>
      </c>
      <c r="B35" s="334">
        <v>0</v>
      </c>
      <c r="C35" s="334">
        <v>26.37</v>
      </c>
      <c r="D35" s="335">
        <v>26.37</v>
      </c>
      <c r="E35" s="342" t="s">
        <v>204</v>
      </c>
      <c r="F35" s="334">
        <v>0</v>
      </c>
      <c r="G35" s="335">
        <v>0</v>
      </c>
      <c r="H35" s="337">
        <v>0</v>
      </c>
      <c r="I35" s="334">
        <v>12.324</v>
      </c>
      <c r="J35" s="335">
        <v>12.324</v>
      </c>
      <c r="K35" s="339" t="s">
        <v>204</v>
      </c>
    </row>
    <row r="36" spans="1:11" ht="14.4" customHeight="1" thickBot="1" x14ac:dyDescent="0.35">
      <c r="A36" s="351" t="s">
        <v>234</v>
      </c>
      <c r="B36" s="329">
        <v>0</v>
      </c>
      <c r="C36" s="329">
        <v>26.37</v>
      </c>
      <c r="D36" s="330">
        <v>26.37</v>
      </c>
      <c r="E36" s="341" t="s">
        <v>204</v>
      </c>
      <c r="F36" s="329">
        <v>0</v>
      </c>
      <c r="G36" s="330">
        <v>0</v>
      </c>
      <c r="H36" s="332">
        <v>0</v>
      </c>
      <c r="I36" s="329">
        <v>12.324</v>
      </c>
      <c r="J36" s="330">
        <v>12.324</v>
      </c>
      <c r="K36" s="340" t="s">
        <v>204</v>
      </c>
    </row>
    <row r="37" spans="1:11" ht="14.4" customHeight="1" thickBot="1" x14ac:dyDescent="0.35">
      <c r="A37" s="349" t="s">
        <v>33</v>
      </c>
      <c r="B37" s="329">
        <v>84.607850376524993</v>
      </c>
      <c r="C37" s="329">
        <v>51.79457</v>
      </c>
      <c r="D37" s="330">
        <v>-32.813280376525</v>
      </c>
      <c r="E37" s="331">
        <v>0.61217215387799995</v>
      </c>
      <c r="F37" s="329">
        <v>54.179092709975997</v>
      </c>
      <c r="G37" s="330">
        <v>36.119395139984</v>
      </c>
      <c r="H37" s="332">
        <v>3.3079999999999998</v>
      </c>
      <c r="I37" s="329">
        <v>38.7087</v>
      </c>
      <c r="J37" s="330">
        <v>2.5893048600149999</v>
      </c>
      <c r="K37" s="333">
        <v>0.71445825435300003</v>
      </c>
    </row>
    <row r="38" spans="1:11" ht="14.4" customHeight="1" thickBot="1" x14ac:dyDescent="0.35">
      <c r="A38" s="350" t="s">
        <v>235</v>
      </c>
      <c r="B38" s="334">
        <v>8.8563115784110007</v>
      </c>
      <c r="C38" s="334">
        <v>8.3274299999999997</v>
      </c>
      <c r="D38" s="335">
        <v>-0.52888157841100003</v>
      </c>
      <c r="E38" s="336">
        <v>0.94028195894699995</v>
      </c>
      <c r="F38" s="334">
        <v>6.3396987651850001</v>
      </c>
      <c r="G38" s="335">
        <v>4.2264658434560003</v>
      </c>
      <c r="H38" s="337">
        <v>0.54825000000000002</v>
      </c>
      <c r="I38" s="334">
        <v>6.4066900000000002</v>
      </c>
      <c r="J38" s="335">
        <v>2.1802241565429998</v>
      </c>
      <c r="K38" s="338">
        <v>1.010566942893</v>
      </c>
    </row>
    <row r="39" spans="1:11" ht="14.4" customHeight="1" thickBot="1" x14ac:dyDescent="0.35">
      <c r="A39" s="351" t="s">
        <v>236</v>
      </c>
      <c r="B39" s="329">
        <v>6.2557766761220002</v>
      </c>
      <c r="C39" s="329">
        <v>6.5987999999999998</v>
      </c>
      <c r="D39" s="330">
        <v>0.34302332387700002</v>
      </c>
      <c r="E39" s="331">
        <v>1.0548330513749999</v>
      </c>
      <c r="F39" s="329">
        <v>4.4386294620950002</v>
      </c>
      <c r="G39" s="330">
        <v>2.9590863080630001</v>
      </c>
      <c r="H39" s="332">
        <v>0.3155</v>
      </c>
      <c r="I39" s="329">
        <v>4.0593000000000004</v>
      </c>
      <c r="J39" s="330">
        <v>1.1002136919359999</v>
      </c>
      <c r="K39" s="333">
        <v>0.91453905640499999</v>
      </c>
    </row>
    <row r="40" spans="1:11" ht="14.4" customHeight="1" thickBot="1" x14ac:dyDescent="0.35">
      <c r="A40" s="351" t="s">
        <v>237</v>
      </c>
      <c r="B40" s="329">
        <v>2.600534902288</v>
      </c>
      <c r="C40" s="329">
        <v>1.7286300000000001</v>
      </c>
      <c r="D40" s="330">
        <v>-0.87190490228799999</v>
      </c>
      <c r="E40" s="331">
        <v>0.66472093817199995</v>
      </c>
      <c r="F40" s="329">
        <v>1.901069303089</v>
      </c>
      <c r="G40" s="330">
        <v>1.267379535393</v>
      </c>
      <c r="H40" s="332">
        <v>0.23275000000000001</v>
      </c>
      <c r="I40" s="329">
        <v>2.3473899999999999</v>
      </c>
      <c r="J40" s="330">
        <v>1.080010464606</v>
      </c>
      <c r="K40" s="333">
        <v>1.2347735015150001</v>
      </c>
    </row>
    <row r="41" spans="1:11" ht="14.4" customHeight="1" thickBot="1" x14ac:dyDescent="0.35">
      <c r="A41" s="350" t="s">
        <v>238</v>
      </c>
      <c r="B41" s="334">
        <v>4.9999998425119996</v>
      </c>
      <c r="C41" s="334">
        <v>4.4550000000000001</v>
      </c>
      <c r="D41" s="335">
        <v>-0.54499984251199995</v>
      </c>
      <c r="E41" s="336">
        <v>0.89100002806400003</v>
      </c>
      <c r="F41" s="334">
        <v>3.9999936338570001</v>
      </c>
      <c r="G41" s="335">
        <v>2.6666624225710001</v>
      </c>
      <c r="H41" s="337">
        <v>0</v>
      </c>
      <c r="I41" s="334">
        <v>3.24</v>
      </c>
      <c r="J41" s="335">
        <v>0.57333757742799996</v>
      </c>
      <c r="K41" s="338">
        <v>0.81000128914500003</v>
      </c>
    </row>
    <row r="42" spans="1:11" ht="14.4" customHeight="1" thickBot="1" x14ac:dyDescent="0.35">
      <c r="A42" s="351" t="s">
        <v>239</v>
      </c>
      <c r="B42" s="329">
        <v>4.9999998425119996</v>
      </c>
      <c r="C42" s="329">
        <v>4.4550000000000001</v>
      </c>
      <c r="D42" s="330">
        <v>-0.54499984251199995</v>
      </c>
      <c r="E42" s="331">
        <v>0.89100002806400003</v>
      </c>
      <c r="F42" s="329">
        <v>3.9999936338570001</v>
      </c>
      <c r="G42" s="330">
        <v>2.6666624225710001</v>
      </c>
      <c r="H42" s="332">
        <v>0</v>
      </c>
      <c r="I42" s="329">
        <v>3.24</v>
      </c>
      <c r="J42" s="330">
        <v>0.57333757742799996</v>
      </c>
      <c r="K42" s="333">
        <v>0.81000128914500003</v>
      </c>
    </row>
    <row r="43" spans="1:11" ht="14.4" customHeight="1" thickBot="1" x14ac:dyDescent="0.35">
      <c r="A43" s="350" t="s">
        <v>240</v>
      </c>
      <c r="B43" s="334">
        <v>70.751538955602001</v>
      </c>
      <c r="C43" s="334">
        <v>39.012140000000002</v>
      </c>
      <c r="D43" s="335">
        <v>-31.739398955601001</v>
      </c>
      <c r="E43" s="336">
        <v>0.55139634523600001</v>
      </c>
      <c r="F43" s="334">
        <v>39.839406677074997</v>
      </c>
      <c r="G43" s="335">
        <v>26.559604451382999</v>
      </c>
      <c r="H43" s="337">
        <v>2.7597499999999999</v>
      </c>
      <c r="I43" s="334">
        <v>26.12201</v>
      </c>
      <c r="J43" s="335">
        <v>-0.43759445138300002</v>
      </c>
      <c r="K43" s="338">
        <v>0.65568270661500005</v>
      </c>
    </row>
    <row r="44" spans="1:11" ht="14.4" customHeight="1" thickBot="1" x14ac:dyDescent="0.35">
      <c r="A44" s="351" t="s">
        <v>241</v>
      </c>
      <c r="B44" s="329">
        <v>67.518812293758998</v>
      </c>
      <c r="C44" s="329">
        <v>39.012140000000002</v>
      </c>
      <c r="D44" s="330">
        <v>-28.506672293758999</v>
      </c>
      <c r="E44" s="331">
        <v>0.57779659734300004</v>
      </c>
      <c r="F44" s="329">
        <v>39.839406677074997</v>
      </c>
      <c r="G44" s="330">
        <v>26.559604451382999</v>
      </c>
      <c r="H44" s="332">
        <v>2.7597499999999999</v>
      </c>
      <c r="I44" s="329">
        <v>26.12201</v>
      </c>
      <c r="J44" s="330">
        <v>-0.43759445138300002</v>
      </c>
      <c r="K44" s="333">
        <v>0.65568270661500005</v>
      </c>
    </row>
    <row r="45" spans="1:11" ht="14.4" customHeight="1" thickBot="1" x14ac:dyDescent="0.35">
      <c r="A45" s="351" t="s">
        <v>242</v>
      </c>
      <c r="B45" s="329">
        <v>3.2327266618419999</v>
      </c>
      <c r="C45" s="329">
        <v>0</v>
      </c>
      <c r="D45" s="330">
        <v>-3.2327266618419999</v>
      </c>
      <c r="E45" s="331">
        <v>0</v>
      </c>
      <c r="F45" s="329">
        <v>0</v>
      </c>
      <c r="G45" s="330">
        <v>0</v>
      </c>
      <c r="H45" s="332">
        <v>0</v>
      </c>
      <c r="I45" s="329">
        <v>0</v>
      </c>
      <c r="J45" s="330">
        <v>0</v>
      </c>
      <c r="K45" s="333">
        <v>8</v>
      </c>
    </row>
    <row r="46" spans="1:11" ht="14.4" customHeight="1" thickBot="1" x14ac:dyDescent="0.35">
      <c r="A46" s="350" t="s">
        <v>243</v>
      </c>
      <c r="B46" s="334">
        <v>0</v>
      </c>
      <c r="C46" s="334">
        <v>0</v>
      </c>
      <c r="D46" s="335">
        <v>0</v>
      </c>
      <c r="E46" s="342" t="s">
        <v>204</v>
      </c>
      <c r="F46" s="334">
        <v>3.9999936338570001</v>
      </c>
      <c r="G46" s="335">
        <v>2.6666624225710001</v>
      </c>
      <c r="H46" s="337">
        <v>0</v>
      </c>
      <c r="I46" s="334">
        <v>2.94</v>
      </c>
      <c r="J46" s="335">
        <v>0.27333757742800002</v>
      </c>
      <c r="K46" s="338">
        <v>0.73500116977999996</v>
      </c>
    </row>
    <row r="47" spans="1:11" ht="14.4" customHeight="1" thickBot="1" x14ac:dyDescent="0.35">
      <c r="A47" s="351" t="s">
        <v>244</v>
      </c>
      <c r="B47" s="329">
        <v>0</v>
      </c>
      <c r="C47" s="329">
        <v>0</v>
      </c>
      <c r="D47" s="330">
        <v>0</v>
      </c>
      <c r="E47" s="341" t="s">
        <v>204</v>
      </c>
      <c r="F47" s="329">
        <v>3.9999936338570001</v>
      </c>
      <c r="G47" s="330">
        <v>2.6666624225710001</v>
      </c>
      <c r="H47" s="332">
        <v>0</v>
      </c>
      <c r="I47" s="329">
        <v>2.94</v>
      </c>
      <c r="J47" s="330">
        <v>0.27333757742800002</v>
      </c>
      <c r="K47" s="333">
        <v>0.73500116977999996</v>
      </c>
    </row>
    <row r="48" spans="1:11" ht="14.4" customHeight="1" thickBot="1" x14ac:dyDescent="0.35">
      <c r="A48" s="348" t="s">
        <v>34</v>
      </c>
      <c r="B48" s="329">
        <v>7035.9997783830504</v>
      </c>
      <c r="C48" s="329">
        <v>7160.9778299999998</v>
      </c>
      <c r="D48" s="330">
        <v>124.97805161694799</v>
      </c>
      <c r="E48" s="331">
        <v>1.0177626571280001</v>
      </c>
      <c r="F48" s="329">
        <v>7196.0006496512297</v>
      </c>
      <c r="G48" s="330">
        <v>4797.3337664341598</v>
      </c>
      <c r="H48" s="332">
        <v>599.03958999999998</v>
      </c>
      <c r="I48" s="329">
        <v>4970.2028099999998</v>
      </c>
      <c r="J48" s="330">
        <v>172.869043565846</v>
      </c>
      <c r="K48" s="333">
        <v>0.69068959995699997</v>
      </c>
    </row>
    <row r="49" spans="1:11" ht="14.4" customHeight="1" thickBot="1" x14ac:dyDescent="0.35">
      <c r="A49" s="354" t="s">
        <v>245</v>
      </c>
      <c r="B49" s="334">
        <v>5215.9998357086397</v>
      </c>
      <c r="C49" s="334">
        <v>5306.3630000000003</v>
      </c>
      <c r="D49" s="335">
        <v>90.363164291358004</v>
      </c>
      <c r="E49" s="336">
        <v>1.0173242268280001</v>
      </c>
      <c r="F49" s="334">
        <v>5315.0004798355103</v>
      </c>
      <c r="G49" s="335">
        <v>3543.3336532236699</v>
      </c>
      <c r="H49" s="337">
        <v>444.327</v>
      </c>
      <c r="I49" s="334">
        <v>3674.4580000000001</v>
      </c>
      <c r="J49" s="335">
        <v>131.12434677632899</v>
      </c>
      <c r="K49" s="338">
        <v>0.69133728471699996</v>
      </c>
    </row>
    <row r="50" spans="1:11" ht="14.4" customHeight="1" thickBot="1" x14ac:dyDescent="0.35">
      <c r="A50" s="350" t="s">
        <v>246</v>
      </c>
      <c r="B50" s="334">
        <v>5199.9998362125998</v>
      </c>
      <c r="C50" s="334">
        <v>5298.6679999999997</v>
      </c>
      <c r="D50" s="335">
        <v>98.668163787398001</v>
      </c>
      <c r="E50" s="336">
        <v>1.018974647479</v>
      </c>
      <c r="F50" s="334">
        <v>5300.00047848131</v>
      </c>
      <c r="G50" s="335">
        <v>3533.33365232088</v>
      </c>
      <c r="H50" s="337">
        <v>435.43099999999998</v>
      </c>
      <c r="I50" s="334">
        <v>3648.9140000000002</v>
      </c>
      <c r="J50" s="335">
        <v>115.580347679125</v>
      </c>
      <c r="K50" s="338">
        <v>0.68847427746699996</v>
      </c>
    </row>
    <row r="51" spans="1:11" ht="14.4" customHeight="1" thickBot="1" x14ac:dyDescent="0.35">
      <c r="A51" s="351" t="s">
        <v>247</v>
      </c>
      <c r="B51" s="329">
        <v>5199.9998362125998</v>
      </c>
      <c r="C51" s="329">
        <v>5298.6679999999997</v>
      </c>
      <c r="D51" s="330">
        <v>98.668163787398001</v>
      </c>
      <c r="E51" s="331">
        <v>1.018974647479</v>
      </c>
      <c r="F51" s="329">
        <v>5300.00047848131</v>
      </c>
      <c r="G51" s="330">
        <v>3533.33365232088</v>
      </c>
      <c r="H51" s="332">
        <v>435.43099999999998</v>
      </c>
      <c r="I51" s="329">
        <v>3648.9140000000002</v>
      </c>
      <c r="J51" s="330">
        <v>115.580347679125</v>
      </c>
      <c r="K51" s="333">
        <v>0.68847427746699996</v>
      </c>
    </row>
    <row r="52" spans="1:11" ht="14.4" customHeight="1" thickBot="1" x14ac:dyDescent="0.35">
      <c r="A52" s="350" t="s">
        <v>248</v>
      </c>
      <c r="B52" s="334">
        <v>15.999999496038001</v>
      </c>
      <c r="C52" s="334">
        <v>7.6950000000000003</v>
      </c>
      <c r="D52" s="335">
        <v>-8.3049994960380005</v>
      </c>
      <c r="E52" s="336">
        <v>0.48093751514799998</v>
      </c>
      <c r="F52" s="334">
        <v>15.000001354191999</v>
      </c>
      <c r="G52" s="335">
        <v>10.000000902794</v>
      </c>
      <c r="H52" s="337">
        <v>8.8960000000000008</v>
      </c>
      <c r="I52" s="334">
        <v>25.544</v>
      </c>
      <c r="J52" s="335">
        <v>15.543999097205001</v>
      </c>
      <c r="K52" s="338">
        <v>1.7029331795930001</v>
      </c>
    </row>
    <row r="53" spans="1:11" ht="14.4" customHeight="1" thickBot="1" x14ac:dyDescent="0.35">
      <c r="A53" s="351" t="s">
        <v>249</v>
      </c>
      <c r="B53" s="329">
        <v>15.999999496038001</v>
      </c>
      <c r="C53" s="329">
        <v>7.6950000000000003</v>
      </c>
      <c r="D53" s="330">
        <v>-8.3049994960380005</v>
      </c>
      <c r="E53" s="331">
        <v>0.48093751514799998</v>
      </c>
      <c r="F53" s="329">
        <v>15.000001354191999</v>
      </c>
      <c r="G53" s="330">
        <v>10.000000902794</v>
      </c>
      <c r="H53" s="332">
        <v>8.8960000000000008</v>
      </c>
      <c r="I53" s="329">
        <v>25.544</v>
      </c>
      <c r="J53" s="330">
        <v>15.543999097205001</v>
      </c>
      <c r="K53" s="333">
        <v>1.7029331795930001</v>
      </c>
    </row>
    <row r="54" spans="1:11" ht="14.4" customHeight="1" thickBot="1" x14ac:dyDescent="0.35">
      <c r="A54" s="349" t="s">
        <v>250</v>
      </c>
      <c r="B54" s="329">
        <v>1767.9999443122799</v>
      </c>
      <c r="C54" s="329">
        <v>1801.55223</v>
      </c>
      <c r="D54" s="330">
        <v>33.552285687714999</v>
      </c>
      <c r="E54" s="331">
        <v>1.018977537751</v>
      </c>
      <c r="F54" s="329">
        <v>1802.0001626836499</v>
      </c>
      <c r="G54" s="330">
        <v>1201.3334417891001</v>
      </c>
      <c r="H54" s="332">
        <v>148.04775000000001</v>
      </c>
      <c r="I54" s="329">
        <v>1240.6268399999999</v>
      </c>
      <c r="J54" s="330">
        <v>39.293398210901998</v>
      </c>
      <c r="K54" s="333">
        <v>0.68847210210700005</v>
      </c>
    </row>
    <row r="55" spans="1:11" ht="14.4" customHeight="1" thickBot="1" x14ac:dyDescent="0.35">
      <c r="A55" s="350" t="s">
        <v>251</v>
      </c>
      <c r="B55" s="334">
        <v>467.99998525913401</v>
      </c>
      <c r="C55" s="334">
        <v>476.88522</v>
      </c>
      <c r="D55" s="335">
        <v>8.8852347408650001</v>
      </c>
      <c r="E55" s="336">
        <v>1.0189855449159999</v>
      </c>
      <c r="F55" s="334">
        <v>477.000043063318</v>
      </c>
      <c r="G55" s="335">
        <v>318.00002870887897</v>
      </c>
      <c r="H55" s="337">
        <v>39.19</v>
      </c>
      <c r="I55" s="334">
        <v>328.39834000000002</v>
      </c>
      <c r="J55" s="335">
        <v>10.398311291121001</v>
      </c>
      <c r="K55" s="338">
        <v>0.68846605943799999</v>
      </c>
    </row>
    <row r="56" spans="1:11" ht="14.4" customHeight="1" thickBot="1" x14ac:dyDescent="0.35">
      <c r="A56" s="351" t="s">
        <v>252</v>
      </c>
      <c r="B56" s="329">
        <v>467.99998525913401</v>
      </c>
      <c r="C56" s="329">
        <v>476.88522</v>
      </c>
      <c r="D56" s="330">
        <v>8.8852347408650001</v>
      </c>
      <c r="E56" s="331">
        <v>1.0189855449159999</v>
      </c>
      <c r="F56" s="329">
        <v>477.000043063318</v>
      </c>
      <c r="G56" s="330">
        <v>318.00002870887897</v>
      </c>
      <c r="H56" s="332">
        <v>39.19</v>
      </c>
      <c r="I56" s="329">
        <v>328.39834000000002</v>
      </c>
      <c r="J56" s="330">
        <v>10.398311291121001</v>
      </c>
      <c r="K56" s="333">
        <v>0.68846605943799999</v>
      </c>
    </row>
    <row r="57" spans="1:11" ht="14.4" customHeight="1" thickBot="1" x14ac:dyDescent="0.35">
      <c r="A57" s="350" t="s">
        <v>253</v>
      </c>
      <c r="B57" s="334">
        <v>1299.99995905315</v>
      </c>
      <c r="C57" s="334">
        <v>1324.6670099999999</v>
      </c>
      <c r="D57" s="335">
        <v>24.667050946848999</v>
      </c>
      <c r="E57" s="336">
        <v>1.018974655172</v>
      </c>
      <c r="F57" s="334">
        <v>1325.00011962033</v>
      </c>
      <c r="G57" s="335">
        <v>883.33341308021897</v>
      </c>
      <c r="H57" s="337">
        <v>108.85775</v>
      </c>
      <c r="I57" s="334">
        <v>912.22850000000005</v>
      </c>
      <c r="J57" s="335">
        <v>28.895086919781001</v>
      </c>
      <c r="K57" s="338">
        <v>0.68847427746699996</v>
      </c>
    </row>
    <row r="58" spans="1:11" ht="14.4" customHeight="1" thickBot="1" x14ac:dyDescent="0.35">
      <c r="A58" s="351" t="s">
        <v>254</v>
      </c>
      <c r="B58" s="329">
        <v>1299.99995905315</v>
      </c>
      <c r="C58" s="329">
        <v>1324.6670099999999</v>
      </c>
      <c r="D58" s="330">
        <v>24.667050946848999</v>
      </c>
      <c r="E58" s="331">
        <v>1.018974655172</v>
      </c>
      <c r="F58" s="329">
        <v>1325.00011962033</v>
      </c>
      <c r="G58" s="330">
        <v>883.33341308021897</v>
      </c>
      <c r="H58" s="332">
        <v>108.85775</v>
      </c>
      <c r="I58" s="329">
        <v>912.22850000000005</v>
      </c>
      <c r="J58" s="330">
        <v>28.895086919781001</v>
      </c>
      <c r="K58" s="333">
        <v>0.68847427746699996</v>
      </c>
    </row>
    <row r="59" spans="1:11" ht="14.4" customHeight="1" thickBot="1" x14ac:dyDescent="0.35">
      <c r="A59" s="349" t="s">
        <v>255</v>
      </c>
      <c r="B59" s="329">
        <v>51.999998362126</v>
      </c>
      <c r="C59" s="329">
        <v>53.062600000000003</v>
      </c>
      <c r="D59" s="330">
        <v>1.0626016378730001</v>
      </c>
      <c r="E59" s="331">
        <v>1.0204346475249999</v>
      </c>
      <c r="F59" s="329">
        <v>79.00000713208</v>
      </c>
      <c r="G59" s="330">
        <v>52.666671421385999</v>
      </c>
      <c r="H59" s="332">
        <v>6.6648399999999999</v>
      </c>
      <c r="I59" s="329">
        <v>55.11797</v>
      </c>
      <c r="J59" s="330">
        <v>2.4512985786130002</v>
      </c>
      <c r="K59" s="333">
        <v>0.69769575979700005</v>
      </c>
    </row>
    <row r="60" spans="1:11" ht="14.4" customHeight="1" thickBot="1" x14ac:dyDescent="0.35">
      <c r="A60" s="350" t="s">
        <v>256</v>
      </c>
      <c r="B60" s="334">
        <v>51.999998362126</v>
      </c>
      <c r="C60" s="334">
        <v>53.062600000000003</v>
      </c>
      <c r="D60" s="335">
        <v>1.0626016378730001</v>
      </c>
      <c r="E60" s="336">
        <v>1.0204346475249999</v>
      </c>
      <c r="F60" s="334">
        <v>79.00000713208</v>
      </c>
      <c r="G60" s="335">
        <v>52.666671421385999</v>
      </c>
      <c r="H60" s="337">
        <v>6.6648399999999999</v>
      </c>
      <c r="I60" s="334">
        <v>55.11797</v>
      </c>
      <c r="J60" s="335">
        <v>2.4512985786130002</v>
      </c>
      <c r="K60" s="338">
        <v>0.69769575979700005</v>
      </c>
    </row>
    <row r="61" spans="1:11" ht="14.4" customHeight="1" thickBot="1" x14ac:dyDescent="0.35">
      <c r="A61" s="351" t="s">
        <v>257</v>
      </c>
      <c r="B61" s="329">
        <v>51.999998362126</v>
      </c>
      <c r="C61" s="329">
        <v>53.062600000000003</v>
      </c>
      <c r="D61" s="330">
        <v>1.0626016378730001</v>
      </c>
      <c r="E61" s="331">
        <v>1.0204346475249999</v>
      </c>
      <c r="F61" s="329">
        <v>79.00000713208</v>
      </c>
      <c r="G61" s="330">
        <v>52.666671421385999</v>
      </c>
      <c r="H61" s="332">
        <v>6.6648399999999999</v>
      </c>
      <c r="I61" s="329">
        <v>55.11797</v>
      </c>
      <c r="J61" s="330">
        <v>2.4512985786130002</v>
      </c>
      <c r="K61" s="333">
        <v>0.69769575979700005</v>
      </c>
    </row>
    <row r="62" spans="1:11" ht="14.4" customHeight="1" thickBot="1" x14ac:dyDescent="0.35">
      <c r="A62" s="348" t="s">
        <v>258</v>
      </c>
      <c r="B62" s="329">
        <v>0</v>
      </c>
      <c r="C62" s="329">
        <v>70.935000000000002</v>
      </c>
      <c r="D62" s="330">
        <v>70.935000000000002</v>
      </c>
      <c r="E62" s="341" t="s">
        <v>204</v>
      </c>
      <c r="F62" s="329">
        <v>0</v>
      </c>
      <c r="G62" s="330">
        <v>0</v>
      </c>
      <c r="H62" s="332">
        <v>0</v>
      </c>
      <c r="I62" s="329">
        <v>47.3</v>
      </c>
      <c r="J62" s="330">
        <v>47.3</v>
      </c>
      <c r="K62" s="340" t="s">
        <v>204</v>
      </c>
    </row>
    <row r="63" spans="1:11" ht="14.4" customHeight="1" thickBot="1" x14ac:dyDescent="0.35">
      <c r="A63" s="349" t="s">
        <v>259</v>
      </c>
      <c r="B63" s="329">
        <v>0</v>
      </c>
      <c r="C63" s="329">
        <v>70.935000000000002</v>
      </c>
      <c r="D63" s="330">
        <v>70.935000000000002</v>
      </c>
      <c r="E63" s="341" t="s">
        <v>204</v>
      </c>
      <c r="F63" s="329">
        <v>0</v>
      </c>
      <c r="G63" s="330">
        <v>0</v>
      </c>
      <c r="H63" s="332">
        <v>0</v>
      </c>
      <c r="I63" s="329">
        <v>47.3</v>
      </c>
      <c r="J63" s="330">
        <v>47.3</v>
      </c>
      <c r="K63" s="340" t="s">
        <v>204</v>
      </c>
    </row>
    <row r="64" spans="1:11" ht="14.4" customHeight="1" thickBot="1" x14ac:dyDescent="0.35">
      <c r="A64" s="350" t="s">
        <v>260</v>
      </c>
      <c r="B64" s="334">
        <v>0</v>
      </c>
      <c r="C64" s="334">
        <v>8.0850000000000009</v>
      </c>
      <c r="D64" s="335">
        <v>8.0850000000000009</v>
      </c>
      <c r="E64" s="342" t="s">
        <v>204</v>
      </c>
      <c r="F64" s="334">
        <v>0</v>
      </c>
      <c r="G64" s="335">
        <v>0</v>
      </c>
      <c r="H64" s="337">
        <v>0</v>
      </c>
      <c r="I64" s="334">
        <v>0</v>
      </c>
      <c r="J64" s="335">
        <v>0</v>
      </c>
      <c r="K64" s="339" t="s">
        <v>204</v>
      </c>
    </row>
    <row r="65" spans="1:11" ht="14.4" customHeight="1" thickBot="1" x14ac:dyDescent="0.35">
      <c r="A65" s="351" t="s">
        <v>261</v>
      </c>
      <c r="B65" s="329">
        <v>0</v>
      </c>
      <c r="C65" s="329">
        <v>0.14499999999999999</v>
      </c>
      <c r="D65" s="330">
        <v>0.14499999999999999</v>
      </c>
      <c r="E65" s="341" t="s">
        <v>204</v>
      </c>
      <c r="F65" s="329">
        <v>0</v>
      </c>
      <c r="G65" s="330">
        <v>0</v>
      </c>
      <c r="H65" s="332">
        <v>0</v>
      </c>
      <c r="I65" s="329">
        <v>0</v>
      </c>
      <c r="J65" s="330">
        <v>0</v>
      </c>
      <c r="K65" s="340" t="s">
        <v>204</v>
      </c>
    </row>
    <row r="66" spans="1:11" ht="14.4" customHeight="1" thickBot="1" x14ac:dyDescent="0.35">
      <c r="A66" s="351" t="s">
        <v>262</v>
      </c>
      <c r="B66" s="329">
        <v>0</v>
      </c>
      <c r="C66" s="329">
        <v>7.94</v>
      </c>
      <c r="D66" s="330">
        <v>7.94</v>
      </c>
      <c r="E66" s="341" t="s">
        <v>204</v>
      </c>
      <c r="F66" s="329">
        <v>0</v>
      </c>
      <c r="G66" s="330">
        <v>0</v>
      </c>
      <c r="H66" s="332">
        <v>0</v>
      </c>
      <c r="I66" s="329">
        <v>0</v>
      </c>
      <c r="J66" s="330">
        <v>0</v>
      </c>
      <c r="K66" s="340" t="s">
        <v>204</v>
      </c>
    </row>
    <row r="67" spans="1:11" ht="14.4" customHeight="1" thickBot="1" x14ac:dyDescent="0.35">
      <c r="A67" s="353" t="s">
        <v>263</v>
      </c>
      <c r="B67" s="329">
        <v>0</v>
      </c>
      <c r="C67" s="329">
        <v>62.85</v>
      </c>
      <c r="D67" s="330">
        <v>62.85</v>
      </c>
      <c r="E67" s="341" t="s">
        <v>204</v>
      </c>
      <c r="F67" s="329">
        <v>0</v>
      </c>
      <c r="G67" s="330">
        <v>0</v>
      </c>
      <c r="H67" s="332">
        <v>0</v>
      </c>
      <c r="I67" s="329">
        <v>47.3</v>
      </c>
      <c r="J67" s="330">
        <v>47.3</v>
      </c>
      <c r="K67" s="340" t="s">
        <v>204</v>
      </c>
    </row>
    <row r="68" spans="1:11" ht="14.4" customHeight="1" thickBot="1" x14ac:dyDescent="0.35">
      <c r="A68" s="351" t="s">
        <v>264</v>
      </c>
      <c r="B68" s="329">
        <v>0</v>
      </c>
      <c r="C68" s="329">
        <v>62.85</v>
      </c>
      <c r="D68" s="330">
        <v>62.85</v>
      </c>
      <c r="E68" s="341" t="s">
        <v>204</v>
      </c>
      <c r="F68" s="329">
        <v>0</v>
      </c>
      <c r="G68" s="330">
        <v>0</v>
      </c>
      <c r="H68" s="332">
        <v>0</v>
      </c>
      <c r="I68" s="329">
        <v>47.3</v>
      </c>
      <c r="J68" s="330">
        <v>47.3</v>
      </c>
      <c r="K68" s="340" t="s">
        <v>204</v>
      </c>
    </row>
    <row r="69" spans="1:11" ht="14.4" customHeight="1" thickBot="1" x14ac:dyDescent="0.35">
      <c r="A69" s="348" t="s">
        <v>265</v>
      </c>
      <c r="B69" s="329">
        <v>42.999983767379</v>
      </c>
      <c r="C69" s="329">
        <v>62.68291</v>
      </c>
      <c r="D69" s="330">
        <v>19.682926232620002</v>
      </c>
      <c r="E69" s="331">
        <v>1.457742643325</v>
      </c>
      <c r="F69" s="329">
        <v>43.000099298164997</v>
      </c>
      <c r="G69" s="330">
        <v>28.666732865442999</v>
      </c>
      <c r="H69" s="332">
        <v>3.5710000000000002</v>
      </c>
      <c r="I69" s="329">
        <v>28.568000000000001</v>
      </c>
      <c r="J69" s="330">
        <v>-9.8732865443000001E-2</v>
      </c>
      <c r="K69" s="333">
        <v>0.66437055881899998</v>
      </c>
    </row>
    <row r="70" spans="1:11" ht="14.4" customHeight="1" thickBot="1" x14ac:dyDescent="0.35">
      <c r="A70" s="349" t="s">
        <v>266</v>
      </c>
      <c r="B70" s="329">
        <v>42.999983767379</v>
      </c>
      <c r="C70" s="329">
        <v>42.511000000000003</v>
      </c>
      <c r="D70" s="330">
        <v>-0.48898376737900001</v>
      </c>
      <c r="E70" s="331">
        <v>0.98862828018600002</v>
      </c>
      <c r="F70" s="329">
        <v>43.000099298164997</v>
      </c>
      <c r="G70" s="330">
        <v>28.666732865442999</v>
      </c>
      <c r="H70" s="332">
        <v>3.5710000000000002</v>
      </c>
      <c r="I70" s="329">
        <v>28.568000000000001</v>
      </c>
      <c r="J70" s="330">
        <v>-9.8732865443000001E-2</v>
      </c>
      <c r="K70" s="333">
        <v>0.66437055881899998</v>
      </c>
    </row>
    <row r="71" spans="1:11" ht="14.4" customHeight="1" thickBot="1" x14ac:dyDescent="0.35">
      <c r="A71" s="350" t="s">
        <v>267</v>
      </c>
      <c r="B71" s="334">
        <v>42.999983767379</v>
      </c>
      <c r="C71" s="334">
        <v>42.511000000000003</v>
      </c>
      <c r="D71" s="335">
        <v>-0.48898376737900001</v>
      </c>
      <c r="E71" s="336">
        <v>0.98862828018600002</v>
      </c>
      <c r="F71" s="334">
        <v>43.000099298164997</v>
      </c>
      <c r="G71" s="335">
        <v>28.666732865442999</v>
      </c>
      <c r="H71" s="337">
        <v>3.5710000000000002</v>
      </c>
      <c r="I71" s="334">
        <v>28.568000000000001</v>
      </c>
      <c r="J71" s="335">
        <v>-9.8732865443000001E-2</v>
      </c>
      <c r="K71" s="338">
        <v>0.66437055881899998</v>
      </c>
    </row>
    <row r="72" spans="1:11" ht="14.4" customHeight="1" thickBot="1" x14ac:dyDescent="0.35">
      <c r="A72" s="351" t="s">
        <v>268</v>
      </c>
      <c r="B72" s="329">
        <v>24.999999212559999</v>
      </c>
      <c r="C72" s="329">
        <v>24.832000000000001</v>
      </c>
      <c r="D72" s="330">
        <v>-0.16799921256</v>
      </c>
      <c r="E72" s="331">
        <v>0.99328003128499998</v>
      </c>
      <c r="F72" s="329">
        <v>25.000057731491001</v>
      </c>
      <c r="G72" s="330">
        <v>16.666705154327001</v>
      </c>
      <c r="H72" s="332">
        <v>2.0950000000000002</v>
      </c>
      <c r="I72" s="329">
        <v>16.760000000000002</v>
      </c>
      <c r="J72" s="330">
        <v>9.3294845671999999E-2</v>
      </c>
      <c r="K72" s="333">
        <v>0.67039845187500002</v>
      </c>
    </row>
    <row r="73" spans="1:11" ht="14.4" customHeight="1" thickBot="1" x14ac:dyDescent="0.35">
      <c r="A73" s="351" t="s">
        <v>269</v>
      </c>
      <c r="B73" s="329">
        <v>10.000083349596</v>
      </c>
      <c r="C73" s="329">
        <v>9.9120000000000008</v>
      </c>
      <c r="D73" s="330">
        <v>-8.8083349596000005E-2</v>
      </c>
      <c r="E73" s="331">
        <v>0.99119173845599995</v>
      </c>
      <c r="F73" s="329">
        <v>10.000023092596001</v>
      </c>
      <c r="G73" s="330">
        <v>6.6666820617309996</v>
      </c>
      <c r="H73" s="332">
        <v>0.82599999999999996</v>
      </c>
      <c r="I73" s="329">
        <v>6.6079999999999997</v>
      </c>
      <c r="J73" s="330">
        <v>-5.8682061730999997E-2</v>
      </c>
      <c r="K73" s="333">
        <v>0.66079847404400005</v>
      </c>
    </row>
    <row r="74" spans="1:11" ht="14.4" customHeight="1" thickBot="1" x14ac:dyDescent="0.35">
      <c r="A74" s="351" t="s">
        <v>270</v>
      </c>
      <c r="B74" s="329">
        <v>7.9999012052219998</v>
      </c>
      <c r="C74" s="329">
        <v>7.7670000000000003</v>
      </c>
      <c r="D74" s="330">
        <v>-0.232901205222</v>
      </c>
      <c r="E74" s="331">
        <v>0.97088698981999999</v>
      </c>
      <c r="F74" s="329">
        <v>8.0000184740770006</v>
      </c>
      <c r="G74" s="330">
        <v>5.3333456493840004</v>
      </c>
      <c r="H74" s="332">
        <v>0.65</v>
      </c>
      <c r="I74" s="329">
        <v>5.2</v>
      </c>
      <c r="J74" s="330">
        <v>-0.13334564938400001</v>
      </c>
      <c r="K74" s="333">
        <v>0.64999849898399997</v>
      </c>
    </row>
    <row r="75" spans="1:11" ht="14.4" customHeight="1" thickBot="1" x14ac:dyDescent="0.35">
      <c r="A75" s="349" t="s">
        <v>271</v>
      </c>
      <c r="B75" s="329">
        <v>0</v>
      </c>
      <c r="C75" s="329">
        <v>20.17191</v>
      </c>
      <c r="D75" s="330">
        <v>20.17191</v>
      </c>
      <c r="E75" s="341" t="s">
        <v>204</v>
      </c>
      <c r="F75" s="329">
        <v>0</v>
      </c>
      <c r="G75" s="330">
        <v>0</v>
      </c>
      <c r="H75" s="332">
        <v>0</v>
      </c>
      <c r="I75" s="329">
        <v>0</v>
      </c>
      <c r="J75" s="330">
        <v>0</v>
      </c>
      <c r="K75" s="340" t="s">
        <v>204</v>
      </c>
    </row>
    <row r="76" spans="1:11" ht="14.4" customHeight="1" thickBot="1" x14ac:dyDescent="0.35">
      <c r="A76" s="350" t="s">
        <v>272</v>
      </c>
      <c r="B76" s="334">
        <v>0</v>
      </c>
      <c r="C76" s="334">
        <v>20.17191</v>
      </c>
      <c r="D76" s="335">
        <v>20.17191</v>
      </c>
      <c r="E76" s="342" t="s">
        <v>204</v>
      </c>
      <c r="F76" s="334">
        <v>0</v>
      </c>
      <c r="G76" s="335">
        <v>0</v>
      </c>
      <c r="H76" s="337">
        <v>0</v>
      </c>
      <c r="I76" s="334">
        <v>0</v>
      </c>
      <c r="J76" s="335">
        <v>0</v>
      </c>
      <c r="K76" s="339" t="s">
        <v>204</v>
      </c>
    </row>
    <row r="77" spans="1:11" ht="14.4" customHeight="1" thickBot="1" x14ac:dyDescent="0.35">
      <c r="A77" s="351" t="s">
        <v>273</v>
      </c>
      <c r="B77" s="329">
        <v>0</v>
      </c>
      <c r="C77" s="329">
        <v>20.17191</v>
      </c>
      <c r="D77" s="330">
        <v>20.17191</v>
      </c>
      <c r="E77" s="341" t="s">
        <v>204</v>
      </c>
      <c r="F77" s="329">
        <v>0</v>
      </c>
      <c r="G77" s="330">
        <v>0</v>
      </c>
      <c r="H77" s="332">
        <v>0</v>
      </c>
      <c r="I77" s="329">
        <v>0</v>
      </c>
      <c r="J77" s="330">
        <v>0</v>
      </c>
      <c r="K77" s="340" t="s">
        <v>204</v>
      </c>
    </row>
    <row r="78" spans="1:11" ht="14.4" customHeight="1" thickBot="1" x14ac:dyDescent="0.35">
      <c r="A78" s="347" t="s">
        <v>274</v>
      </c>
      <c r="B78" s="329">
        <v>7662.58809836001</v>
      </c>
      <c r="C78" s="329">
        <v>8475.40906</v>
      </c>
      <c r="D78" s="330">
        <v>812.82096163998904</v>
      </c>
      <c r="E78" s="331">
        <v>1.106076556798</v>
      </c>
      <c r="F78" s="329">
        <v>8846.4635074222206</v>
      </c>
      <c r="G78" s="330">
        <v>5897.6423382814801</v>
      </c>
      <c r="H78" s="332">
        <v>622.30746999999997</v>
      </c>
      <c r="I78" s="329">
        <v>6277.8993499999997</v>
      </c>
      <c r="J78" s="330">
        <v>380.25701171852103</v>
      </c>
      <c r="K78" s="333">
        <v>0.70965073723799998</v>
      </c>
    </row>
    <row r="79" spans="1:11" ht="14.4" customHeight="1" thickBot="1" x14ac:dyDescent="0.35">
      <c r="A79" s="348" t="s">
        <v>275</v>
      </c>
      <c r="B79" s="329">
        <v>7619.58809836001</v>
      </c>
      <c r="C79" s="329">
        <v>8425.4138999999996</v>
      </c>
      <c r="D79" s="330">
        <v>805.82580163998898</v>
      </c>
      <c r="E79" s="331">
        <v>1.1057571342750001</v>
      </c>
      <c r="F79" s="329">
        <v>8806.0725152696305</v>
      </c>
      <c r="G79" s="330">
        <v>5870.7150101797597</v>
      </c>
      <c r="H79" s="332">
        <v>622.30746999999997</v>
      </c>
      <c r="I79" s="329">
        <v>6257.6684999999998</v>
      </c>
      <c r="J79" s="330">
        <v>386.95348982024501</v>
      </c>
      <c r="K79" s="333">
        <v>0.71060833182399996</v>
      </c>
    </row>
    <row r="80" spans="1:11" ht="14.4" customHeight="1" thickBot="1" x14ac:dyDescent="0.35">
      <c r="A80" s="349" t="s">
        <v>276</v>
      </c>
      <c r="B80" s="329">
        <v>7619.58809836001</v>
      </c>
      <c r="C80" s="329">
        <v>8425.4138999999996</v>
      </c>
      <c r="D80" s="330">
        <v>805.82580163998898</v>
      </c>
      <c r="E80" s="331">
        <v>1.1057571342750001</v>
      </c>
      <c r="F80" s="329">
        <v>8806.0725152696305</v>
      </c>
      <c r="G80" s="330">
        <v>5870.7150101797597</v>
      </c>
      <c r="H80" s="332">
        <v>622.30746999999997</v>
      </c>
      <c r="I80" s="329">
        <v>6257.6684999999998</v>
      </c>
      <c r="J80" s="330">
        <v>386.95348982024501</v>
      </c>
      <c r="K80" s="333">
        <v>0.71060833182399996</v>
      </c>
    </row>
    <row r="81" spans="1:11" ht="14.4" customHeight="1" thickBot="1" x14ac:dyDescent="0.35">
      <c r="A81" s="350" t="s">
        <v>277</v>
      </c>
      <c r="B81" s="334">
        <v>21.588098358027001</v>
      </c>
      <c r="C81" s="334">
        <v>30.132470000000001</v>
      </c>
      <c r="D81" s="335">
        <v>8.5443716419720008</v>
      </c>
      <c r="E81" s="336">
        <v>1.3957908427250001</v>
      </c>
      <c r="F81" s="334">
        <v>25.256597930760002</v>
      </c>
      <c r="G81" s="335">
        <v>16.837731953839999</v>
      </c>
      <c r="H81" s="337">
        <v>0</v>
      </c>
      <c r="I81" s="334">
        <v>39.881320000000002</v>
      </c>
      <c r="J81" s="335">
        <v>23.043588046159002</v>
      </c>
      <c r="K81" s="338">
        <v>1.57904560659</v>
      </c>
    </row>
    <row r="82" spans="1:11" ht="14.4" customHeight="1" thickBot="1" x14ac:dyDescent="0.35">
      <c r="A82" s="351" t="s">
        <v>278</v>
      </c>
      <c r="B82" s="329">
        <v>0</v>
      </c>
      <c r="C82" s="329">
        <v>2.3239999999999998</v>
      </c>
      <c r="D82" s="330">
        <v>2.3239999999999998</v>
      </c>
      <c r="E82" s="341" t="s">
        <v>230</v>
      </c>
      <c r="F82" s="329">
        <v>2.3863759235059998</v>
      </c>
      <c r="G82" s="330">
        <v>1.5909172823369999</v>
      </c>
      <c r="H82" s="332">
        <v>0</v>
      </c>
      <c r="I82" s="329">
        <v>0</v>
      </c>
      <c r="J82" s="330">
        <v>-1.5909172823369999</v>
      </c>
      <c r="K82" s="333">
        <v>0</v>
      </c>
    </row>
    <row r="83" spans="1:11" ht="14.4" customHeight="1" thickBot="1" x14ac:dyDescent="0.35">
      <c r="A83" s="351" t="s">
        <v>279</v>
      </c>
      <c r="B83" s="329">
        <v>21.41005050927</v>
      </c>
      <c r="C83" s="329">
        <v>27.80847</v>
      </c>
      <c r="D83" s="330">
        <v>6.3984194907290002</v>
      </c>
      <c r="E83" s="331">
        <v>1.298851209527</v>
      </c>
      <c r="F83" s="329">
        <v>22.870222007252998</v>
      </c>
      <c r="G83" s="330">
        <v>15.246814671501999</v>
      </c>
      <c r="H83" s="332">
        <v>0</v>
      </c>
      <c r="I83" s="329">
        <v>39.881320000000002</v>
      </c>
      <c r="J83" s="330">
        <v>24.634505328496999</v>
      </c>
      <c r="K83" s="333">
        <v>1.743809919612</v>
      </c>
    </row>
    <row r="84" spans="1:11" ht="14.4" customHeight="1" thickBot="1" x14ac:dyDescent="0.35">
      <c r="A84" s="351" t="s">
        <v>280</v>
      </c>
      <c r="B84" s="329">
        <v>0.178047848757</v>
      </c>
      <c r="C84" s="329">
        <v>0</v>
      </c>
      <c r="D84" s="330">
        <v>-0.178047848757</v>
      </c>
      <c r="E84" s="331">
        <v>0</v>
      </c>
      <c r="F84" s="329">
        <v>0</v>
      </c>
      <c r="G84" s="330">
        <v>0</v>
      </c>
      <c r="H84" s="332">
        <v>0</v>
      </c>
      <c r="I84" s="329">
        <v>0</v>
      </c>
      <c r="J84" s="330">
        <v>0</v>
      </c>
      <c r="K84" s="333">
        <v>0</v>
      </c>
    </row>
    <row r="85" spans="1:11" ht="14.4" customHeight="1" thickBot="1" x14ac:dyDescent="0.35">
      <c r="A85" s="350" t="s">
        <v>281</v>
      </c>
      <c r="B85" s="334">
        <v>10.000000000002</v>
      </c>
      <c r="C85" s="334">
        <v>15.4513</v>
      </c>
      <c r="D85" s="335">
        <v>5.4512999999970004</v>
      </c>
      <c r="E85" s="336">
        <v>1.545129999999</v>
      </c>
      <c r="F85" s="334">
        <v>22.817816053093001</v>
      </c>
      <c r="G85" s="335">
        <v>15.211877368729001</v>
      </c>
      <c r="H85" s="337">
        <v>4.1520000000000001</v>
      </c>
      <c r="I85" s="334">
        <v>14.63524</v>
      </c>
      <c r="J85" s="335">
        <v>-0.57663736872899996</v>
      </c>
      <c r="K85" s="338">
        <v>0.64139530119499999</v>
      </c>
    </row>
    <row r="86" spans="1:11" ht="14.4" customHeight="1" thickBot="1" x14ac:dyDescent="0.35">
      <c r="A86" s="351" t="s">
        <v>282</v>
      </c>
      <c r="B86" s="329">
        <v>10.000000000002</v>
      </c>
      <c r="C86" s="329">
        <v>15.4513</v>
      </c>
      <c r="D86" s="330">
        <v>5.4512999999970004</v>
      </c>
      <c r="E86" s="331">
        <v>1.545129999999</v>
      </c>
      <c r="F86" s="329">
        <v>13.000001303492001</v>
      </c>
      <c r="G86" s="330">
        <v>8.6666675356610003</v>
      </c>
      <c r="H86" s="332">
        <v>4.1520000000000001</v>
      </c>
      <c r="I86" s="329">
        <v>14.63524</v>
      </c>
      <c r="J86" s="330">
        <v>5.968572464338</v>
      </c>
      <c r="K86" s="333">
        <v>1.1257875794259999</v>
      </c>
    </row>
    <row r="87" spans="1:11" ht="14.4" customHeight="1" thickBot="1" x14ac:dyDescent="0.35">
      <c r="A87" s="351" t="s">
        <v>283</v>
      </c>
      <c r="B87" s="329">
        <v>0</v>
      </c>
      <c r="C87" s="329">
        <v>-4.4408920985006301E-15</v>
      </c>
      <c r="D87" s="330">
        <v>-4.4408920985006301E-15</v>
      </c>
      <c r="E87" s="341" t="s">
        <v>230</v>
      </c>
      <c r="F87" s="329">
        <v>9.8178147496010002</v>
      </c>
      <c r="G87" s="330">
        <v>6.5452098330670001</v>
      </c>
      <c r="H87" s="332">
        <v>0</v>
      </c>
      <c r="I87" s="329">
        <v>0</v>
      </c>
      <c r="J87" s="330">
        <v>-6.5452098330670001</v>
      </c>
      <c r="K87" s="333">
        <v>0</v>
      </c>
    </row>
    <row r="88" spans="1:11" ht="14.4" customHeight="1" thickBot="1" x14ac:dyDescent="0.35">
      <c r="A88" s="350" t="s">
        <v>284</v>
      </c>
      <c r="B88" s="334">
        <v>4.0000000000010001</v>
      </c>
      <c r="C88" s="334">
        <v>6.5310800000000002</v>
      </c>
      <c r="D88" s="335">
        <v>2.531079999998</v>
      </c>
      <c r="E88" s="336">
        <v>1.632769999999</v>
      </c>
      <c r="F88" s="334">
        <v>11.997224336101</v>
      </c>
      <c r="G88" s="335">
        <v>7.9981495573999997</v>
      </c>
      <c r="H88" s="337">
        <v>0</v>
      </c>
      <c r="I88" s="334">
        <v>5.5014000000000003</v>
      </c>
      <c r="J88" s="335">
        <v>-2.4967495573999998</v>
      </c>
      <c r="K88" s="338">
        <v>0.45855606645899999</v>
      </c>
    </row>
    <row r="89" spans="1:11" ht="14.4" customHeight="1" thickBot="1" x14ac:dyDescent="0.35">
      <c r="A89" s="351" t="s">
        <v>285</v>
      </c>
      <c r="B89" s="329">
        <v>0</v>
      </c>
      <c r="C89" s="329">
        <v>3.5980799999999999</v>
      </c>
      <c r="D89" s="330">
        <v>3.5980799999999999</v>
      </c>
      <c r="E89" s="341" t="s">
        <v>230</v>
      </c>
      <c r="F89" s="329">
        <v>1.9972233334139999</v>
      </c>
      <c r="G89" s="330">
        <v>1.3314822222760001</v>
      </c>
      <c r="H89" s="332">
        <v>0</v>
      </c>
      <c r="I89" s="329">
        <v>3.7584</v>
      </c>
      <c r="J89" s="330">
        <v>2.4269177777230002</v>
      </c>
      <c r="K89" s="333">
        <v>1.881812583059</v>
      </c>
    </row>
    <row r="90" spans="1:11" ht="14.4" customHeight="1" thickBot="1" x14ac:dyDescent="0.35">
      <c r="A90" s="351" t="s">
        <v>286</v>
      </c>
      <c r="B90" s="329">
        <v>4.0000000000010001</v>
      </c>
      <c r="C90" s="329">
        <v>2.9329999999999998</v>
      </c>
      <c r="D90" s="330">
        <v>-1.067000000001</v>
      </c>
      <c r="E90" s="331">
        <v>0.73324999999899998</v>
      </c>
      <c r="F90" s="329">
        <v>10.000001002686</v>
      </c>
      <c r="G90" s="330">
        <v>6.666667335124</v>
      </c>
      <c r="H90" s="332">
        <v>0</v>
      </c>
      <c r="I90" s="329">
        <v>1.7430000000000001</v>
      </c>
      <c r="J90" s="330">
        <v>-4.9236673351239997</v>
      </c>
      <c r="K90" s="333">
        <v>0.174299982523</v>
      </c>
    </row>
    <row r="91" spans="1:11" ht="14.4" customHeight="1" thickBot="1" x14ac:dyDescent="0.35">
      <c r="A91" s="350" t="s">
        <v>287</v>
      </c>
      <c r="B91" s="334">
        <v>7584.00000000198</v>
      </c>
      <c r="C91" s="334">
        <v>7987.0118599999996</v>
      </c>
      <c r="D91" s="335">
        <v>403.01185999802101</v>
      </c>
      <c r="E91" s="336">
        <v>1.0531397494720001</v>
      </c>
      <c r="F91" s="334">
        <v>8746.0008769496799</v>
      </c>
      <c r="G91" s="335">
        <v>5830.6672512997802</v>
      </c>
      <c r="H91" s="337">
        <v>563.74635999999998</v>
      </c>
      <c r="I91" s="334">
        <v>5891.0964299999996</v>
      </c>
      <c r="J91" s="335">
        <v>60.429178700215999</v>
      </c>
      <c r="K91" s="338">
        <v>0.67357601638499998</v>
      </c>
    </row>
    <row r="92" spans="1:11" ht="14.4" customHeight="1" thickBot="1" x14ac:dyDescent="0.35">
      <c r="A92" s="351" t="s">
        <v>288</v>
      </c>
      <c r="B92" s="329">
        <v>2646.0000000006899</v>
      </c>
      <c r="C92" s="329">
        <v>2700.4295900000002</v>
      </c>
      <c r="D92" s="330">
        <v>54.429589999309997</v>
      </c>
      <c r="E92" s="331">
        <v>1.0205705177619999</v>
      </c>
      <c r="F92" s="329">
        <v>3259.0003267755501</v>
      </c>
      <c r="G92" s="330">
        <v>2172.6668845170402</v>
      </c>
      <c r="H92" s="332">
        <v>204.60081</v>
      </c>
      <c r="I92" s="329">
        <v>2034.29593</v>
      </c>
      <c r="J92" s="330">
        <v>-138.37095451703601</v>
      </c>
      <c r="K92" s="333">
        <v>0.62420856889300003</v>
      </c>
    </row>
    <row r="93" spans="1:11" ht="14.4" customHeight="1" thickBot="1" x14ac:dyDescent="0.35">
      <c r="A93" s="351" t="s">
        <v>289</v>
      </c>
      <c r="B93" s="329">
        <v>4938.0000000012897</v>
      </c>
      <c r="C93" s="329">
        <v>5286.5822699999999</v>
      </c>
      <c r="D93" s="330">
        <v>348.58226999871101</v>
      </c>
      <c r="E93" s="331">
        <v>1.0705917922229999</v>
      </c>
      <c r="F93" s="329">
        <v>5487.0005501741198</v>
      </c>
      <c r="G93" s="330">
        <v>3658.00036678275</v>
      </c>
      <c r="H93" s="332">
        <v>359.14555000000001</v>
      </c>
      <c r="I93" s="329">
        <v>3856.8004999999998</v>
      </c>
      <c r="J93" s="330">
        <v>198.80013321725201</v>
      </c>
      <c r="K93" s="333">
        <v>0.70289777898299999</v>
      </c>
    </row>
    <row r="94" spans="1:11" ht="14.4" customHeight="1" thickBot="1" x14ac:dyDescent="0.35">
      <c r="A94" s="350" t="s">
        <v>290</v>
      </c>
      <c r="B94" s="334">
        <v>0</v>
      </c>
      <c r="C94" s="334">
        <v>386.28719000000001</v>
      </c>
      <c r="D94" s="335">
        <v>386.28719000000001</v>
      </c>
      <c r="E94" s="342" t="s">
        <v>204</v>
      </c>
      <c r="F94" s="334">
        <v>0</v>
      </c>
      <c r="G94" s="335">
        <v>0</v>
      </c>
      <c r="H94" s="337">
        <v>54.409109999999998</v>
      </c>
      <c r="I94" s="334">
        <v>306.55410999999998</v>
      </c>
      <c r="J94" s="335">
        <v>306.55410999999998</v>
      </c>
      <c r="K94" s="339" t="s">
        <v>204</v>
      </c>
    </row>
    <row r="95" spans="1:11" ht="14.4" customHeight="1" thickBot="1" x14ac:dyDescent="0.35">
      <c r="A95" s="351" t="s">
        <v>291</v>
      </c>
      <c r="B95" s="329">
        <v>0</v>
      </c>
      <c r="C95" s="329">
        <v>65.845410000000001</v>
      </c>
      <c r="D95" s="330">
        <v>65.845410000000001</v>
      </c>
      <c r="E95" s="341" t="s">
        <v>204</v>
      </c>
      <c r="F95" s="329">
        <v>0</v>
      </c>
      <c r="G95" s="330">
        <v>0</v>
      </c>
      <c r="H95" s="332">
        <v>0</v>
      </c>
      <c r="I95" s="329">
        <v>51.932510000000001</v>
      </c>
      <c r="J95" s="330">
        <v>51.932510000000001</v>
      </c>
      <c r="K95" s="340" t="s">
        <v>204</v>
      </c>
    </row>
    <row r="96" spans="1:11" ht="14.4" customHeight="1" thickBot="1" x14ac:dyDescent="0.35">
      <c r="A96" s="351" t="s">
        <v>292</v>
      </c>
      <c r="B96" s="329">
        <v>0</v>
      </c>
      <c r="C96" s="329">
        <v>320.44177999999999</v>
      </c>
      <c r="D96" s="330">
        <v>320.44177999999999</v>
      </c>
      <c r="E96" s="341" t="s">
        <v>204</v>
      </c>
      <c r="F96" s="329">
        <v>0</v>
      </c>
      <c r="G96" s="330">
        <v>0</v>
      </c>
      <c r="H96" s="332">
        <v>54.409109999999998</v>
      </c>
      <c r="I96" s="329">
        <v>254.6216</v>
      </c>
      <c r="J96" s="330">
        <v>254.6216</v>
      </c>
      <c r="K96" s="340" t="s">
        <v>204</v>
      </c>
    </row>
    <row r="97" spans="1:11" ht="14.4" customHeight="1" thickBot="1" x14ac:dyDescent="0.35">
      <c r="A97" s="348" t="s">
        <v>293</v>
      </c>
      <c r="B97" s="329">
        <v>43</v>
      </c>
      <c r="C97" s="329">
        <v>49.995159999999998</v>
      </c>
      <c r="D97" s="330">
        <v>6.9951600000000003</v>
      </c>
      <c r="E97" s="331">
        <v>1.162678139534</v>
      </c>
      <c r="F97" s="329">
        <v>40.390992152583003</v>
      </c>
      <c r="G97" s="330">
        <v>26.927328101722001</v>
      </c>
      <c r="H97" s="332">
        <v>0</v>
      </c>
      <c r="I97" s="329">
        <v>20.23085</v>
      </c>
      <c r="J97" s="330">
        <v>-6.6964781017219996</v>
      </c>
      <c r="K97" s="333">
        <v>0.50087529228200001</v>
      </c>
    </row>
    <row r="98" spans="1:11" ht="14.4" customHeight="1" thickBot="1" x14ac:dyDescent="0.35">
      <c r="A98" s="354" t="s">
        <v>294</v>
      </c>
      <c r="B98" s="334">
        <v>43</v>
      </c>
      <c r="C98" s="334">
        <v>49.995159999999998</v>
      </c>
      <c r="D98" s="335">
        <v>6.9951600000000003</v>
      </c>
      <c r="E98" s="336">
        <v>1.162678139534</v>
      </c>
      <c r="F98" s="334">
        <v>40.390992152583003</v>
      </c>
      <c r="G98" s="335">
        <v>26.927328101722001</v>
      </c>
      <c r="H98" s="337">
        <v>0</v>
      </c>
      <c r="I98" s="334">
        <v>20.23085</v>
      </c>
      <c r="J98" s="335">
        <v>-6.6964781017219996</v>
      </c>
      <c r="K98" s="338">
        <v>0.50087529228200001</v>
      </c>
    </row>
    <row r="99" spans="1:11" ht="14.4" customHeight="1" thickBot="1" x14ac:dyDescent="0.35">
      <c r="A99" s="350" t="s">
        <v>295</v>
      </c>
      <c r="B99" s="334">
        <v>0</v>
      </c>
      <c r="C99" s="334">
        <v>-8.0000000000000007E-5</v>
      </c>
      <c r="D99" s="335">
        <v>-8.0000000000000007E-5</v>
      </c>
      <c r="E99" s="342" t="s">
        <v>204</v>
      </c>
      <c r="F99" s="334">
        <v>0</v>
      </c>
      <c r="G99" s="335">
        <v>0</v>
      </c>
      <c r="H99" s="337">
        <v>0</v>
      </c>
      <c r="I99" s="334">
        <v>6.0000000000000002E-5</v>
      </c>
      <c r="J99" s="335">
        <v>6.0000000000000002E-5</v>
      </c>
      <c r="K99" s="339" t="s">
        <v>204</v>
      </c>
    </row>
    <row r="100" spans="1:11" ht="14.4" customHeight="1" thickBot="1" x14ac:dyDescent="0.35">
      <c r="A100" s="351" t="s">
        <v>296</v>
      </c>
      <c r="B100" s="329">
        <v>0</v>
      </c>
      <c r="C100" s="329">
        <v>-8.0000000000000007E-5</v>
      </c>
      <c r="D100" s="330">
        <v>-8.0000000000000007E-5</v>
      </c>
      <c r="E100" s="341" t="s">
        <v>204</v>
      </c>
      <c r="F100" s="329">
        <v>0</v>
      </c>
      <c r="G100" s="330">
        <v>0</v>
      </c>
      <c r="H100" s="332">
        <v>0</v>
      </c>
      <c r="I100" s="329">
        <v>6.0000000000000002E-5</v>
      </c>
      <c r="J100" s="330">
        <v>6.0000000000000002E-5</v>
      </c>
      <c r="K100" s="340" t="s">
        <v>204</v>
      </c>
    </row>
    <row r="101" spans="1:11" ht="14.4" customHeight="1" thickBot="1" x14ac:dyDescent="0.35">
      <c r="A101" s="350" t="s">
        <v>297</v>
      </c>
      <c r="B101" s="334">
        <v>43</v>
      </c>
      <c r="C101" s="334">
        <v>49.995240000000003</v>
      </c>
      <c r="D101" s="335">
        <v>6.9952399999999999</v>
      </c>
      <c r="E101" s="336">
        <v>1.1626799999999999</v>
      </c>
      <c r="F101" s="334">
        <v>40.390992152583003</v>
      </c>
      <c r="G101" s="335">
        <v>26.927328101722001</v>
      </c>
      <c r="H101" s="337">
        <v>0</v>
      </c>
      <c r="I101" s="334">
        <v>20.230789999999999</v>
      </c>
      <c r="J101" s="335">
        <v>-6.696538101722</v>
      </c>
      <c r="K101" s="338">
        <v>0.500873806802</v>
      </c>
    </row>
    <row r="102" spans="1:11" ht="14.4" customHeight="1" thickBot="1" x14ac:dyDescent="0.35">
      <c r="A102" s="351" t="s">
        <v>298</v>
      </c>
      <c r="B102" s="329">
        <v>0</v>
      </c>
      <c r="C102" s="329">
        <v>2.9090000000000001E-2</v>
      </c>
      <c r="D102" s="330">
        <v>2.9090000000000001E-2</v>
      </c>
      <c r="E102" s="341" t="s">
        <v>230</v>
      </c>
      <c r="F102" s="329">
        <v>2.4745445117000001E-2</v>
      </c>
      <c r="G102" s="330">
        <v>1.6496963411000001E-2</v>
      </c>
      <c r="H102" s="332">
        <v>0</v>
      </c>
      <c r="I102" s="329">
        <v>0</v>
      </c>
      <c r="J102" s="330">
        <v>-1.6496963411000001E-2</v>
      </c>
      <c r="K102" s="333">
        <v>0</v>
      </c>
    </row>
    <row r="103" spans="1:11" ht="14.4" customHeight="1" thickBot="1" x14ac:dyDescent="0.35">
      <c r="A103" s="351" t="s">
        <v>299</v>
      </c>
      <c r="B103" s="329">
        <v>43</v>
      </c>
      <c r="C103" s="329">
        <v>49.966149999999999</v>
      </c>
      <c r="D103" s="330">
        <v>6.9661499999999998</v>
      </c>
      <c r="E103" s="331">
        <v>1.1620034883720001</v>
      </c>
      <c r="F103" s="329">
        <v>40.366246707465997</v>
      </c>
      <c r="G103" s="330">
        <v>26.910831138310002</v>
      </c>
      <c r="H103" s="332">
        <v>0</v>
      </c>
      <c r="I103" s="329">
        <v>20.230789999999999</v>
      </c>
      <c r="J103" s="330">
        <v>-6.68004113831</v>
      </c>
      <c r="K103" s="333">
        <v>0.50118085405799995</v>
      </c>
    </row>
    <row r="104" spans="1:11" ht="14.4" customHeight="1" thickBot="1" x14ac:dyDescent="0.35">
      <c r="A104" s="347" t="s">
        <v>300</v>
      </c>
      <c r="B104" s="329">
        <v>1007.7928227074</v>
      </c>
      <c r="C104" s="329">
        <v>988.11292000000105</v>
      </c>
      <c r="D104" s="330">
        <v>-19.679902707397002</v>
      </c>
      <c r="E104" s="331">
        <v>0.98047227340300003</v>
      </c>
      <c r="F104" s="329">
        <v>1033.3683016167499</v>
      </c>
      <c r="G104" s="330">
        <v>688.91220107783499</v>
      </c>
      <c r="H104" s="332">
        <v>84.639889999999994</v>
      </c>
      <c r="I104" s="329">
        <v>655.35639000000003</v>
      </c>
      <c r="J104" s="330">
        <v>-33.555811077834001</v>
      </c>
      <c r="K104" s="333">
        <v>0.634194399977</v>
      </c>
    </row>
    <row r="105" spans="1:11" ht="14.4" customHeight="1" thickBot="1" x14ac:dyDescent="0.35">
      <c r="A105" s="352" t="s">
        <v>301</v>
      </c>
      <c r="B105" s="334">
        <v>1007.7928227074</v>
      </c>
      <c r="C105" s="334">
        <v>988.11292000000105</v>
      </c>
      <c r="D105" s="335">
        <v>-19.679902707397002</v>
      </c>
      <c r="E105" s="336">
        <v>0.98047227340300003</v>
      </c>
      <c r="F105" s="334">
        <v>1033.3683016167499</v>
      </c>
      <c r="G105" s="335">
        <v>688.91220107783499</v>
      </c>
      <c r="H105" s="337">
        <v>84.639889999999994</v>
      </c>
      <c r="I105" s="334">
        <v>655.35639000000003</v>
      </c>
      <c r="J105" s="335">
        <v>-33.555811077834001</v>
      </c>
      <c r="K105" s="338">
        <v>0.634194399977</v>
      </c>
    </row>
    <row r="106" spans="1:11" ht="14.4" customHeight="1" thickBot="1" x14ac:dyDescent="0.35">
      <c r="A106" s="354" t="s">
        <v>40</v>
      </c>
      <c r="B106" s="334">
        <v>1007.7928227074</v>
      </c>
      <c r="C106" s="334">
        <v>988.11292000000105</v>
      </c>
      <c r="D106" s="335">
        <v>-19.679902707397002</v>
      </c>
      <c r="E106" s="336">
        <v>0.98047227340300003</v>
      </c>
      <c r="F106" s="334">
        <v>1033.3683016167499</v>
      </c>
      <c r="G106" s="335">
        <v>688.91220107783499</v>
      </c>
      <c r="H106" s="337">
        <v>84.639889999999994</v>
      </c>
      <c r="I106" s="334">
        <v>655.35639000000003</v>
      </c>
      <c r="J106" s="335">
        <v>-33.555811077834001</v>
      </c>
      <c r="K106" s="338">
        <v>0.634194399977</v>
      </c>
    </row>
    <row r="107" spans="1:11" ht="14.4" customHeight="1" thickBot="1" x14ac:dyDescent="0.35">
      <c r="A107" s="350" t="s">
        <v>302</v>
      </c>
      <c r="B107" s="334">
        <v>5.6063242827430004</v>
      </c>
      <c r="C107" s="334">
        <v>6.7910000000000004</v>
      </c>
      <c r="D107" s="335">
        <v>1.1846757172560001</v>
      </c>
      <c r="E107" s="336">
        <v>1.2113105945189999</v>
      </c>
      <c r="F107" s="334">
        <v>6.4096279428210003</v>
      </c>
      <c r="G107" s="335">
        <v>4.2730852952139999</v>
      </c>
      <c r="H107" s="337">
        <v>0.49399999999999999</v>
      </c>
      <c r="I107" s="334">
        <v>3.952</v>
      </c>
      <c r="J107" s="335">
        <v>-0.32108529521399998</v>
      </c>
      <c r="K107" s="338">
        <v>0.61657244932999999</v>
      </c>
    </row>
    <row r="108" spans="1:11" ht="14.4" customHeight="1" thickBot="1" x14ac:dyDescent="0.35">
      <c r="A108" s="351" t="s">
        <v>303</v>
      </c>
      <c r="B108" s="329">
        <v>5.6063242827430004</v>
      </c>
      <c r="C108" s="329">
        <v>6.7910000000000004</v>
      </c>
      <c r="D108" s="330">
        <v>1.1846757172560001</v>
      </c>
      <c r="E108" s="331">
        <v>1.2113105945189999</v>
      </c>
      <c r="F108" s="329">
        <v>6.4096279428210003</v>
      </c>
      <c r="G108" s="330">
        <v>4.2730852952139999</v>
      </c>
      <c r="H108" s="332">
        <v>0.49399999999999999</v>
      </c>
      <c r="I108" s="329">
        <v>3.952</v>
      </c>
      <c r="J108" s="330">
        <v>-0.32108529521399998</v>
      </c>
      <c r="K108" s="333">
        <v>0.61657244932999999</v>
      </c>
    </row>
    <row r="109" spans="1:11" ht="14.4" customHeight="1" thickBot="1" x14ac:dyDescent="0.35">
      <c r="A109" s="350" t="s">
        <v>304</v>
      </c>
      <c r="B109" s="334">
        <v>2.6522028483960001</v>
      </c>
      <c r="C109" s="334">
        <v>1.3965000000000001</v>
      </c>
      <c r="D109" s="335">
        <v>-1.255702848396</v>
      </c>
      <c r="E109" s="336">
        <v>0.52654343571200002</v>
      </c>
      <c r="F109" s="334">
        <v>0</v>
      </c>
      <c r="G109" s="335">
        <v>0</v>
      </c>
      <c r="H109" s="337">
        <v>0</v>
      </c>
      <c r="I109" s="334">
        <v>0</v>
      </c>
      <c r="J109" s="335">
        <v>0</v>
      </c>
      <c r="K109" s="338">
        <v>0</v>
      </c>
    </row>
    <row r="110" spans="1:11" ht="14.4" customHeight="1" thickBot="1" x14ac:dyDescent="0.35">
      <c r="A110" s="351" t="s">
        <v>305</v>
      </c>
      <c r="B110" s="329">
        <v>2.6522028483960001</v>
      </c>
      <c r="C110" s="329">
        <v>1.3965000000000001</v>
      </c>
      <c r="D110" s="330">
        <v>-1.255702848396</v>
      </c>
      <c r="E110" s="331">
        <v>0.52654343571200002</v>
      </c>
      <c r="F110" s="329">
        <v>0</v>
      </c>
      <c r="G110" s="330">
        <v>0</v>
      </c>
      <c r="H110" s="332">
        <v>0</v>
      </c>
      <c r="I110" s="329">
        <v>0</v>
      </c>
      <c r="J110" s="330">
        <v>0</v>
      </c>
      <c r="K110" s="333">
        <v>0</v>
      </c>
    </row>
    <row r="111" spans="1:11" ht="14.4" customHeight="1" thickBot="1" x14ac:dyDescent="0.35">
      <c r="A111" s="350" t="s">
        <v>306</v>
      </c>
      <c r="B111" s="334">
        <v>0</v>
      </c>
      <c r="C111" s="334">
        <v>0.53200000000000003</v>
      </c>
      <c r="D111" s="335">
        <v>0.53200000000000003</v>
      </c>
      <c r="E111" s="342" t="s">
        <v>204</v>
      </c>
      <c r="F111" s="334">
        <v>0</v>
      </c>
      <c r="G111" s="335">
        <v>0</v>
      </c>
      <c r="H111" s="337">
        <v>0</v>
      </c>
      <c r="I111" s="334">
        <v>0.16800000000000001</v>
      </c>
      <c r="J111" s="335">
        <v>0.16800000000000001</v>
      </c>
      <c r="K111" s="339" t="s">
        <v>230</v>
      </c>
    </row>
    <row r="112" spans="1:11" ht="14.4" customHeight="1" thickBot="1" x14ac:dyDescent="0.35">
      <c r="A112" s="351" t="s">
        <v>307</v>
      </c>
      <c r="B112" s="329">
        <v>0</v>
      </c>
      <c r="C112" s="329">
        <v>0.53200000000000003</v>
      </c>
      <c r="D112" s="330">
        <v>0.53200000000000003</v>
      </c>
      <c r="E112" s="341" t="s">
        <v>204</v>
      </c>
      <c r="F112" s="329">
        <v>0</v>
      </c>
      <c r="G112" s="330">
        <v>0</v>
      </c>
      <c r="H112" s="332">
        <v>0</v>
      </c>
      <c r="I112" s="329">
        <v>0.16800000000000001</v>
      </c>
      <c r="J112" s="330">
        <v>0.16800000000000001</v>
      </c>
      <c r="K112" s="340" t="s">
        <v>230</v>
      </c>
    </row>
    <row r="113" spans="1:11" ht="14.4" customHeight="1" thickBot="1" x14ac:dyDescent="0.35">
      <c r="A113" s="350" t="s">
        <v>308</v>
      </c>
      <c r="B113" s="334">
        <v>250</v>
      </c>
      <c r="C113" s="334">
        <v>228.59584000000001</v>
      </c>
      <c r="D113" s="335">
        <v>-21.404159999998999</v>
      </c>
      <c r="E113" s="336">
        <v>0.91438335999999998</v>
      </c>
      <c r="F113" s="334">
        <v>235.37519811461101</v>
      </c>
      <c r="G113" s="335">
        <v>156.916798743074</v>
      </c>
      <c r="H113" s="337">
        <v>16.237690000000001</v>
      </c>
      <c r="I113" s="334">
        <v>138.68222</v>
      </c>
      <c r="J113" s="335">
        <v>-18.234578743074</v>
      </c>
      <c r="K113" s="338">
        <v>0.58919640263999995</v>
      </c>
    </row>
    <row r="114" spans="1:11" ht="14.4" customHeight="1" thickBot="1" x14ac:dyDescent="0.35">
      <c r="A114" s="351" t="s">
        <v>309</v>
      </c>
      <c r="B114" s="329">
        <v>250</v>
      </c>
      <c r="C114" s="329">
        <v>228.59584000000001</v>
      </c>
      <c r="D114" s="330">
        <v>-21.404159999998999</v>
      </c>
      <c r="E114" s="331">
        <v>0.91438335999999998</v>
      </c>
      <c r="F114" s="329">
        <v>235.37519811461101</v>
      </c>
      <c r="G114" s="330">
        <v>156.916798743074</v>
      </c>
      <c r="H114" s="332">
        <v>16.237690000000001</v>
      </c>
      <c r="I114" s="329">
        <v>138.68222</v>
      </c>
      <c r="J114" s="330">
        <v>-18.234578743074</v>
      </c>
      <c r="K114" s="333">
        <v>0.58919640263999995</v>
      </c>
    </row>
    <row r="115" spans="1:11" ht="14.4" customHeight="1" thickBot="1" x14ac:dyDescent="0.35">
      <c r="A115" s="350" t="s">
        <v>310</v>
      </c>
      <c r="B115" s="334">
        <v>749.53429557625896</v>
      </c>
      <c r="C115" s="334">
        <v>750.79758000000095</v>
      </c>
      <c r="D115" s="335">
        <v>1.2632844237409999</v>
      </c>
      <c r="E115" s="336">
        <v>1.0016854257779999</v>
      </c>
      <c r="F115" s="334">
        <v>791.58347555932005</v>
      </c>
      <c r="G115" s="335">
        <v>527.72231703954697</v>
      </c>
      <c r="H115" s="337">
        <v>67.908199999999994</v>
      </c>
      <c r="I115" s="334">
        <v>512.55417</v>
      </c>
      <c r="J115" s="335">
        <v>-15.168147039546</v>
      </c>
      <c r="K115" s="338">
        <v>0.64750488839800002</v>
      </c>
    </row>
    <row r="116" spans="1:11" ht="14.4" customHeight="1" thickBot="1" x14ac:dyDescent="0.35">
      <c r="A116" s="351" t="s">
        <v>311</v>
      </c>
      <c r="B116" s="329">
        <v>749.53429557625896</v>
      </c>
      <c r="C116" s="329">
        <v>750.79758000000095</v>
      </c>
      <c r="D116" s="330">
        <v>1.2632844237409999</v>
      </c>
      <c r="E116" s="331">
        <v>1.0016854257779999</v>
      </c>
      <c r="F116" s="329">
        <v>791.58347555932005</v>
      </c>
      <c r="G116" s="330">
        <v>527.72231703954697</v>
      </c>
      <c r="H116" s="332">
        <v>67.908199999999994</v>
      </c>
      <c r="I116" s="329">
        <v>512.55417</v>
      </c>
      <c r="J116" s="330">
        <v>-15.168147039546</v>
      </c>
      <c r="K116" s="333">
        <v>0.64750488839800002</v>
      </c>
    </row>
    <row r="117" spans="1:11" ht="14.4" customHeight="1" thickBot="1" x14ac:dyDescent="0.35">
      <c r="A117" s="355"/>
      <c r="B117" s="329">
        <v>-755.77248448578405</v>
      </c>
      <c r="C117" s="329">
        <v>-89.941110000002993</v>
      </c>
      <c r="D117" s="330">
        <v>665.831374485781</v>
      </c>
      <c r="E117" s="331">
        <v>0.119005536515</v>
      </c>
      <c r="F117" s="329">
        <v>286.34067396842102</v>
      </c>
      <c r="G117" s="330">
        <v>190.89378264561401</v>
      </c>
      <c r="H117" s="332">
        <v>-73.778189999999995</v>
      </c>
      <c r="I117" s="329">
        <v>453.87893999999898</v>
      </c>
      <c r="J117" s="330">
        <v>262.985157354384</v>
      </c>
      <c r="K117" s="333">
        <v>1.5851011793380001</v>
      </c>
    </row>
    <row r="118" spans="1:11" ht="14.4" customHeight="1" thickBot="1" x14ac:dyDescent="0.35">
      <c r="A118" s="356" t="s">
        <v>52</v>
      </c>
      <c r="B118" s="343">
        <v>-755.77248448578405</v>
      </c>
      <c r="C118" s="343">
        <v>-89.941110000002993</v>
      </c>
      <c r="D118" s="344">
        <v>665.83137448577997</v>
      </c>
      <c r="E118" s="345">
        <v>-0.89688650209599996</v>
      </c>
      <c r="F118" s="343">
        <v>286.34067396842102</v>
      </c>
      <c r="G118" s="344">
        <v>190.893782645615</v>
      </c>
      <c r="H118" s="343">
        <v>-73.778189999999995</v>
      </c>
      <c r="I118" s="343">
        <v>453.87893999999898</v>
      </c>
      <c r="J118" s="344">
        <v>262.985157354384</v>
      </c>
      <c r="K118" s="346">
        <v>1.5851011793380001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297" t="s">
        <v>114</v>
      </c>
      <c r="B1" s="298"/>
      <c r="C1" s="298"/>
      <c r="D1" s="298"/>
      <c r="E1" s="298"/>
      <c r="F1" s="298"/>
      <c r="G1" s="269"/>
      <c r="H1" s="299"/>
      <c r="I1" s="299"/>
    </row>
    <row r="2" spans="1:10" ht="14.4" customHeight="1" thickBot="1" x14ac:dyDescent="0.35">
      <c r="A2" s="200" t="s">
        <v>203</v>
      </c>
      <c r="B2" s="178"/>
      <c r="C2" s="178"/>
      <c r="D2" s="178"/>
      <c r="E2" s="178"/>
      <c r="F2" s="178"/>
    </row>
    <row r="3" spans="1:10" ht="14.4" customHeight="1" thickBot="1" x14ac:dyDescent="0.35">
      <c r="A3" s="200"/>
      <c r="B3" s="178"/>
      <c r="C3" s="246">
        <v>2014</v>
      </c>
      <c r="D3" s="247">
        <v>2015</v>
      </c>
      <c r="E3" s="7"/>
      <c r="F3" s="292">
        <v>2016</v>
      </c>
      <c r="G3" s="293"/>
      <c r="H3" s="293"/>
      <c r="I3" s="294"/>
    </row>
    <row r="4" spans="1:10" ht="14.4" customHeight="1" thickBot="1" x14ac:dyDescent="0.35">
      <c r="A4" s="251" t="s">
        <v>0</v>
      </c>
      <c r="B4" s="252" t="s">
        <v>170</v>
      </c>
      <c r="C4" s="295" t="s">
        <v>59</v>
      </c>
      <c r="D4" s="296"/>
      <c r="E4" s="253"/>
      <c r="F4" s="248" t="s">
        <v>59</v>
      </c>
      <c r="G4" s="249" t="s">
        <v>60</v>
      </c>
      <c r="H4" s="249" t="s">
        <v>54</v>
      </c>
      <c r="I4" s="250" t="s">
        <v>61</v>
      </c>
    </row>
    <row r="5" spans="1:10" ht="14.4" customHeight="1" x14ac:dyDescent="0.3">
      <c r="A5" s="357" t="s">
        <v>312</v>
      </c>
      <c r="B5" s="358" t="s">
        <v>313</v>
      </c>
      <c r="C5" s="359" t="s">
        <v>314</v>
      </c>
      <c r="D5" s="359" t="s">
        <v>314</v>
      </c>
      <c r="E5" s="359"/>
      <c r="F5" s="359" t="s">
        <v>314</v>
      </c>
      <c r="G5" s="359" t="s">
        <v>314</v>
      </c>
      <c r="H5" s="359" t="s">
        <v>314</v>
      </c>
      <c r="I5" s="360" t="s">
        <v>314</v>
      </c>
      <c r="J5" s="361" t="s">
        <v>55</v>
      </c>
    </row>
    <row r="6" spans="1:10" ht="14.4" customHeight="1" x14ac:dyDescent="0.3">
      <c r="A6" s="357" t="s">
        <v>312</v>
      </c>
      <c r="B6" s="358" t="s">
        <v>210</v>
      </c>
      <c r="C6" s="359">
        <v>0</v>
      </c>
      <c r="D6" s="359">
        <v>0.75165000000000004</v>
      </c>
      <c r="E6" s="359"/>
      <c r="F6" s="359">
        <v>0</v>
      </c>
      <c r="G6" s="359">
        <v>0.6666667268526667</v>
      </c>
      <c r="H6" s="359">
        <v>-0.6666667268526667</v>
      </c>
      <c r="I6" s="360">
        <v>0</v>
      </c>
      <c r="J6" s="361" t="s">
        <v>1</v>
      </c>
    </row>
    <row r="7" spans="1:10" ht="14.4" customHeight="1" x14ac:dyDescent="0.3">
      <c r="A7" s="357" t="s">
        <v>312</v>
      </c>
      <c r="B7" s="358" t="s">
        <v>315</v>
      </c>
      <c r="C7" s="359">
        <v>0</v>
      </c>
      <c r="D7" s="359">
        <v>0.75165000000000004</v>
      </c>
      <c r="E7" s="359"/>
      <c r="F7" s="359">
        <v>0</v>
      </c>
      <c r="G7" s="359">
        <v>0.6666667268526667</v>
      </c>
      <c r="H7" s="359">
        <v>-0.6666667268526667</v>
      </c>
      <c r="I7" s="360">
        <v>0</v>
      </c>
      <c r="J7" s="361" t="s">
        <v>316</v>
      </c>
    </row>
    <row r="9" spans="1:10" ht="14.4" customHeight="1" x14ac:dyDescent="0.3">
      <c r="A9" s="357" t="s">
        <v>312</v>
      </c>
      <c r="B9" s="358" t="s">
        <v>313</v>
      </c>
      <c r="C9" s="359" t="s">
        <v>314</v>
      </c>
      <c r="D9" s="359" t="s">
        <v>314</v>
      </c>
      <c r="E9" s="359"/>
      <c r="F9" s="359" t="s">
        <v>314</v>
      </c>
      <c r="G9" s="359" t="s">
        <v>314</v>
      </c>
      <c r="H9" s="359" t="s">
        <v>314</v>
      </c>
      <c r="I9" s="360" t="s">
        <v>314</v>
      </c>
      <c r="J9" s="361" t="s">
        <v>55</v>
      </c>
    </row>
    <row r="10" spans="1:10" ht="14.4" customHeight="1" x14ac:dyDescent="0.3">
      <c r="A10" s="357" t="s">
        <v>317</v>
      </c>
      <c r="B10" s="358" t="s">
        <v>318</v>
      </c>
      <c r="C10" s="359" t="s">
        <v>314</v>
      </c>
      <c r="D10" s="359" t="s">
        <v>314</v>
      </c>
      <c r="E10" s="359"/>
      <c r="F10" s="359" t="s">
        <v>314</v>
      </c>
      <c r="G10" s="359" t="s">
        <v>314</v>
      </c>
      <c r="H10" s="359" t="s">
        <v>314</v>
      </c>
      <c r="I10" s="360" t="s">
        <v>314</v>
      </c>
      <c r="J10" s="361" t="s">
        <v>0</v>
      </c>
    </row>
    <row r="11" spans="1:10" ht="14.4" customHeight="1" x14ac:dyDescent="0.3">
      <c r="A11" s="357" t="s">
        <v>317</v>
      </c>
      <c r="B11" s="358" t="s">
        <v>210</v>
      </c>
      <c r="C11" s="359">
        <v>0</v>
      </c>
      <c r="D11" s="359">
        <v>0.75165000000000004</v>
      </c>
      <c r="E11" s="359"/>
      <c r="F11" s="359">
        <v>0</v>
      </c>
      <c r="G11" s="359">
        <v>0.6666667268526667</v>
      </c>
      <c r="H11" s="359">
        <v>-0.6666667268526667</v>
      </c>
      <c r="I11" s="360">
        <v>0</v>
      </c>
      <c r="J11" s="361" t="s">
        <v>1</v>
      </c>
    </row>
    <row r="12" spans="1:10" ht="14.4" customHeight="1" x14ac:dyDescent="0.3">
      <c r="A12" s="357" t="s">
        <v>317</v>
      </c>
      <c r="B12" s="358" t="s">
        <v>319</v>
      </c>
      <c r="C12" s="359">
        <v>0</v>
      </c>
      <c r="D12" s="359">
        <v>0.75165000000000004</v>
      </c>
      <c r="E12" s="359"/>
      <c r="F12" s="359">
        <v>0</v>
      </c>
      <c r="G12" s="359">
        <v>0.6666667268526667</v>
      </c>
      <c r="H12" s="359">
        <v>-0.6666667268526667</v>
      </c>
      <c r="I12" s="360">
        <v>0</v>
      </c>
      <c r="J12" s="361" t="s">
        <v>320</v>
      </c>
    </row>
    <row r="13" spans="1:10" ht="14.4" customHeight="1" x14ac:dyDescent="0.3">
      <c r="A13" s="357" t="s">
        <v>314</v>
      </c>
      <c r="B13" s="358" t="s">
        <v>314</v>
      </c>
      <c r="C13" s="359" t="s">
        <v>314</v>
      </c>
      <c r="D13" s="359" t="s">
        <v>314</v>
      </c>
      <c r="E13" s="359"/>
      <c r="F13" s="359" t="s">
        <v>314</v>
      </c>
      <c r="G13" s="359" t="s">
        <v>314</v>
      </c>
      <c r="H13" s="359" t="s">
        <v>314</v>
      </c>
      <c r="I13" s="360" t="s">
        <v>314</v>
      </c>
      <c r="J13" s="361" t="s">
        <v>321</v>
      </c>
    </row>
    <row r="14" spans="1:10" ht="14.4" customHeight="1" x14ac:dyDescent="0.3">
      <c r="A14" s="357" t="s">
        <v>312</v>
      </c>
      <c r="B14" s="358" t="s">
        <v>315</v>
      </c>
      <c r="C14" s="359">
        <v>0</v>
      </c>
      <c r="D14" s="359">
        <v>0.75165000000000004</v>
      </c>
      <c r="E14" s="359"/>
      <c r="F14" s="359">
        <v>0</v>
      </c>
      <c r="G14" s="359">
        <v>0.6666667268526667</v>
      </c>
      <c r="H14" s="359">
        <v>-0.6666667268526667</v>
      </c>
      <c r="I14" s="360">
        <v>0</v>
      </c>
      <c r="J14" s="361" t="s">
        <v>316</v>
      </c>
    </row>
  </sheetData>
  <mergeCells count="3">
    <mergeCell ref="F3:I3"/>
    <mergeCell ref="C4:D4"/>
    <mergeCell ref="A1:I1"/>
  </mergeCells>
  <conditionalFormatting sqref="F8 F15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4">
    <cfRule type="expression" dxfId="29" priority="5">
      <formula>$H9&gt;0</formula>
    </cfRule>
  </conditionalFormatting>
  <conditionalFormatting sqref="A9:A14">
    <cfRule type="expression" dxfId="28" priority="2">
      <formula>AND($J9&lt;&gt;"mezeraKL",$J9&lt;&gt;"")</formula>
    </cfRule>
  </conditionalFormatting>
  <conditionalFormatting sqref="I9:I14">
    <cfRule type="expression" dxfId="27" priority="6">
      <formula>$I9&gt;1</formula>
    </cfRule>
  </conditionalFormatting>
  <conditionalFormatting sqref="B9:B14">
    <cfRule type="expression" dxfId="26" priority="1">
      <formula>OR($J9="NS",$J9="SumaNS",$J9="Účet")</formula>
    </cfRule>
  </conditionalFormatting>
  <conditionalFormatting sqref="A9:D14 F9:I14">
    <cfRule type="expression" dxfId="25" priority="8">
      <formula>AND($J9&lt;&gt;"",$J9&lt;&gt;"mezeraKL")</formula>
    </cfRule>
  </conditionalFormatting>
  <conditionalFormatting sqref="B9:D14 F9:I14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1" bestFit="1" customWidth="1" collapsed="1"/>
    <col min="4" max="4" width="18.77734375" style="185" customWidth="1"/>
    <col min="5" max="5" width="9" style="181" bestFit="1" customWidth="1"/>
    <col min="6" max="6" width="18.77734375" style="185" customWidth="1"/>
    <col min="7" max="7" width="5" style="181" customWidth="1"/>
    <col min="8" max="8" width="12.44140625" style="181" hidden="1" customWidth="1" outlineLevel="1"/>
    <col min="9" max="9" width="8.5546875" style="181" hidden="1" customWidth="1" outlineLevel="1"/>
    <col min="10" max="10" width="25.77734375" style="181" customWidth="1" collapsed="1"/>
    <col min="11" max="11" width="8.77734375" style="181" customWidth="1"/>
    <col min="12" max="13" width="7.77734375" style="179" customWidth="1"/>
    <col min="14" max="14" width="11.109375" style="179" customWidth="1"/>
    <col min="15" max="16384" width="8.88671875" style="105"/>
  </cols>
  <sheetData>
    <row r="1" spans="1:14" ht="18.600000000000001" customHeight="1" thickBot="1" x14ac:dyDescent="0.4">
      <c r="A1" s="304" t="s">
        <v>130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4.4" customHeight="1" thickBot="1" x14ac:dyDescent="0.35">
      <c r="A2" s="200" t="s">
        <v>203</v>
      </c>
      <c r="B2" s="57"/>
      <c r="C2" s="183"/>
      <c r="D2" s="183"/>
      <c r="E2" s="183"/>
      <c r="F2" s="183"/>
      <c r="G2" s="183"/>
      <c r="H2" s="183"/>
      <c r="I2" s="183"/>
      <c r="J2" s="183"/>
      <c r="K2" s="183"/>
      <c r="L2" s="184"/>
      <c r="M2" s="184"/>
      <c r="N2" s="184"/>
    </row>
    <row r="3" spans="1:14" ht="14.4" customHeight="1" thickBot="1" x14ac:dyDescent="0.35">
      <c r="A3" s="57"/>
      <c r="B3" s="57"/>
      <c r="C3" s="300"/>
      <c r="D3" s="301"/>
      <c r="E3" s="301"/>
      <c r="F3" s="301"/>
      <c r="G3" s="301"/>
      <c r="H3" s="301"/>
      <c r="I3" s="301"/>
      <c r="J3" s="302" t="s">
        <v>111</v>
      </c>
      <c r="K3" s="303"/>
      <c r="L3" s="74">
        <f>IF(M3&lt;&gt;0,N3/M3,0)</f>
        <v>0</v>
      </c>
      <c r="M3" s="74">
        <f>SUBTOTAL(9,M5:M1048576)</f>
        <v>0</v>
      </c>
      <c r="N3" s="75">
        <f>SUBTOTAL(9,N5:N1048576)</f>
        <v>0</v>
      </c>
    </row>
    <row r="4" spans="1:14" s="180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118</v>
      </c>
      <c r="M4" s="365" t="s">
        <v>13</v>
      </c>
      <c r="N4" s="366" t="s">
        <v>126</v>
      </c>
    </row>
    <row r="5" spans="1:14" ht="14.4" customHeight="1" x14ac:dyDescent="0.3">
      <c r="A5" s="367" t="s">
        <v>312</v>
      </c>
      <c r="B5" s="368" t="s">
        <v>313</v>
      </c>
      <c r="C5" s="369" t="s">
        <v>317</v>
      </c>
      <c r="D5" s="370" t="s">
        <v>331</v>
      </c>
      <c r="E5" s="369" t="s">
        <v>322</v>
      </c>
      <c r="F5" s="370" t="s">
        <v>332</v>
      </c>
      <c r="G5" s="369" t="s">
        <v>323</v>
      </c>
      <c r="H5" s="369" t="s">
        <v>324</v>
      </c>
      <c r="I5" s="369" t="s">
        <v>325</v>
      </c>
      <c r="J5" s="369" t="s">
        <v>326</v>
      </c>
      <c r="K5" s="369" t="s">
        <v>327</v>
      </c>
      <c r="L5" s="371">
        <v>0</v>
      </c>
      <c r="M5" s="371">
        <v>0</v>
      </c>
      <c r="N5" s="372">
        <v>0</v>
      </c>
    </row>
    <row r="6" spans="1:14" ht="14.4" customHeight="1" thickBot="1" x14ac:dyDescent="0.35">
      <c r="A6" s="373" t="s">
        <v>312</v>
      </c>
      <c r="B6" s="374" t="s">
        <v>313</v>
      </c>
      <c r="C6" s="375" t="s">
        <v>317</v>
      </c>
      <c r="D6" s="376" t="s">
        <v>331</v>
      </c>
      <c r="E6" s="375" t="s">
        <v>322</v>
      </c>
      <c r="F6" s="376" t="s">
        <v>332</v>
      </c>
      <c r="G6" s="375" t="s">
        <v>323</v>
      </c>
      <c r="H6" s="375" t="s">
        <v>328</v>
      </c>
      <c r="I6" s="375" t="s">
        <v>328</v>
      </c>
      <c r="J6" s="375" t="s">
        <v>329</v>
      </c>
      <c r="K6" s="375" t="s">
        <v>330</v>
      </c>
      <c r="L6" s="377">
        <v>0</v>
      </c>
      <c r="M6" s="377">
        <v>0</v>
      </c>
      <c r="N6" s="378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297" t="s">
        <v>115</v>
      </c>
      <c r="B1" s="298"/>
      <c r="C1" s="298"/>
      <c r="D1" s="298"/>
      <c r="E1" s="298"/>
      <c r="F1" s="298"/>
      <c r="G1" s="269"/>
      <c r="H1" s="299"/>
      <c r="I1" s="299"/>
    </row>
    <row r="2" spans="1:10" ht="14.4" customHeight="1" thickBot="1" x14ac:dyDescent="0.35">
      <c r="A2" s="200" t="s">
        <v>203</v>
      </c>
      <c r="B2" s="178"/>
      <c r="C2" s="178"/>
      <c r="D2" s="178"/>
      <c r="E2" s="178"/>
      <c r="F2" s="178"/>
    </row>
    <row r="3" spans="1:10" ht="14.4" customHeight="1" thickBot="1" x14ac:dyDescent="0.35">
      <c r="A3" s="200"/>
      <c r="B3" s="178"/>
      <c r="C3" s="246">
        <v>2014</v>
      </c>
      <c r="D3" s="247">
        <v>2015</v>
      </c>
      <c r="E3" s="7"/>
      <c r="F3" s="292">
        <v>2016</v>
      </c>
      <c r="G3" s="293"/>
      <c r="H3" s="293"/>
      <c r="I3" s="294"/>
    </row>
    <row r="4" spans="1:10" ht="14.4" customHeight="1" thickBot="1" x14ac:dyDescent="0.35">
      <c r="A4" s="251" t="s">
        <v>0</v>
      </c>
      <c r="B4" s="252" t="s">
        <v>170</v>
      </c>
      <c r="C4" s="295" t="s">
        <v>59</v>
      </c>
      <c r="D4" s="296"/>
      <c r="E4" s="253"/>
      <c r="F4" s="248" t="s">
        <v>59</v>
      </c>
      <c r="G4" s="249" t="s">
        <v>60</v>
      </c>
      <c r="H4" s="249" t="s">
        <v>54</v>
      </c>
      <c r="I4" s="250" t="s">
        <v>61</v>
      </c>
    </row>
    <row r="5" spans="1:10" ht="14.4" customHeight="1" x14ac:dyDescent="0.3">
      <c r="A5" s="357" t="s">
        <v>312</v>
      </c>
      <c r="B5" s="358" t="s">
        <v>313</v>
      </c>
      <c r="C5" s="359" t="s">
        <v>314</v>
      </c>
      <c r="D5" s="359" t="s">
        <v>314</v>
      </c>
      <c r="E5" s="359"/>
      <c r="F5" s="359" t="s">
        <v>314</v>
      </c>
      <c r="G5" s="359" t="s">
        <v>314</v>
      </c>
      <c r="H5" s="359" t="s">
        <v>314</v>
      </c>
      <c r="I5" s="360" t="s">
        <v>314</v>
      </c>
      <c r="J5" s="361" t="s">
        <v>55</v>
      </c>
    </row>
    <row r="6" spans="1:10" ht="14.4" customHeight="1" x14ac:dyDescent="0.3">
      <c r="A6" s="357" t="s">
        <v>312</v>
      </c>
      <c r="B6" s="358" t="s">
        <v>333</v>
      </c>
      <c r="C6" s="359">
        <v>0</v>
      </c>
      <c r="D6" s="359" t="s">
        <v>314</v>
      </c>
      <c r="E6" s="359"/>
      <c r="F6" s="359" t="s">
        <v>314</v>
      </c>
      <c r="G6" s="359" t="s">
        <v>314</v>
      </c>
      <c r="H6" s="359" t="s">
        <v>314</v>
      </c>
      <c r="I6" s="360" t="s">
        <v>314</v>
      </c>
      <c r="J6" s="361" t="s">
        <v>1</v>
      </c>
    </row>
    <row r="7" spans="1:10" ht="14.4" customHeight="1" x14ac:dyDescent="0.3">
      <c r="A7" s="357" t="s">
        <v>312</v>
      </c>
      <c r="B7" s="358" t="s">
        <v>334</v>
      </c>
      <c r="C7" s="359">
        <v>0</v>
      </c>
      <c r="D7" s="359" t="s">
        <v>314</v>
      </c>
      <c r="E7" s="359"/>
      <c r="F7" s="359" t="s">
        <v>314</v>
      </c>
      <c r="G7" s="359" t="s">
        <v>314</v>
      </c>
      <c r="H7" s="359" t="s">
        <v>314</v>
      </c>
      <c r="I7" s="360" t="s">
        <v>314</v>
      </c>
      <c r="J7" s="361" t="s">
        <v>1</v>
      </c>
    </row>
    <row r="8" spans="1:10" ht="14.4" customHeight="1" x14ac:dyDescent="0.3">
      <c r="A8" s="357" t="s">
        <v>312</v>
      </c>
      <c r="B8" s="358" t="s">
        <v>315</v>
      </c>
      <c r="C8" s="359">
        <v>0</v>
      </c>
      <c r="D8" s="359" t="s">
        <v>314</v>
      </c>
      <c r="E8" s="359"/>
      <c r="F8" s="359" t="s">
        <v>314</v>
      </c>
      <c r="G8" s="359" t="s">
        <v>314</v>
      </c>
      <c r="H8" s="359" t="s">
        <v>314</v>
      </c>
      <c r="I8" s="360" t="s">
        <v>314</v>
      </c>
      <c r="J8" s="361" t="s">
        <v>316</v>
      </c>
    </row>
    <row r="10" spans="1:10" ht="14.4" customHeight="1" x14ac:dyDescent="0.3">
      <c r="A10" s="357" t="s">
        <v>312</v>
      </c>
      <c r="B10" s="358" t="s">
        <v>313</v>
      </c>
      <c r="C10" s="359" t="s">
        <v>314</v>
      </c>
      <c r="D10" s="359" t="s">
        <v>314</v>
      </c>
      <c r="E10" s="359"/>
      <c r="F10" s="359" t="s">
        <v>314</v>
      </c>
      <c r="G10" s="359" t="s">
        <v>314</v>
      </c>
      <c r="H10" s="359" t="s">
        <v>314</v>
      </c>
      <c r="I10" s="360" t="s">
        <v>314</v>
      </c>
      <c r="J10" s="361" t="s">
        <v>55</v>
      </c>
    </row>
    <row r="11" spans="1:10" ht="14.4" customHeight="1" x14ac:dyDescent="0.3">
      <c r="A11" s="357" t="s">
        <v>317</v>
      </c>
      <c r="B11" s="358" t="s">
        <v>318</v>
      </c>
      <c r="C11" s="359" t="s">
        <v>314</v>
      </c>
      <c r="D11" s="359" t="s">
        <v>314</v>
      </c>
      <c r="E11" s="359"/>
      <c r="F11" s="359" t="s">
        <v>314</v>
      </c>
      <c r="G11" s="359" t="s">
        <v>314</v>
      </c>
      <c r="H11" s="359" t="s">
        <v>314</v>
      </c>
      <c r="I11" s="360" t="s">
        <v>314</v>
      </c>
      <c r="J11" s="361" t="s">
        <v>0</v>
      </c>
    </row>
    <row r="12" spans="1:10" ht="14.4" customHeight="1" x14ac:dyDescent="0.3">
      <c r="A12" s="357" t="s">
        <v>317</v>
      </c>
      <c r="B12" s="358" t="s">
        <v>333</v>
      </c>
      <c r="C12" s="359">
        <v>0</v>
      </c>
      <c r="D12" s="359" t="s">
        <v>314</v>
      </c>
      <c r="E12" s="359"/>
      <c r="F12" s="359" t="s">
        <v>314</v>
      </c>
      <c r="G12" s="359" t="s">
        <v>314</v>
      </c>
      <c r="H12" s="359" t="s">
        <v>314</v>
      </c>
      <c r="I12" s="360" t="s">
        <v>314</v>
      </c>
      <c r="J12" s="361" t="s">
        <v>1</v>
      </c>
    </row>
    <row r="13" spans="1:10" ht="14.4" customHeight="1" x14ac:dyDescent="0.3">
      <c r="A13" s="357" t="s">
        <v>317</v>
      </c>
      <c r="B13" s="358" t="s">
        <v>334</v>
      </c>
      <c r="C13" s="359">
        <v>0</v>
      </c>
      <c r="D13" s="359" t="s">
        <v>314</v>
      </c>
      <c r="E13" s="359"/>
      <c r="F13" s="359" t="s">
        <v>314</v>
      </c>
      <c r="G13" s="359" t="s">
        <v>314</v>
      </c>
      <c r="H13" s="359" t="s">
        <v>314</v>
      </c>
      <c r="I13" s="360" t="s">
        <v>314</v>
      </c>
      <c r="J13" s="361" t="s">
        <v>1</v>
      </c>
    </row>
    <row r="14" spans="1:10" ht="14.4" customHeight="1" x14ac:dyDescent="0.3">
      <c r="A14" s="357" t="s">
        <v>317</v>
      </c>
      <c r="B14" s="358" t="s">
        <v>319</v>
      </c>
      <c r="C14" s="359">
        <v>0</v>
      </c>
      <c r="D14" s="359" t="s">
        <v>314</v>
      </c>
      <c r="E14" s="359"/>
      <c r="F14" s="359" t="s">
        <v>314</v>
      </c>
      <c r="G14" s="359" t="s">
        <v>314</v>
      </c>
      <c r="H14" s="359" t="s">
        <v>314</v>
      </c>
      <c r="I14" s="360" t="s">
        <v>314</v>
      </c>
      <c r="J14" s="361" t="s">
        <v>320</v>
      </c>
    </row>
    <row r="15" spans="1:10" ht="14.4" customHeight="1" x14ac:dyDescent="0.3">
      <c r="A15" s="357" t="s">
        <v>314</v>
      </c>
      <c r="B15" s="358" t="s">
        <v>314</v>
      </c>
      <c r="C15" s="359" t="s">
        <v>314</v>
      </c>
      <c r="D15" s="359" t="s">
        <v>314</v>
      </c>
      <c r="E15" s="359"/>
      <c r="F15" s="359" t="s">
        <v>314</v>
      </c>
      <c r="G15" s="359" t="s">
        <v>314</v>
      </c>
      <c r="H15" s="359" t="s">
        <v>314</v>
      </c>
      <c r="I15" s="360" t="s">
        <v>314</v>
      </c>
      <c r="J15" s="361" t="s">
        <v>321</v>
      </c>
    </row>
    <row r="16" spans="1:10" ht="14.4" customHeight="1" x14ac:dyDescent="0.3">
      <c r="A16" s="357" t="s">
        <v>312</v>
      </c>
      <c r="B16" s="358" t="s">
        <v>315</v>
      </c>
      <c r="C16" s="359">
        <v>0</v>
      </c>
      <c r="D16" s="359" t="s">
        <v>314</v>
      </c>
      <c r="E16" s="359"/>
      <c r="F16" s="359" t="s">
        <v>314</v>
      </c>
      <c r="G16" s="359" t="s">
        <v>314</v>
      </c>
      <c r="H16" s="359" t="s">
        <v>314</v>
      </c>
      <c r="I16" s="360" t="s">
        <v>314</v>
      </c>
      <c r="J16" s="361" t="s">
        <v>316</v>
      </c>
    </row>
  </sheetData>
  <mergeCells count="3">
    <mergeCell ref="A1:I1"/>
    <mergeCell ref="F3:I3"/>
    <mergeCell ref="C4:D4"/>
  </mergeCells>
  <conditionalFormatting sqref="F9 F17:F65537">
    <cfRule type="cellIs" dxfId="22" priority="18" stopIfTrue="1" operator="greaterThan">
      <formula>1</formula>
    </cfRule>
  </conditionalFormatting>
  <conditionalFormatting sqref="H5:H8">
    <cfRule type="expression" dxfId="21" priority="14">
      <formula>$H5&gt;0</formula>
    </cfRule>
  </conditionalFormatting>
  <conditionalFormatting sqref="I5:I8">
    <cfRule type="expression" dxfId="20" priority="15">
      <formula>$I5&gt;1</formula>
    </cfRule>
  </conditionalFormatting>
  <conditionalFormatting sqref="B5:B8">
    <cfRule type="expression" dxfId="19" priority="11">
      <formula>OR($J5="NS",$J5="SumaNS",$J5="Účet")</formula>
    </cfRule>
  </conditionalFormatting>
  <conditionalFormatting sqref="F5:I8 B5:D8">
    <cfRule type="expression" dxfId="18" priority="17">
      <formula>AND($J5&lt;&gt;"",$J5&lt;&gt;"mezeraKL")</formula>
    </cfRule>
  </conditionalFormatting>
  <conditionalFormatting sqref="B5:D8 F5:I8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6" priority="13">
      <formula>OR($J5="SumaNS",$J5="NS")</formula>
    </cfRule>
  </conditionalFormatting>
  <conditionalFormatting sqref="A5:A8">
    <cfRule type="expression" dxfId="15" priority="9">
      <formula>AND($J5&lt;&gt;"mezeraKL",$J5&lt;&gt;"")</formula>
    </cfRule>
  </conditionalFormatting>
  <conditionalFormatting sqref="A5:A8">
    <cfRule type="expression" dxfId="14" priority="10">
      <formula>AND($J5&lt;&gt;"",$J5&lt;&gt;"mezeraKL")</formula>
    </cfRule>
  </conditionalFormatting>
  <conditionalFormatting sqref="H10:H16">
    <cfRule type="expression" dxfId="13" priority="5">
      <formula>$H10&gt;0</formula>
    </cfRule>
  </conditionalFormatting>
  <conditionalFormatting sqref="A10:A16">
    <cfRule type="expression" dxfId="12" priority="2">
      <formula>AND($J10&lt;&gt;"mezeraKL",$J10&lt;&gt;"")</formula>
    </cfRule>
  </conditionalFormatting>
  <conditionalFormatting sqref="I10:I16">
    <cfRule type="expression" dxfId="11" priority="6">
      <formula>$I10&gt;1</formula>
    </cfRule>
  </conditionalFormatting>
  <conditionalFormatting sqref="B10:B16">
    <cfRule type="expression" dxfId="10" priority="1">
      <formula>OR($J10="NS",$J10="SumaNS",$J10="Účet")</formula>
    </cfRule>
  </conditionalFormatting>
  <conditionalFormatting sqref="A10:D16 F10:I16">
    <cfRule type="expression" dxfId="9" priority="8">
      <formula>AND($J10&lt;&gt;"",$J10&lt;&gt;"mezeraKL")</formula>
    </cfRule>
  </conditionalFormatting>
  <conditionalFormatting sqref="B10:D16 F10:I16">
    <cfRule type="expression" dxfId="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2016-09-20T14:20:29Z</dcterms:modified>
</cp:coreProperties>
</file>