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Detail'!$A$5:$Q$5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C26" i="419"/>
  <c r="G28" i="419" l="1"/>
  <c r="G27" i="419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7" i="414"/>
  <c r="F3" i="344" l="1"/>
  <c r="D3" i="344"/>
  <c r="B3" i="34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D18" i="419"/>
  <c r="C23" i="419"/>
  <c r="D23" i="419"/>
  <c r="E23" i="419"/>
  <c r="E18" i="419"/>
  <c r="C22" i="419"/>
  <c r="D22" i="419"/>
  <c r="E22" i="419"/>
  <c r="M3" i="418"/>
  <c r="B21" i="419" l="1"/>
  <c r="B22" i="419" l="1"/>
  <c r="A18" i="383"/>
  <c r="G3" i="429"/>
  <c r="F3" i="429"/>
  <c r="E3" i="429"/>
  <c r="D3" i="429"/>
  <c r="C3" i="429"/>
  <c r="B3" i="429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2" i="414"/>
  <c r="C15" i="414"/>
  <c r="D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M3" i="220" l="1"/>
  <c r="L3" i="220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C18" i="414"/>
  <c r="D18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<sst xmlns="http://schemas.openxmlformats.org/spreadsheetml/2006/main" count="1195" uniqueCount="446">
  <si>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</si>
  <si>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</si>
  <si>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</si>
  <si>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</si>
  <si>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</si>
  <si>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</si>
  <si>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</si>
  <si>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</si>
  <si>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</si>
  <si>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</si>
  <si>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</si>
  <si>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</si>
  <si>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</si>
  <si>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</si>
  <si>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</si>
  <si>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</si>
  <si>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</si>
  <si>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</si>
  <si>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</si>
  <si>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</si>
  <si>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</si>
  <si>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</si>
  <si>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</si>
  <si>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</si>
  <si>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</si>
  <si>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</si>
  <si>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</si>
  <si>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</si>
  <si>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</si>
  <si>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</si>
  <si>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</si>
  <si>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</si>
  <si>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</si>
  <si>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</si>
  <si>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</si>
  <si>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</si>
  <si>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</si>
  <si>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</si>
  <si>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</si>
  <si>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</si>
  <si>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</si>
  <si>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</si>
  <si>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</si>
  <si>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</si>
  <si>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</si>
  <si>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</si>
  <si>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</si>
  <si>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</si>
  <si>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</si>
  <si>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</si>
  <si>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</si>
  <si>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</si>
  <si>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</si>
  <si>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</si>
  <si>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</si>
  <si>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</si>
  <si>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</si>
  <si>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</si>
  <si>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</si>
  <si>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</si>
  <si>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</si>
  <si>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</si>
  <si>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</si>
  <si>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</si>
  <si>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</si>
  <si>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</si>
  <si>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</si>
  <si>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</si>
  <si>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</si>
  <si>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</si>
  <si>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</si>
  <si>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</si>
  <si>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</si>
  <si>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</si>
  <si>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</si>
  <si>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</si>
  <si>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</si>
  <si>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</si>
  <si>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</si>
  <si>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</si>
  <si>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</si>
  <si>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</si>
  <si>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</si>
  <si>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</si>
  <si>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</si>
  <si>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</si>
  <si>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</si>
  <si>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</si>
  <si>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</si>
  <si>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</si>
  <si>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</si>
  <si>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</si>
  <si>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</si>
  <si>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</si>
  <si>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</si>
  <si>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</si>
  <si>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</si>
  <si>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</si>
  <si>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</si>
  <si>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</si>
  <si>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</si>
  <si>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</si>
  <si>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</si>
  <si>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</si>
  <si>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</si>
  <si>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</si>
  <si>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</si>
  <si>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</si>
  <si>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</si>
  <si>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</si>
  <si>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</si>
  <si>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</si>
  <si>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</si>
  <si>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</si>
  <si>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</si>
  <si>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</si>
  <si>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</si>
  <si>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</si>
  <si>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</si>
  <si>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</si>
  <si>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</si>
  <si>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</si>
  <si>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</si>
  <si>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</si>
  <si>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</si>
  <si>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</si>
  <si>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</si>
  <si>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</si>
  <si>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</si>
  <si>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</si>
  <si>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</si>
  <si>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</si>
  <si>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</si>
  <si>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</si>
  <si>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</si>
  <si>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</si>
  <si>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</si>
  <si>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</si>
  <si>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</si>
  <si>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</si>
  <si>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</si>
  <si>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</si>
  <si>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</si>
  <si>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</si>
  <si>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</si>
  <si>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</si>
  <si>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</si>
  <si>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</si>
  <si>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</si>
  <si>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</si>
  <si>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</si>
  <si>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</si>
  <si>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</si>
  <si>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</si>
  <si>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</si>
  <si>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</si>
  <si>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</si>
  <si>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</si>
  <si>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</si>
  <si>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</si>
  <si>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</si>
  <si>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</si>
  <si>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</si>
  <si>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</si>
  <si>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</si>
  <si>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</si>
  <si>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</si>
  <si>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</si>
  <si>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</si>
  <si>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</si>
  <si>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</si>
  <si>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</si>
  <si>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</si>
  <si>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</si>
  <si>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</si>
  <si>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</si>
  <si>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</si>
  <si>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</si>
  <si>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</si>
  <si>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</si>
  <si>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</si>
  <si>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</si>
  <si>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</si>
  <si>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</si>
  <si>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</si>
  <si>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</si>
  <si>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</si>
  <si>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</si>
  <si>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</si>
  <si>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</si>
  <si>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</si>
  <si>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</si>
  <si>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</si>
  <si>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</si>
  <si>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</si>
  <si>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</si>
  <si>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</si>
  <si>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</si>
  <si>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</si>
  <si>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</si>
  <si>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</si>
  <si>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</si>
  <si>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</si>
  <si>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</si>
  <si>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</si>
  <si>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</si>
  <si>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</si>
  <si>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</si>
  <si>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</si>
  <si>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</si>
  <si>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</si>
  <si>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</si>
  <si>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</si>
  <si>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</si>
  <si>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</si>
  <si>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</si>
  <si>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</si>
  <si>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</si>
  <si>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</si>
  <si>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</si>
  <si>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</si>
  <si>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</si>
  <si>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</si>
  <si>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</si>
  <si>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</si>
  <si>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</si>
  <si>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</si>
  <si>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</si>
  <si>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</si>
  <si>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</si>
  <si>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</si>
  <si>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</si>
  <si>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</si>
  <si>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</si>
  <si>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</si>
  <si>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</si>
  <si>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</si>
  <si>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</si>
  <si>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</si>
  <si>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</si>
  <si>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</si>
  <si>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</si>
  <si>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</si>
  <si>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</si>
  <si>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</si>
  <si>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</si>
  <si>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</si>
  <si>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</si>
  <si>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</si>
  <si>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</si>
  <si>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</si>
  <si>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</si>
  <si>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</si>
  <si>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</si>
  <si>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</si>
  <si>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</si>
  <si>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</si>
  <si>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</si>
  <si>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</si>
  <si>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</si>
  <si>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</si>
  <si>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</si>
  <si>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</si>
  <si>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</si>
  <si>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</si>
  <si>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</si>
  <si>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</si>
  <si>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</si>
  <si>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</si>
  <si>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</si>
  <si>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</si>
  <si>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</si>
  <si>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</si>
  <si>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</si>
  <si>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</si>
  <si>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</si>
  <si>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</si>
  <si>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</si>
  <si>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</si>
  <si>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</si>
  <si>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</si>
  <si>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</si>
  <si>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</si>
  <si>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</si>
  <si>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</si>
  <si>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</si>
  <si>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</si>
  <si>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</si>
  <si>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</si>
  <si>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</si>
  <si>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</si>
  <si>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</si>
  <si>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</si>
  <si>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</si>
  <si>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</si>
  <si>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</si>
  <si>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</si>
  <si>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</si>
  <si>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</si>
  <si>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</si>
  <si>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</si>
  <si>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</si>
  <si>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</si>
  <si>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</si>
  <si>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</si>
  <si>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</si>
  <si>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</si>
  <si>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</si>
  <si>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</si>
  <si>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</si>
  <si>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</si>
  <si>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</si>
  <si>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</si>
  <si>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</si>
  <si>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</si>
  <si>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</si>
  <si>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</si>
  <si>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</si>
  <si>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</si>
  <si>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</si>
  <si>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</si>
  <si>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</si>
  <si>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</si>
  <si>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50113016</t>
  </si>
  <si>
    <t>O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</si>
  <si>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</si>
  <si>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</si>
  <si>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</si>
  <si>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</si>
  <si>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</si>
  <si>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</si>
  <si>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</si>
  <si>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OKPSY: ambulance - odborná poradna</t>
  </si>
  <si>
    <t>Lékárna - centrové léky</t>
  </si>
  <si>
    <t>50115050     obvazový materiál (Z502)</t>
  </si>
  <si>
    <t>50115060     ZPr - ostatní (Z503)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</si>
  <si>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</si>
  <si>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</si>
  <si>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</si>
  <si>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</si>
  <si>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</si>
  <si>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</si>
  <si>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</si>
  <si>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</si>
  <si>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</si>
  <si>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</si>
  <si>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</si>
  <si>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</si>
  <si>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Kocvrlichová Marta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</si>
  <si>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</si>
  <si>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</si>
  <si>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</si>
  <si>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</si>
  <si>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</si>
  <si>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</si>
  <si>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</si>
  <si>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</si>
  <si>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</si>
  <si>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</si>
  <si>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</si>
  <si>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</si>
  <si>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</si>
  <si>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</si>
  <si>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</si>
  <si>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</si>
  <si>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</si>
  <si>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</si>
  <si>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</si>
  <si>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</si>
  <si>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</si>
  <si>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</si>
  <si>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</si>
  <si>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</si>
  <si>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</si>
  <si>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</si>
  <si>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</si>
  <si>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</si>
  <si>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</si>
  <si>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</si>
  <si>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</si>
  <si>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</si>
  <si>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</si>
  <si>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</si>
  <si>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</si>
  <si>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</si>
  <si>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</si>
  <si>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</si>
  <si>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</si>
  <si>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</si>
  <si>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</si>
  <si>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</si>
  <si>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</si>
  <si>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</si>
  <si>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</si>
  <si>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</si>
  <si>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</si>
  <si>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</si>
  <si>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</si>
  <si>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</si>
  <si>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</si>
  <si>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</si>
  <si>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</si>
  <si>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</si>
  <si>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</si>
  <si>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</si>
  <si>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</si>
  <si>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</si>
  <si>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</si>
  <si>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</si>
  <si>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</si>
  <si>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</si>
  <si>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</si>
  <si>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</si>
  <si>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</si>
  <si>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</si>
  <si>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</si>
  <si>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</si>
  <si>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</si>
  <si>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</si>
  <si>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</si>
  <si>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</si>
  <si>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</si>
  <si>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</si>
  <si>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</si>
  <si>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</si>
  <si>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</si>
  <si>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</si>
  <si>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</si>
  <si>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</si>
  <si>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</si>
  <si>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</si>
  <si>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</si>
  <si>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37125</t>
  </si>
  <si>
    <t>EMERGENTNÍ PSYCHOTERAPIE Á 60 MINUT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</si>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</sst>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1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4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50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50" fillId="4" borderId="4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3" fillId="8" borderId="59" xfId="0" applyNumberFormat="1" applyFont="1" applyFill="1" applyBorder="1"/>
    <xf numFmtId="3" fontId="53" fillId="8" borderId="58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5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3" xfId="0" applyFont="1" applyBorder="1"/>
    <xf numFmtId="3" fontId="32" fillId="0" borderId="83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2" xfId="0" applyNumberFormat="1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79" xfId="0" applyNumberFormat="1" applyFont="1" applyBorder="1"/>
    <xf numFmtId="173" fontId="32" fillId="0" borderId="66" xfId="0" applyNumberFormat="1" applyFont="1" applyBorder="1"/>
    <xf numFmtId="173" fontId="39" fillId="2" borderId="81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9" fillId="0" borderId="69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89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3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1" xfId="0" applyNumberFormat="1" applyFont="1" applyBorder="1"/>
    <xf numFmtId="9" fontId="32" fillId="0" borderId="73" xfId="0" applyNumberFormat="1" applyFont="1" applyBorder="1"/>
    <xf numFmtId="0" fontId="40" fillId="0" borderId="83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9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4" fillId="2" borderId="42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4" fillId="2" borderId="42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5" xfId="53" applyNumberFormat="1" applyFont="1" applyFill="1" applyBorder="1" applyAlignment="1">
      <alignment horizontal="left"/>
    </xf>
    <xf numFmtId="164" fontId="31" fillId="2" borderId="106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09" xfId="0" applyBorder="1" applyAlignment="1">
      <alignment horizontal="right" wrapText="1"/>
    </xf>
    <xf numFmtId="0" fontId="0" fillId="0" borderId="110" xfId="0" applyBorder="1" applyAlignment="1">
      <alignment horizontal="right" wrapText="1"/>
    </xf>
    <xf numFmtId="0" fontId="0" fillId="0" borderId="111" xfId="0" applyBorder="1" applyAlignment="1">
      <alignment horizontal="right"/>
    </xf>
    <xf numFmtId="0" fontId="0" fillId="0" borderId="112" xfId="0" applyBorder="1" applyAlignment="1">
      <alignment horizontal="right"/>
    </xf>
    <xf numFmtId="0" fontId="39" fillId="2" borderId="86" xfId="0" applyFont="1" applyFill="1" applyBorder="1" applyAlignment="1">
      <alignment horizontal="center" vertical="center"/>
    </xf>
    <xf numFmtId="0" fontId="55" fillId="2" borderId="85" xfId="0" applyFont="1" applyFill="1" applyBorder="1" applyAlignment="1">
      <alignment horizontal="center" vertical="center" wrapText="1"/>
    </xf>
    <xf numFmtId="174" fontId="32" fillId="2" borderId="86" xfId="0" applyNumberFormat="1" applyFont="1" applyFill="1" applyBorder="1" applyAlignment="1"/>
    <xf numFmtId="174" fontId="32" fillId="0" borderId="84" xfId="0" applyNumberFormat="1" applyFont="1" applyBorder="1"/>
    <xf numFmtId="174" fontId="32" fillId="0" borderId="114" xfId="0" applyNumberFormat="1" applyFont="1" applyBorder="1"/>
    <xf numFmtId="173" fontId="39" fillId="4" borderId="86" xfId="0" applyNumberFormat="1" applyFont="1" applyFill="1" applyBorder="1" applyAlignment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2" borderId="86" xfId="0" applyNumberFormat="1" applyFont="1" applyFill="1" applyBorder="1" applyAlignment="1"/>
    <xf numFmtId="173" fontId="32" fillId="0" borderId="114" xfId="0" applyNumberFormat="1" applyFont="1" applyBorder="1"/>
    <xf numFmtId="173" fontId="32" fillId="0" borderId="86" xfId="0" applyNumberFormat="1" applyFont="1" applyBorder="1"/>
    <xf numFmtId="173" fontId="39" fillId="4" borderId="115" xfId="0" applyNumberFormat="1" applyFont="1" applyFill="1" applyBorder="1" applyAlignment="1">
      <alignment horizontal="center"/>
    </xf>
    <xf numFmtId="173" fontId="32" fillId="0" borderId="116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0" fontId="0" fillId="0" borderId="113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 wrapText="1"/>
    </xf>
    <xf numFmtId="175" fontId="32" fillId="0" borderId="70" xfId="0" applyNumberFormat="1" applyFont="1" applyBorder="1" applyAlignment="1">
      <alignment horizontal="right"/>
    </xf>
    <xf numFmtId="173" fontId="32" fillId="0" borderId="78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6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9" fontId="32" fillId="0" borderId="66" xfId="0" applyNumberFormat="1" applyFont="1" applyFill="1" applyBorder="1"/>
    <xf numFmtId="9" fontId="32" fillId="0" borderId="64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0.73907345627480969</c:v>
                </c:pt>
                <c:pt idx="1">
                  <c:v>0.70369106508893997</c:v>
                </c:pt>
                <c:pt idx="2">
                  <c:v>0.7196025904454405</c:v>
                </c:pt>
                <c:pt idx="3">
                  <c:v>0.70577622219204128</c:v>
                </c:pt>
                <c:pt idx="4">
                  <c:v>0.7015897759565044</c:v>
                </c:pt>
                <c:pt idx="5">
                  <c:v>0.69167997286703764</c:v>
                </c:pt>
                <c:pt idx="6">
                  <c:v>0.62510260727583089</c:v>
                </c:pt>
                <c:pt idx="7">
                  <c:v>0.60991267333333055</c:v>
                </c:pt>
                <c:pt idx="8">
                  <c:v>0.61008545673703973</c:v>
                </c:pt>
                <c:pt idx="9">
                  <c:v>0.61600224698367101</c:v>
                </c:pt>
                <c:pt idx="10">
                  <c:v>0.61486291034276408</c:v>
                </c:pt>
                <c:pt idx="11">
                  <c:v>0.58718142748429558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4752"/>
        <c:axId val="-296274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0.54053549677898349</c:v>
                </c:pt>
                <c:pt idx="1">
                  <c:v>0.54053549677898349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8224"/>
        <c:axId val="-296272032"/>
      </c:scatterChart>
      <c:catAx>
        <c:axId val="-29627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4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96274752"/>
        <c:crosses val="autoZero"/>
        <c:crossBetween val="between"/>
      </c:valAx>
      <c:valAx>
        <c:axId val="-296268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2032"/>
        <c:crosses val="max"/>
        <c:crossBetween val="midCat"/>
      </c:valAx>
      <c:valAx>
        <c:axId val="-296272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68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68" t="s">
        <v>94</v>
      </c>
      <c r="B1" s="268"/>
    </row>
    <row r="2" spans="1:3" ht="14.4" customHeight="1" thickBot="1" x14ac:dyDescent="0.35">
      <c r="A2" s="200" t="s">
        <v>203</v>
      </c>
      <c r="B2" s="41"/>
    </row>
    <row r="3" spans="1:3" ht="14.4" customHeight="1" thickBot="1" x14ac:dyDescent="0.35">
      <c r="A3" s="264" t="s">
        <v>116</v>
      </c>
      <c r="B3" s="265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205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66" t="s">
        <v>95</v>
      </c>
      <c r="B10" s="265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100</v>
      </c>
    </row>
    <row r="12" spans="1:3" ht="14.4" customHeight="1" x14ac:dyDescent="0.3">
      <c r="A12" s="119" t="str">
        <f t="shared" ref="A12:A14" si="2">HYPERLINK("#'"&amp;C12&amp;"'!A1",C12)</f>
        <v>LŽ Detail</v>
      </c>
      <c r="B12" s="66" t="s">
        <v>130</v>
      </c>
      <c r="C12" s="42" t="s">
        <v>101</v>
      </c>
    </row>
    <row r="13" spans="1:3" ht="14.4" customHeight="1" x14ac:dyDescent="0.3">
      <c r="A13" s="121" t="str">
        <f t="shared" ref="A13" si="3">HYPERLINK("#'"&amp;C13&amp;"'!A1",C13)</f>
        <v>Materiál Žádanky</v>
      </c>
      <c r="B13" s="66" t="s">
        <v>115</v>
      </c>
      <c r="C13" s="42" t="s">
        <v>102</v>
      </c>
    </row>
    <row r="14" spans="1:3" ht="14.4" customHeight="1" thickBot="1" x14ac:dyDescent="0.35">
      <c r="A14" s="121" t="str">
        <f t="shared" si="2"/>
        <v>Osobní náklady</v>
      </c>
      <c r="B14" s="66" t="s">
        <v>92</v>
      </c>
      <c r="C14" s="42" t="s">
        <v>103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67" t="s">
        <v>96</v>
      </c>
      <c r="B16" s="265"/>
    </row>
    <row r="17" spans="1:3" ht="14.4" customHeight="1" x14ac:dyDescent="0.3">
      <c r="A17" s="122" t="str">
        <f t="shared" ref="A17:A21" si="4">HYPERLINK("#'"&amp;C17&amp;"'!A1",C17)</f>
        <v>ZV Vykáz.-A</v>
      </c>
      <c r="B17" s="65" t="s">
        <v>338</v>
      </c>
      <c r="C17" s="42" t="s">
        <v>106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359</v>
      </c>
      <c r="C18" s="42" t="s">
        <v>173</v>
      </c>
    </row>
    <row r="19" spans="1:3" ht="14.4" customHeight="1" x14ac:dyDescent="0.3">
      <c r="A19" s="119" t="str">
        <f t="shared" si="4"/>
        <v>ZV Vykáz.-A Detail</v>
      </c>
      <c r="B19" s="66" t="s">
        <v>390</v>
      </c>
      <c r="C19" s="42" t="s">
        <v>107</v>
      </c>
    </row>
    <row r="20" spans="1:3" ht="14.4" customHeight="1" x14ac:dyDescent="0.3">
      <c r="A20" s="119" t="str">
        <f t="shared" si="4"/>
        <v>ZV Vykáz.-H</v>
      </c>
      <c r="B20" s="66" t="s">
        <v>110</v>
      </c>
      <c r="C20" s="42" t="s">
        <v>108</v>
      </c>
    </row>
    <row r="21" spans="1:3" ht="14.4" customHeight="1" x14ac:dyDescent="0.3">
      <c r="A21" s="119" t="str">
        <f t="shared" si="4"/>
        <v>ZV Vykáz.-H Detail</v>
      </c>
      <c r="B21" s="66" t="s">
        <v>445</v>
      </c>
      <c r="C21" s="42" t="s">
        <v>109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68" t="s">
        <v>104</v>
      </c>
      <c r="B1" s="268"/>
      <c r="C1" s="269"/>
      <c r="D1" s="269"/>
      <c r="E1" s="269"/>
    </row>
    <row r="2" spans="1:5" ht="14.4" customHeight="1" thickBot="1" x14ac:dyDescent="0.35">
      <c r="A2" s="200" t="s">
        <v>203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7526.7545318370403</v>
      </c>
      <c r="D4" s="133">
        <f ca="1">IF(ISERROR(VLOOKUP("Náklady celkem",INDIRECT("HI!$A:$G"),5,0)),0,VLOOKUP("Náklady celkem",INDIRECT("HI!$A:$G"),5,0))</f>
        <v>8011.1520900000032</v>
      </c>
      <c r="E4" s="134">
        <f ca="1">IF(C4=0,0,D4/C4)</f>
        <v>1.0643567630794966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1.0000000902790001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120</v>
      </c>
      <c r="B8" s="140"/>
      <c r="C8" s="141"/>
      <c r="D8" s="141"/>
      <c r="E8" s="138"/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4" t="s">
        <v>125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97</v>
      </c>
      <c r="C11" s="141">
        <f>IF(ISERROR(HI!F6),"",HI!F6)</f>
        <v>0</v>
      </c>
      <c r="D11" s="141">
        <f>IF(ISERROR(HI!E6),"",HI!E6)</f>
        <v>0</v>
      </c>
      <c r="E11" s="138">
        <f t="shared" si="0"/>
        <v>0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7196.0006496512306</v>
      </c>
      <c r="D12" s="137">
        <f ca="1">IF(ISERROR(VLOOKUP("Osobní náklady (Kč) *",INDIRECT("HI!$A:$G"),5,0)),0,VLOOKUP("Osobní náklady (Kč) *",INDIRECT("HI!$A:$G"),5,0))</f>
        <v>7683.3012300000037</v>
      </c>
      <c r="E12" s="138">
        <f ca="1">IF(C12=0,0,D12/C12)</f>
        <v>1.0677182513001011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4068.4780000000001</v>
      </c>
      <c r="D14" s="156">
        <f ca="1">IF(ISERROR(VLOOKUP("Výnosy celkem",INDIRECT("HI!$A:$G"),5,0)),0,VLOOKUP("Výnosy celkem",INDIRECT("HI!$A:$G"),5,0))</f>
        <v>4703.9996500000007</v>
      </c>
      <c r="E14" s="157">
        <f t="shared" ref="E14:E17" ca="1" si="1">IF(C14=0,0,D14/C14)</f>
        <v>1.1562062397781185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4068.4780000000001</v>
      </c>
      <c r="D15" s="137">
        <f ca="1">IF(ISERROR(VLOOKUP("Ambulance *",INDIRECT("HI!$A:$G"),5,0)),0,VLOOKUP("Ambulance *",INDIRECT("HI!$A:$G"),5,0))</f>
        <v>4703.9996500000007</v>
      </c>
      <c r="E15" s="138">
        <f t="shared" ca="1" si="1"/>
        <v>1.1562062397781185</v>
      </c>
    </row>
    <row r="16" spans="1:5" ht="14.4" customHeight="1" x14ac:dyDescent="0.3">
      <c r="A16" s="159" t="str">
        <f>HYPERLINK("#'ZV Vykáz.-A'!A1","Zdravotní výkony vykázané u ambulantních pacientů (min. 100 %)")</f>
        <v>Zdravotní výkony vykázané u ambulantních pacientů (min. 100 %)</v>
      </c>
      <c r="B16" s="123" t="s">
        <v>106</v>
      </c>
      <c r="C16" s="142">
        <v>1</v>
      </c>
      <c r="D16" s="142">
        <f>IF(ISERROR(VLOOKUP("Celkem:",'ZV Vykáz.-A'!$A:$S,7,0)),"",VLOOKUP("Celkem:",'ZV Vykáz.-A'!$A:$S,7,0))</f>
        <v>1.1562062397781185</v>
      </c>
      <c r="E16" s="138">
        <f t="shared" si="1"/>
        <v>1.1562062397781185</v>
      </c>
    </row>
    <row r="17" spans="1:5" ht="14.4" customHeight="1" x14ac:dyDescent="0.3">
      <c r="A17" s="159" t="str">
        <f>HYPERLINK("#'ZV Vykáz.-H'!A1","Zdravotní výkony vykázané u hospitalizovaných pacientů (max. 85 %)")</f>
        <v>Zdravotní výkony vykázané u hospitalizovaných pacientů (max. 85 %)</v>
      </c>
      <c r="B17" s="123" t="s">
        <v>108</v>
      </c>
      <c r="C17" s="142">
        <v>0.85</v>
      </c>
      <c r="D17" s="142">
        <f>IF(ISERROR(VLOOKUP("Celkem:",'ZV Vykáz.-H'!$A:$S,7,0)),"",VLOOKUP("Celkem:",'ZV Vykáz.-H'!$A:$S,7,0))</f>
        <v>1.2976005194107136</v>
      </c>
      <c r="E17" s="138">
        <f t="shared" si="1"/>
        <v>1.5265888463655455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0"/>
      <c r="C18" s="137">
        <f ca="1">IF(ISERROR(VLOOKUP("Hospitalizace *",INDIRECT("HI!$A:$G"),6,0)),0,VLOOKUP("Hospitalizace *",INDIRECT("HI!$A:$G"),6,0))</f>
        <v>0</v>
      </c>
      <c r="D18" s="137">
        <f ca="1">IF(ISERROR(VLOOKUP("Hospitalizace *",INDIRECT("HI!$A:$G"),5,0)),0,VLOOKUP("Hospitalizace *",INDIRECT("HI!$A:$G"),5,0))</f>
        <v>0</v>
      </c>
      <c r="E18" s="138">
        <f ca="1">IF(C18=0,0,D18/C18)</f>
        <v>0</v>
      </c>
    </row>
    <row r="19" spans="1:5" ht="14.4" customHeight="1" thickBot="1" x14ac:dyDescent="0.35">
      <c r="A19" s="161" t="s">
        <v>122</v>
      </c>
      <c r="B19" s="147"/>
      <c r="C19" s="148"/>
      <c r="D19" s="148"/>
      <c r="E19" s="149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123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4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68" t="s">
        <v>113</v>
      </c>
      <c r="B1" s="268"/>
      <c r="C1" s="268"/>
      <c r="D1" s="268"/>
      <c r="E1" s="268"/>
      <c r="F1" s="268"/>
      <c r="G1" s="269"/>
      <c r="H1" s="269"/>
    </row>
    <row r="2" spans="1:8" ht="14.4" customHeight="1" thickBot="1" x14ac:dyDescent="0.35">
      <c r="A2" s="200" t="s">
        <v>203</v>
      </c>
      <c r="B2" s="86"/>
      <c r="C2" s="86"/>
      <c r="D2" s="86"/>
      <c r="E2" s="86"/>
      <c r="F2" s="86"/>
    </row>
    <row r="3" spans="1:8" ht="14.4" customHeight="1" x14ac:dyDescent="0.3">
      <c r="A3" s="270"/>
      <c r="B3" s="82">
        <v>2014</v>
      </c>
      <c r="C3" s="40">
        <v>2015</v>
      </c>
      <c r="D3" s="7"/>
      <c r="E3" s="274">
        <v>2016</v>
      </c>
      <c r="F3" s="275"/>
      <c r="G3" s="275"/>
      <c r="H3" s="276"/>
    </row>
    <row r="4" spans="1:8" ht="14.4" customHeight="1" thickBot="1" x14ac:dyDescent="0.35">
      <c r="A4" s="271"/>
      <c r="B4" s="272" t="s">
        <v>59</v>
      </c>
      <c r="C4" s="273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</v>
      </c>
      <c r="C5" s="29">
        <v>0.75165000000000004</v>
      </c>
      <c r="D5" s="8"/>
      <c r="E5" s="92">
        <v>0</v>
      </c>
      <c r="F5" s="28">
        <v>1.0000000902790001</v>
      </c>
      <c r="G5" s="91">
        <f>E5-F5</f>
        <v>-1.0000000902790001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6813.0447800000038</v>
      </c>
      <c r="C7" s="31">
        <v>7160.9778299999989</v>
      </c>
      <c r="D7" s="8"/>
      <c r="E7" s="93">
        <v>7683.3012300000037</v>
      </c>
      <c r="F7" s="30">
        <v>7196.0006496512306</v>
      </c>
      <c r="G7" s="94">
        <f>E7-F7</f>
        <v>487.30058034877311</v>
      </c>
      <c r="H7" s="98">
        <f>IF(F7&lt;0.00000001,"",E7/F7)</f>
        <v>1.0677182513001011</v>
      </c>
    </row>
    <row r="8" spans="1:8" ht="14.4" customHeight="1" thickBot="1" x14ac:dyDescent="0.35">
      <c r="A8" s="1" t="s">
        <v>62</v>
      </c>
      <c r="B8" s="11">
        <v>377.91354999999839</v>
      </c>
      <c r="C8" s="33">
        <v>415.50777000000306</v>
      </c>
      <c r="D8" s="8"/>
      <c r="E8" s="95">
        <v>327.85085999999956</v>
      </c>
      <c r="F8" s="32">
        <v>329.75388209553074</v>
      </c>
      <c r="G8" s="96">
        <f>E8-F8</f>
        <v>-1.9030220955311847</v>
      </c>
      <c r="H8" s="99">
        <f>IF(F8&lt;0.00000001,"",E8/F8)</f>
        <v>0.99422896226895707</v>
      </c>
    </row>
    <row r="9" spans="1:8" ht="14.4" customHeight="1" thickBot="1" x14ac:dyDescent="0.35">
      <c r="A9" s="2" t="s">
        <v>63</v>
      </c>
      <c r="B9" s="3">
        <v>7190.9583300000022</v>
      </c>
      <c r="C9" s="35">
        <v>7577.2372500000019</v>
      </c>
      <c r="D9" s="8"/>
      <c r="E9" s="3">
        <v>8011.1520900000032</v>
      </c>
      <c r="F9" s="34">
        <v>7526.7545318370403</v>
      </c>
      <c r="G9" s="34">
        <f>E9-F9</f>
        <v>484.39755816296292</v>
      </c>
      <c r="H9" s="100">
        <f>IF(F9&lt;0.00000001,"",E9/F9)</f>
        <v>1.0643567630794966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4068.4780000000001</v>
      </c>
      <c r="C11" s="29">
        <f>IF(ISERROR(VLOOKUP("Celkem:",'ZV Vykáz.-A'!A:F,4,0)),0,VLOOKUP("Celkem:",'ZV Vykáz.-A'!A:F,4,0)/1000)</f>
        <v>4082.9380199999996</v>
      </c>
      <c r="D11" s="8"/>
      <c r="E11" s="92">
        <f>IF(ISERROR(VLOOKUP("Celkem:",'ZV Vykáz.-A'!A:F,6,0)),0,VLOOKUP("Celkem:",'ZV Vykáz.-A'!A:F,6,0)/1000)</f>
        <v>4703.9996500000007</v>
      </c>
      <c r="F11" s="28">
        <f>B11</f>
        <v>4068.4780000000001</v>
      </c>
      <c r="G11" s="91">
        <f>E11-F11</f>
        <v>635.52165000000059</v>
      </c>
      <c r="H11" s="97">
        <f>IF(F11&lt;0.00000001,"",E11/F11)</f>
        <v>1.1562062397781185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4068.4780000000001</v>
      </c>
      <c r="C13" s="37">
        <f>SUM(C11:C12)</f>
        <v>4082.9380199999996</v>
      </c>
      <c r="D13" s="8"/>
      <c r="E13" s="5">
        <f>SUM(E11:E12)</f>
        <v>4703.9996500000007</v>
      </c>
      <c r="F13" s="36">
        <f>SUM(F11:F12)</f>
        <v>4068.4780000000001</v>
      </c>
      <c r="G13" s="36">
        <f>E13-F13</f>
        <v>635.52165000000059</v>
      </c>
      <c r="H13" s="101">
        <f>IF(F13&lt;0.00000001,"",E13/F13)</f>
        <v>1.1562062397781185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0.56577688442814256</v>
      </c>
      <c r="C15" s="39">
        <f>IF(C9=0,"",C13/C9)</f>
        <v>0.53884257352506659</v>
      </c>
      <c r="D15" s="8"/>
      <c r="E15" s="6">
        <f>IF(E9=0,"",E13/E9)</f>
        <v>0.58718141874647634</v>
      </c>
      <c r="F15" s="38">
        <f>IF(F9=0,"",F13/F9)</f>
        <v>0.54053549677898349</v>
      </c>
      <c r="G15" s="38">
        <f>IF(ISERROR(F15-E15),"",E15-F15)</f>
        <v>4.6645921967492843E-2</v>
      </c>
      <c r="H15" s="102">
        <f>IF(ISERROR(F15-E15),"",IF(F15&lt;0.00000001,"",E15/F15))</f>
        <v>1.086295760862058</v>
      </c>
    </row>
    <row r="17" spans="1:8" ht="14.4" customHeight="1" x14ac:dyDescent="0.3">
      <c r="A17" s="88" t="s">
        <v>127</v>
      </c>
    </row>
    <row r="18" spans="1:8" ht="14.4" customHeight="1" x14ac:dyDescent="0.3">
      <c r="A18" s="241" t="s">
        <v>158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157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89" t="s">
        <v>171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202</v>
      </c>
    </row>
    <row r="23" spans="1:8" ht="14.4" customHeight="1" x14ac:dyDescent="0.3">
      <c r="A23" s="90" t="s">
        <v>129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68" t="s">
        <v>90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4.4" customHeight="1" x14ac:dyDescent="0.3">
      <c r="A2" s="200" t="s">
        <v>203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0"/>
      <c r="B3" s="171" t="s">
        <v>68</v>
      </c>
      <c r="C3" s="172" t="s">
        <v>69</v>
      </c>
      <c r="D3" s="172" t="s">
        <v>70</v>
      </c>
      <c r="E3" s="171" t="s">
        <v>71</v>
      </c>
      <c r="F3" s="172" t="s">
        <v>72</v>
      </c>
      <c r="G3" s="172" t="s">
        <v>73</v>
      </c>
      <c r="H3" s="172" t="s">
        <v>74</v>
      </c>
      <c r="I3" s="172" t="s">
        <v>75</v>
      </c>
      <c r="J3" s="172" t="s">
        <v>76</v>
      </c>
      <c r="K3" s="172" t="s">
        <v>77</v>
      </c>
      <c r="L3" s="172" t="s">
        <v>78</v>
      </c>
      <c r="M3" s="172" t="s">
        <v>79</v>
      </c>
    </row>
    <row r="4" spans="1:13" ht="14.4" customHeight="1" x14ac:dyDescent="0.3">
      <c r="A4" s="170" t="s">
        <v>67</v>
      </c>
      <c r="B4" s="173">
        <f>(B10+B8)/B6</f>
        <v>0.73907345627480969</v>
      </c>
      <c r="C4" s="173">
        <f t="shared" ref="C4:M4" si="0">(C10+C8)/C6</f>
        <v>0.70369106508893997</v>
      </c>
      <c r="D4" s="173">
        <f t="shared" si="0"/>
        <v>0.7196025904454405</v>
      </c>
      <c r="E4" s="173">
        <f t="shared" si="0"/>
        <v>0.70577622219204128</v>
      </c>
      <c r="F4" s="173">
        <f t="shared" si="0"/>
        <v>0.7015897759565044</v>
      </c>
      <c r="G4" s="173">
        <f t="shared" si="0"/>
        <v>0.69167997286703764</v>
      </c>
      <c r="H4" s="173">
        <f t="shared" si="0"/>
        <v>0.62510260727583089</v>
      </c>
      <c r="I4" s="173">
        <f t="shared" si="0"/>
        <v>0.60991267333333055</v>
      </c>
      <c r="J4" s="173">
        <f t="shared" si="0"/>
        <v>0.61008545673703973</v>
      </c>
      <c r="K4" s="173">
        <f t="shared" si="0"/>
        <v>0.61600224698367101</v>
      </c>
      <c r="L4" s="173">
        <f t="shared" si="0"/>
        <v>0.61486291034276408</v>
      </c>
      <c r="M4" s="173">
        <f t="shared" si="0"/>
        <v>0.58718142748429558</v>
      </c>
    </row>
    <row r="5" spans="1:13" ht="14.4" customHeight="1" x14ac:dyDescent="0.3">
      <c r="A5" s="174" t="s">
        <v>39</v>
      </c>
      <c r="B5" s="173">
        <f>IF(ISERROR(VLOOKUP($A5,'Man Tab'!$A:$Q,COLUMN()+2,0)),0,VLOOKUP($A5,'Man Tab'!$A:$Q,COLUMN()+2,0))</f>
        <v>641.58439999999996</v>
      </c>
      <c r="C5" s="173">
        <f>IF(ISERROR(VLOOKUP($A5,'Man Tab'!$A:$Q,COLUMN()+2,0)),0,VLOOKUP($A5,'Man Tab'!$A:$Q,COLUMN()+2,0))</f>
        <v>625.54930999999999</v>
      </c>
      <c r="D5" s="173">
        <f>IF(ISERROR(VLOOKUP($A5,'Man Tab'!$A:$Q,COLUMN()+2,0)),0,VLOOKUP($A5,'Man Tab'!$A:$Q,COLUMN()+2,0))</f>
        <v>637.95486000000005</v>
      </c>
      <c r="E5" s="173">
        <f>IF(ISERROR(VLOOKUP($A5,'Man Tab'!$A:$Q,COLUMN()+2,0)),0,VLOOKUP($A5,'Man Tab'!$A:$Q,COLUMN()+2,0))</f>
        <v>605.39414999999997</v>
      </c>
      <c r="F5" s="173">
        <f>IF(ISERROR(VLOOKUP($A5,'Man Tab'!$A:$Q,COLUMN()+2,0)),0,VLOOKUP($A5,'Man Tab'!$A:$Q,COLUMN()+2,0))</f>
        <v>627.95384999999999</v>
      </c>
      <c r="G5" s="173">
        <f>IF(ISERROR(VLOOKUP($A5,'Man Tab'!$A:$Q,COLUMN()+2,0)),0,VLOOKUP($A5,'Man Tab'!$A:$Q,COLUMN()+2,0))</f>
        <v>598.36146000000099</v>
      </c>
      <c r="H5" s="173">
        <f>IF(ISERROR(VLOOKUP($A5,'Man Tab'!$A:$Q,COLUMN()+2,0)),0,VLOOKUP($A5,'Man Tab'!$A:$Q,COLUMN()+2,0))</f>
        <v>820.42021999999997</v>
      </c>
      <c r="I5" s="173">
        <f>IF(ISERROR(VLOOKUP($A5,'Man Tab'!$A:$Q,COLUMN()+2,0)),0,VLOOKUP($A5,'Man Tab'!$A:$Q,COLUMN()+2,0))</f>
        <v>611.44577000000004</v>
      </c>
      <c r="J5" s="173">
        <f>IF(ISERROR(VLOOKUP($A5,'Man Tab'!$A:$Q,COLUMN()+2,0)),0,VLOOKUP($A5,'Man Tab'!$A:$Q,COLUMN()+2,0))</f>
        <v>626.82521999999994</v>
      </c>
      <c r="K5" s="173">
        <f>IF(ISERROR(VLOOKUP($A5,'Man Tab'!$A:$Q,COLUMN()+2,0)),0,VLOOKUP($A5,'Man Tab'!$A:$Q,COLUMN()+2,0))</f>
        <v>647.81525999999997</v>
      </c>
      <c r="L5" s="173">
        <f>IF(ISERROR(VLOOKUP($A5,'Man Tab'!$A:$Q,COLUMN()+2,0)),0,VLOOKUP($A5,'Man Tab'!$A:$Q,COLUMN()+2,0))</f>
        <v>808.17434999999898</v>
      </c>
      <c r="M5" s="173">
        <f>IF(ISERROR(VLOOKUP($A5,'Man Tab'!$A:$Q,COLUMN()+2,0)),0,VLOOKUP($A5,'Man Tab'!$A:$Q,COLUMN()+2,0))</f>
        <v>759.67324000000303</v>
      </c>
    </row>
    <row r="6" spans="1:13" ht="14.4" customHeight="1" x14ac:dyDescent="0.3">
      <c r="A6" s="174" t="s">
        <v>63</v>
      </c>
      <c r="B6" s="175">
        <f>B5</f>
        <v>641.58439999999996</v>
      </c>
      <c r="C6" s="175">
        <f t="shared" ref="C6:M6" si="1">C5+B6</f>
        <v>1267.1337100000001</v>
      </c>
      <c r="D6" s="175">
        <f t="shared" si="1"/>
        <v>1905.0885700000001</v>
      </c>
      <c r="E6" s="175">
        <f t="shared" si="1"/>
        <v>2510.48272</v>
      </c>
      <c r="F6" s="175">
        <f t="shared" si="1"/>
        <v>3138.4365699999998</v>
      </c>
      <c r="G6" s="175">
        <f t="shared" si="1"/>
        <v>3736.7980300000008</v>
      </c>
      <c r="H6" s="175">
        <f t="shared" si="1"/>
        <v>4557.2182500000008</v>
      </c>
      <c r="I6" s="175">
        <f t="shared" si="1"/>
        <v>5168.6640200000011</v>
      </c>
      <c r="J6" s="175">
        <f t="shared" si="1"/>
        <v>5795.4892400000008</v>
      </c>
      <c r="K6" s="175">
        <f t="shared" si="1"/>
        <v>6443.3045000000011</v>
      </c>
      <c r="L6" s="175">
        <f t="shared" si="1"/>
        <v>7251.4788500000004</v>
      </c>
      <c r="M6" s="175">
        <f t="shared" si="1"/>
        <v>8011.1520900000032</v>
      </c>
    </row>
    <row r="7" spans="1:13" ht="14.4" customHeight="1" x14ac:dyDescent="0.3">
      <c r="A7" s="174" t="s">
        <v>88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" customHeight="1" x14ac:dyDescent="0.3">
      <c r="A8" s="174" t="s">
        <v>64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" customHeight="1" x14ac:dyDescent="0.3">
      <c r="A9" s="174" t="s">
        <v>89</v>
      </c>
      <c r="B9" s="174">
        <v>474178</v>
      </c>
      <c r="C9" s="174">
        <v>417492.6700000001</v>
      </c>
      <c r="D9" s="174">
        <v>479236</v>
      </c>
      <c r="E9" s="174">
        <v>400932.34</v>
      </c>
      <c r="F9" s="174">
        <v>430056</v>
      </c>
      <c r="G9" s="174">
        <v>382773.35000000009</v>
      </c>
      <c r="H9" s="174">
        <v>264060.65000000002</v>
      </c>
      <c r="I9" s="174">
        <v>303704.68</v>
      </c>
      <c r="J9" s="174">
        <v>383310.01</v>
      </c>
      <c r="K9" s="174">
        <v>433346.35000000003</v>
      </c>
      <c r="L9" s="174">
        <v>489575.33999999997</v>
      </c>
      <c r="M9" s="174">
        <v>245334.33000000002</v>
      </c>
    </row>
    <row r="10" spans="1:13" ht="14.4" customHeight="1" x14ac:dyDescent="0.3">
      <c r="A10" s="174" t="s">
        <v>65</v>
      </c>
      <c r="B10" s="175">
        <f>B9/1000</f>
        <v>474.178</v>
      </c>
      <c r="C10" s="175">
        <f t="shared" ref="C10:M10" si="3">C9/1000+B10</f>
        <v>891.67067000000009</v>
      </c>
      <c r="D10" s="175">
        <f t="shared" si="3"/>
        <v>1370.9066700000001</v>
      </c>
      <c r="E10" s="175">
        <f t="shared" si="3"/>
        <v>1771.8390100000001</v>
      </c>
      <c r="F10" s="175">
        <f t="shared" si="3"/>
        <v>2201.8950100000002</v>
      </c>
      <c r="G10" s="175">
        <f t="shared" si="3"/>
        <v>2584.6683600000001</v>
      </c>
      <c r="H10" s="175">
        <f t="shared" si="3"/>
        <v>2848.72901</v>
      </c>
      <c r="I10" s="175">
        <f t="shared" si="3"/>
        <v>3152.4336899999998</v>
      </c>
      <c r="J10" s="175">
        <f t="shared" si="3"/>
        <v>3535.7437</v>
      </c>
      <c r="K10" s="175">
        <f t="shared" si="3"/>
        <v>3969.0900499999998</v>
      </c>
      <c r="L10" s="175">
        <f t="shared" si="3"/>
        <v>4458.6653900000001</v>
      </c>
      <c r="M10" s="175">
        <f t="shared" si="3"/>
        <v>4703.9997199999998</v>
      </c>
    </row>
    <row r="11" spans="1:13" ht="14.4" customHeight="1" x14ac:dyDescent="0.3">
      <c r="A11" s="170"/>
      <c r="B11" s="170" t="s">
        <v>80</v>
      </c>
      <c r="C11" s="170">
        <f ca="1">IF(MONTH(TODAY())=1,12,MONTH(TODAY())-1)</f>
        <v>12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" customHeight="1" x14ac:dyDescent="0.3">
      <c r="A12" s="170">
        <v>0</v>
      </c>
      <c r="B12" s="173">
        <f>IF(ISERROR(HI!F15),#REF!,HI!F15)</f>
        <v>0.54053549677898349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" customHeight="1" x14ac:dyDescent="0.3">
      <c r="A13" s="170">
        <v>1</v>
      </c>
      <c r="B13" s="173">
        <f>IF(ISERROR(HI!F15),#REF!,HI!F15)</f>
        <v>0.54053549677898349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6" customFormat="1" ht="18.600000000000001" customHeight="1" thickBot="1" x14ac:dyDescent="0.4">
      <c r="A1" s="277" t="s">
        <v>205</v>
      </c>
      <c r="B1" s="277"/>
      <c r="C1" s="277"/>
      <c r="D1" s="277"/>
      <c r="E1" s="277"/>
      <c r="F1" s="277"/>
      <c r="G1" s="277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s="176" customFormat="1" ht="14.4" customHeight="1" thickBot="1" x14ac:dyDescent="0.3">
      <c r="A2" s="200" t="s">
        <v>203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" customHeight="1" x14ac:dyDescent="0.3">
      <c r="A3" s="60"/>
      <c r="B3" s="278" t="s">
        <v>15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182</v>
      </c>
      <c r="E4" s="104" t="s">
        <v>183</v>
      </c>
      <c r="F4" s="104" t="s">
        <v>184</v>
      </c>
      <c r="G4" s="104" t="s">
        <v>185</v>
      </c>
      <c r="H4" s="104" t="s">
        <v>186</v>
      </c>
      <c r="I4" s="104" t="s">
        <v>187</v>
      </c>
      <c r="J4" s="104" t="s">
        <v>188</v>
      </c>
      <c r="K4" s="104" t="s">
        <v>189</v>
      </c>
      <c r="L4" s="104" t="s">
        <v>190</v>
      </c>
      <c r="M4" s="104" t="s">
        <v>191</v>
      </c>
      <c r="N4" s="104" t="s">
        <v>192</v>
      </c>
      <c r="O4" s="104" t="s">
        <v>193</v>
      </c>
      <c r="P4" s="280" t="s">
        <v>3</v>
      </c>
      <c r="Q4" s="281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204</v>
      </c>
    </row>
    <row r="7" spans="1:17" ht="14.4" customHeight="1" x14ac:dyDescent="0.3">
      <c r="A7" s="15" t="s">
        <v>21</v>
      </c>
      <c r="B7" s="46">
        <v>1.0000000902790001</v>
      </c>
      <c r="C7" s="47">
        <v>8.3333340855999999E-2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204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1" t="s">
        <v>204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204</v>
      </c>
    </row>
    <row r="11" spans="1:17" ht="14.4" customHeight="1" x14ac:dyDescent="0.3">
      <c r="A11" s="15" t="s">
        <v>25</v>
      </c>
      <c r="B11" s="46">
        <v>142.70594871835399</v>
      </c>
      <c r="C11" s="47">
        <v>11.892162393195999</v>
      </c>
      <c r="D11" s="47">
        <v>5.2003500000000003</v>
      </c>
      <c r="E11" s="47">
        <v>3.67977</v>
      </c>
      <c r="F11" s="47">
        <v>1.01712</v>
      </c>
      <c r="G11" s="47">
        <v>0.80818000000000001</v>
      </c>
      <c r="H11" s="47">
        <v>0.43864999999999998</v>
      </c>
      <c r="I11" s="47">
        <v>0.94710000000000005</v>
      </c>
      <c r="J11" s="47">
        <v>0</v>
      </c>
      <c r="K11" s="47">
        <v>1.4251799999999999</v>
      </c>
      <c r="L11" s="47">
        <v>4.3165899999999997</v>
      </c>
      <c r="M11" s="47">
        <v>2.11267</v>
      </c>
      <c r="N11" s="47">
        <v>5.2508499999989997</v>
      </c>
      <c r="O11" s="47">
        <v>1.27878</v>
      </c>
      <c r="P11" s="48">
        <v>26.475239999999999</v>
      </c>
      <c r="Q11" s="71">
        <v>0.18552302996299999</v>
      </c>
    </row>
    <row r="12" spans="1:17" ht="14.4" customHeight="1" x14ac:dyDescent="0.3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204</v>
      </c>
    </row>
    <row r="13" spans="1:17" ht="14.4" customHeight="1" x14ac:dyDescent="0.3">
      <c r="A13" s="15" t="s">
        <v>27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1.06843</v>
      </c>
      <c r="G13" s="47">
        <v>0.29765000000000003</v>
      </c>
      <c r="H13" s="47">
        <v>0.35694999999999999</v>
      </c>
      <c r="I13" s="47">
        <v>0.35694999999999999</v>
      </c>
      <c r="J13" s="47">
        <v>0</v>
      </c>
      <c r="K13" s="47">
        <v>0</v>
      </c>
      <c r="L13" s="47">
        <v>0</v>
      </c>
      <c r="M13" s="47">
        <v>0.29764000000000002</v>
      </c>
      <c r="N13" s="47">
        <v>0</v>
      </c>
      <c r="O13" s="47">
        <v>0</v>
      </c>
      <c r="P13" s="48">
        <v>2.6898</v>
      </c>
      <c r="Q13" s="71" t="s">
        <v>204</v>
      </c>
    </row>
    <row r="14" spans="1:17" ht="14.4" customHeight="1" x14ac:dyDescent="0.3">
      <c r="A14" s="15" t="s">
        <v>28</v>
      </c>
      <c r="B14" s="46">
        <v>85.306409596110996</v>
      </c>
      <c r="C14" s="47">
        <v>7.1088674663419997</v>
      </c>
      <c r="D14" s="47">
        <v>12.085000000000001</v>
      </c>
      <c r="E14" s="47">
        <v>9.07</v>
      </c>
      <c r="F14" s="47">
        <v>9.6549999999999994</v>
      </c>
      <c r="G14" s="47">
        <v>7.2009999999999996</v>
      </c>
      <c r="H14" s="47">
        <v>5.2439999999999998</v>
      </c>
      <c r="I14" s="47">
        <v>4.3360000000000003</v>
      </c>
      <c r="J14" s="47">
        <v>3.9590000000000001</v>
      </c>
      <c r="K14" s="47">
        <v>4.1020000000000003</v>
      </c>
      <c r="L14" s="47">
        <v>4.4059999999999997</v>
      </c>
      <c r="M14" s="47">
        <v>7.649</v>
      </c>
      <c r="N14" s="47">
        <v>8.8809999999990001</v>
      </c>
      <c r="O14" s="47">
        <v>10.079000000000001</v>
      </c>
      <c r="P14" s="48">
        <v>86.667000000000002</v>
      </c>
      <c r="Q14" s="71">
        <v>1.015949451047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204</v>
      </c>
    </row>
    <row r="17" spans="1:17" ht="14.4" customHeight="1" x14ac:dyDescent="0.3">
      <c r="A17" s="15" t="s">
        <v>31</v>
      </c>
      <c r="B17" s="46">
        <v>4.5623317729219997</v>
      </c>
      <c r="C17" s="47">
        <v>0.38019431441000001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0.61699999999999999</v>
      </c>
      <c r="F18" s="47">
        <v>3.1</v>
      </c>
      <c r="G18" s="47">
        <v>1.1120000000000001</v>
      </c>
      <c r="H18" s="47">
        <v>4.9850000000000003</v>
      </c>
      <c r="I18" s="47">
        <v>2.5099999999999998</v>
      </c>
      <c r="J18" s="47">
        <v>0</v>
      </c>
      <c r="K18" s="47">
        <v>0</v>
      </c>
      <c r="L18" s="47">
        <v>0.54900000000000004</v>
      </c>
      <c r="M18" s="47">
        <v>8.6999999999999993</v>
      </c>
      <c r="N18" s="47">
        <v>6.7139999999990003</v>
      </c>
      <c r="O18" s="47">
        <v>0.54300000000000004</v>
      </c>
      <c r="P18" s="48">
        <v>28.83</v>
      </c>
      <c r="Q18" s="71" t="s">
        <v>204</v>
      </c>
    </row>
    <row r="19" spans="1:17" ht="14.4" customHeight="1" x14ac:dyDescent="0.3">
      <c r="A19" s="15" t="s">
        <v>33</v>
      </c>
      <c r="B19" s="46">
        <v>54.179092709975997</v>
      </c>
      <c r="C19" s="47">
        <v>4.514924392498</v>
      </c>
      <c r="D19" s="47">
        <v>5.4363799999999998</v>
      </c>
      <c r="E19" s="47">
        <v>4.3867399999999996</v>
      </c>
      <c r="F19" s="47">
        <v>4.44754</v>
      </c>
      <c r="G19" s="47">
        <v>5.4043599999999996</v>
      </c>
      <c r="H19" s="47">
        <v>4.3199399999999999</v>
      </c>
      <c r="I19" s="47">
        <v>3.8421799999999999</v>
      </c>
      <c r="J19" s="47">
        <v>7.5635599999999998</v>
      </c>
      <c r="K19" s="47">
        <v>3.3079999999999998</v>
      </c>
      <c r="L19" s="47">
        <v>3.95336</v>
      </c>
      <c r="M19" s="47">
        <v>3.9861800000000001</v>
      </c>
      <c r="N19" s="47">
        <v>4.8027899999989998</v>
      </c>
      <c r="O19" s="47">
        <v>5.0177899999999998</v>
      </c>
      <c r="P19" s="48">
        <v>56.468820000000001</v>
      </c>
      <c r="Q19" s="71">
        <v>1.04226219332</v>
      </c>
    </row>
    <row r="20" spans="1:17" ht="14.4" customHeight="1" x14ac:dyDescent="0.3">
      <c r="A20" s="15" t="s">
        <v>34</v>
      </c>
      <c r="B20" s="46">
        <v>7196.0006496512297</v>
      </c>
      <c r="C20" s="47">
        <v>599.66672080426895</v>
      </c>
      <c r="D20" s="47">
        <v>614.97949000000006</v>
      </c>
      <c r="E20" s="47">
        <v>603.12480000000005</v>
      </c>
      <c r="F20" s="47">
        <v>600.49576999999999</v>
      </c>
      <c r="G20" s="47">
        <v>574.99995999999999</v>
      </c>
      <c r="H20" s="47">
        <v>597.13831000000005</v>
      </c>
      <c r="I20" s="47">
        <v>575.09823000000097</v>
      </c>
      <c r="J20" s="47">
        <v>805.32665999999995</v>
      </c>
      <c r="K20" s="47">
        <v>599.03958999999998</v>
      </c>
      <c r="L20" s="47">
        <v>610.01226999999994</v>
      </c>
      <c r="M20" s="47">
        <v>602.22977000000003</v>
      </c>
      <c r="N20" s="47">
        <v>765.41370999999901</v>
      </c>
      <c r="O20" s="47">
        <v>735.44267000000298</v>
      </c>
      <c r="P20" s="48">
        <v>7683.30123</v>
      </c>
      <c r="Q20" s="71">
        <v>1.0677182513000001</v>
      </c>
    </row>
    <row r="21" spans="1:17" ht="14.4" customHeight="1" x14ac:dyDescent="0.3">
      <c r="A21" s="16" t="s">
        <v>35</v>
      </c>
      <c r="B21" s="46">
        <v>43.000099298164997</v>
      </c>
      <c r="C21" s="47">
        <v>3.58334160818</v>
      </c>
      <c r="D21" s="47">
        <v>3.5710000000000002</v>
      </c>
      <c r="E21" s="47">
        <v>3.5710000000000002</v>
      </c>
      <c r="F21" s="47">
        <v>3.5710000000000002</v>
      </c>
      <c r="G21" s="47">
        <v>3.5710000000000002</v>
      </c>
      <c r="H21" s="47">
        <v>3.5710000000000002</v>
      </c>
      <c r="I21" s="47">
        <v>3.5710000000000002</v>
      </c>
      <c r="J21" s="47">
        <v>3.5710000000000002</v>
      </c>
      <c r="K21" s="47">
        <v>3.5710000000000002</v>
      </c>
      <c r="L21" s="47">
        <v>3.5880000000000001</v>
      </c>
      <c r="M21" s="47">
        <v>3.59</v>
      </c>
      <c r="N21" s="47">
        <v>3.7119999999990001</v>
      </c>
      <c r="O21" s="47">
        <v>3.7120000000000002</v>
      </c>
      <c r="P21" s="48">
        <v>43.17</v>
      </c>
      <c r="Q21" s="71">
        <v>1.0039511699879999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204</v>
      </c>
    </row>
    <row r="24" spans="1:17" ht="14.4" customHeight="1" x14ac:dyDescent="0.3">
      <c r="A24" s="16" t="s">
        <v>38</v>
      </c>
      <c r="B24" s="46">
        <v>0</v>
      </c>
      <c r="C24" s="47">
        <v>1.13686837721616E-13</v>
      </c>
      <c r="D24" s="47">
        <v>1.13686837721616E-13</v>
      </c>
      <c r="E24" s="47">
        <v>1.1000000000000001</v>
      </c>
      <c r="F24" s="47">
        <v>14.6</v>
      </c>
      <c r="G24" s="47">
        <v>12</v>
      </c>
      <c r="H24" s="47">
        <v>11.899999999999</v>
      </c>
      <c r="I24" s="47">
        <v>7.7</v>
      </c>
      <c r="J24" s="47">
        <v>0</v>
      </c>
      <c r="K24" s="47">
        <v>0</v>
      </c>
      <c r="L24" s="47">
        <v>-1.13686837721616E-13</v>
      </c>
      <c r="M24" s="47">
        <v>19.25</v>
      </c>
      <c r="N24" s="47">
        <v>13.4</v>
      </c>
      <c r="O24" s="47">
        <v>3.6</v>
      </c>
      <c r="P24" s="48">
        <v>83.55</v>
      </c>
      <c r="Q24" s="71"/>
    </row>
    <row r="25" spans="1:17" ht="14.4" customHeight="1" x14ac:dyDescent="0.3">
      <c r="A25" s="17" t="s">
        <v>39</v>
      </c>
      <c r="B25" s="49">
        <v>7526.7545318370403</v>
      </c>
      <c r="C25" s="50">
        <v>627.22954431975404</v>
      </c>
      <c r="D25" s="50">
        <v>641.58439999999996</v>
      </c>
      <c r="E25" s="50">
        <v>625.54930999999999</v>
      </c>
      <c r="F25" s="50">
        <v>637.95486000000005</v>
      </c>
      <c r="G25" s="50">
        <v>605.39414999999997</v>
      </c>
      <c r="H25" s="50">
        <v>627.95384999999999</v>
      </c>
      <c r="I25" s="50">
        <v>598.36146000000099</v>
      </c>
      <c r="J25" s="50">
        <v>820.42021999999997</v>
      </c>
      <c r="K25" s="50">
        <v>611.44577000000004</v>
      </c>
      <c r="L25" s="50">
        <v>626.82521999999994</v>
      </c>
      <c r="M25" s="50">
        <v>647.81525999999997</v>
      </c>
      <c r="N25" s="50">
        <v>808.17434999999898</v>
      </c>
      <c r="O25" s="50">
        <v>759.67324000000303</v>
      </c>
      <c r="P25" s="51">
        <v>8011.1520899999996</v>
      </c>
      <c r="Q25" s="72">
        <v>1.0643567630790001</v>
      </c>
    </row>
    <row r="26" spans="1:17" ht="14.4" customHeight="1" x14ac:dyDescent="0.3">
      <c r="A26" s="15" t="s">
        <v>40</v>
      </c>
      <c r="B26" s="46">
        <v>1033.3683016167499</v>
      </c>
      <c r="C26" s="47">
        <v>86.114025134729005</v>
      </c>
      <c r="D26" s="47">
        <v>82.660269999999997</v>
      </c>
      <c r="E26" s="47">
        <v>70.474469999999997</v>
      </c>
      <c r="F26" s="47">
        <v>78.44238</v>
      </c>
      <c r="G26" s="47">
        <v>77.546899999999994</v>
      </c>
      <c r="H26" s="47">
        <v>70.239559999999997</v>
      </c>
      <c r="I26" s="47">
        <v>105.05638</v>
      </c>
      <c r="J26" s="47">
        <v>86.296539999999993</v>
      </c>
      <c r="K26" s="47">
        <v>84.639889999999994</v>
      </c>
      <c r="L26" s="47">
        <v>84.408190000000005</v>
      </c>
      <c r="M26" s="47">
        <v>71.555970000000002</v>
      </c>
      <c r="N26" s="47">
        <v>105.45981999999999</v>
      </c>
      <c r="O26" s="47">
        <v>102.84516000000001</v>
      </c>
      <c r="P26" s="48">
        <v>1019.62553</v>
      </c>
      <c r="Q26" s="71">
        <v>0.98670099363800001</v>
      </c>
    </row>
    <row r="27" spans="1:17" ht="14.4" customHeight="1" x14ac:dyDescent="0.3">
      <c r="A27" s="18" t="s">
        <v>41</v>
      </c>
      <c r="B27" s="49">
        <v>8560.1228334537991</v>
      </c>
      <c r="C27" s="50">
        <v>713.34356945448303</v>
      </c>
      <c r="D27" s="50">
        <v>724.24467000000004</v>
      </c>
      <c r="E27" s="50">
        <v>696.02377999999999</v>
      </c>
      <c r="F27" s="50">
        <v>716.39724000000001</v>
      </c>
      <c r="G27" s="50">
        <v>682.94105000000002</v>
      </c>
      <c r="H27" s="50">
        <v>698.19340999999997</v>
      </c>
      <c r="I27" s="50">
        <v>703.41784000000098</v>
      </c>
      <c r="J27" s="50">
        <v>906.71676000000002</v>
      </c>
      <c r="K27" s="50">
        <v>696.08565999999996</v>
      </c>
      <c r="L27" s="50">
        <v>711.23341000000005</v>
      </c>
      <c r="M27" s="50">
        <v>719.37122999999997</v>
      </c>
      <c r="N27" s="50">
        <v>913.63416999999902</v>
      </c>
      <c r="O27" s="50">
        <v>862.518400000003</v>
      </c>
      <c r="P27" s="51">
        <v>9030.7776200000008</v>
      </c>
      <c r="Q27" s="72">
        <v>1.054982246832</v>
      </c>
    </row>
    <row r="28" spans="1:17" ht="14.4" customHeight="1" x14ac:dyDescent="0.3">
      <c r="A28" s="16" t="s">
        <v>42</v>
      </c>
      <c r="B28" s="46">
        <v>25.256597930760002</v>
      </c>
      <c r="C28" s="47">
        <v>2.1047164942299998</v>
      </c>
      <c r="D28" s="47">
        <v>0</v>
      </c>
      <c r="E28" s="47">
        <v>9.7439999999999998</v>
      </c>
      <c r="F28" s="47">
        <v>10.400320000000001</v>
      </c>
      <c r="G28" s="47">
        <v>3.8976000000000002</v>
      </c>
      <c r="H28" s="47">
        <v>0</v>
      </c>
      <c r="I28" s="47">
        <v>15.839399999999999</v>
      </c>
      <c r="J28" s="47">
        <v>0</v>
      </c>
      <c r="K28" s="47">
        <v>0</v>
      </c>
      <c r="L28" s="47">
        <v>7.7952000000000004</v>
      </c>
      <c r="M28" s="47">
        <v>11.6928</v>
      </c>
      <c r="N28" s="47">
        <v>0</v>
      </c>
      <c r="O28" s="47">
        <v>0</v>
      </c>
      <c r="P28" s="48">
        <v>59.369320000000002</v>
      </c>
      <c r="Q28" s="71">
        <v>2.3506459643830002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194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77" t="s">
        <v>47</v>
      </c>
      <c r="B1" s="277"/>
      <c r="C1" s="277"/>
      <c r="D1" s="277"/>
      <c r="E1" s="277"/>
      <c r="F1" s="277"/>
      <c r="G1" s="277"/>
      <c r="H1" s="282"/>
      <c r="I1" s="282"/>
      <c r="J1" s="282"/>
      <c r="K1" s="282"/>
    </row>
    <row r="2" spans="1:11" s="55" customFormat="1" ht="14.4" customHeight="1" thickBot="1" x14ac:dyDescent="0.35">
      <c r="A2" s="200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78" t="s">
        <v>48</v>
      </c>
      <c r="C3" s="279"/>
      <c r="D3" s="279"/>
      <c r="E3" s="279"/>
      <c r="F3" s="285" t="s">
        <v>49</v>
      </c>
      <c r="G3" s="279"/>
      <c r="H3" s="279"/>
      <c r="I3" s="279"/>
      <c r="J3" s="279"/>
      <c r="K3" s="286"/>
    </row>
    <row r="4" spans="1:11" ht="14.4" customHeight="1" x14ac:dyDescent="0.3">
      <c r="A4" s="61"/>
      <c r="B4" s="283"/>
      <c r="C4" s="284"/>
      <c r="D4" s="284"/>
      <c r="E4" s="284"/>
      <c r="F4" s="287" t="s">
        <v>199</v>
      </c>
      <c r="G4" s="289" t="s">
        <v>50</v>
      </c>
      <c r="H4" s="116" t="s">
        <v>117</v>
      </c>
      <c r="I4" s="287" t="s">
        <v>51</v>
      </c>
      <c r="J4" s="289" t="s">
        <v>174</v>
      </c>
      <c r="K4" s="290" t="s">
        <v>201</v>
      </c>
    </row>
    <row r="5" spans="1:11" ht="42" thickBot="1" x14ac:dyDescent="0.35">
      <c r="A5" s="62"/>
      <c r="B5" s="24" t="s">
        <v>195</v>
      </c>
      <c r="C5" s="25" t="s">
        <v>196</v>
      </c>
      <c r="D5" s="26" t="s">
        <v>197</v>
      </c>
      <c r="E5" s="26" t="s">
        <v>198</v>
      </c>
      <c r="F5" s="288"/>
      <c r="G5" s="288"/>
      <c r="H5" s="25" t="s">
        <v>200</v>
      </c>
      <c r="I5" s="288"/>
      <c r="J5" s="288"/>
      <c r="K5" s="291"/>
    </row>
    <row r="6" spans="1:11" ht="14.4" customHeight="1" thickBot="1" x14ac:dyDescent="0.35">
      <c r="A6" s="347" t="s">
        <v>206</v>
      </c>
      <c r="B6" s="329">
        <v>7410.5677601384004</v>
      </c>
      <c r="C6" s="329">
        <v>7577.2372500000001</v>
      </c>
      <c r="D6" s="330">
        <v>166.669489861606</v>
      </c>
      <c r="E6" s="331">
        <v>1.0224907854909999</v>
      </c>
      <c r="F6" s="329">
        <v>7526.7545318370403</v>
      </c>
      <c r="G6" s="330">
        <v>7526.7545318370403</v>
      </c>
      <c r="H6" s="332">
        <v>759.67324000000303</v>
      </c>
      <c r="I6" s="329">
        <v>8011.1520899999996</v>
      </c>
      <c r="J6" s="330">
        <v>484.39755816296002</v>
      </c>
      <c r="K6" s="333">
        <v>1.0643567630790001</v>
      </c>
    </row>
    <row r="7" spans="1:11" ht="14.4" customHeight="1" thickBot="1" x14ac:dyDescent="0.35">
      <c r="A7" s="348" t="s">
        <v>207</v>
      </c>
      <c r="B7" s="329">
        <v>222.420582798716</v>
      </c>
      <c r="C7" s="329">
        <v>200.86267000000001</v>
      </c>
      <c r="D7" s="330">
        <v>-21.557912798716</v>
      </c>
      <c r="E7" s="331">
        <v>0.90307590903900004</v>
      </c>
      <c r="F7" s="329">
        <v>229.01235840474499</v>
      </c>
      <c r="G7" s="330">
        <v>229.01235840474499</v>
      </c>
      <c r="H7" s="332">
        <v>11.35778</v>
      </c>
      <c r="I7" s="329">
        <v>115.83204000000001</v>
      </c>
      <c r="J7" s="330">
        <v>-113.18031840474499</v>
      </c>
      <c r="K7" s="333">
        <v>0.50578947270200003</v>
      </c>
    </row>
    <row r="8" spans="1:11" ht="14.4" customHeight="1" thickBot="1" x14ac:dyDescent="0.35">
      <c r="A8" s="349" t="s">
        <v>208</v>
      </c>
      <c r="B8" s="329">
        <v>136.72653210042799</v>
      </c>
      <c r="C8" s="329">
        <v>114.16867000000001</v>
      </c>
      <c r="D8" s="330">
        <v>-22.557862100428</v>
      </c>
      <c r="E8" s="331">
        <v>0.83501474253800001</v>
      </c>
      <c r="F8" s="329">
        <v>143.70594880863399</v>
      </c>
      <c r="G8" s="330">
        <v>143.70594880863399</v>
      </c>
      <c r="H8" s="332">
        <v>1.27878</v>
      </c>
      <c r="I8" s="329">
        <v>29.165040000000001</v>
      </c>
      <c r="J8" s="330">
        <v>-114.540908808634</v>
      </c>
      <c r="K8" s="333">
        <v>0.202949427228</v>
      </c>
    </row>
    <row r="9" spans="1:11" ht="14.4" customHeight="1" thickBot="1" x14ac:dyDescent="0.35">
      <c r="A9" s="350" t="s">
        <v>209</v>
      </c>
      <c r="B9" s="334">
        <v>1</v>
      </c>
      <c r="C9" s="334">
        <v>0.75165000000000004</v>
      </c>
      <c r="D9" s="335">
        <v>-0.24834999999999999</v>
      </c>
      <c r="E9" s="336">
        <v>0.75165000000000004</v>
      </c>
      <c r="F9" s="334">
        <v>1.0000000902790001</v>
      </c>
      <c r="G9" s="335">
        <v>1.0000000902790001</v>
      </c>
      <c r="H9" s="337">
        <v>0</v>
      </c>
      <c r="I9" s="334">
        <v>0</v>
      </c>
      <c r="J9" s="335">
        <v>-1.0000000902790001</v>
      </c>
      <c r="K9" s="338">
        <v>0</v>
      </c>
    </row>
    <row r="10" spans="1:11" ht="14.4" customHeight="1" thickBot="1" x14ac:dyDescent="0.35">
      <c r="A10" s="351" t="s">
        <v>210</v>
      </c>
      <c r="B10" s="329">
        <v>1</v>
      </c>
      <c r="C10" s="329">
        <v>0.75165000000000004</v>
      </c>
      <c r="D10" s="330">
        <v>-0.24834999999999999</v>
      </c>
      <c r="E10" s="331">
        <v>0.75165000000000004</v>
      </c>
      <c r="F10" s="329">
        <v>1.0000000902790001</v>
      </c>
      <c r="G10" s="330">
        <v>1.0000000902790001</v>
      </c>
      <c r="H10" s="332">
        <v>0</v>
      </c>
      <c r="I10" s="329">
        <v>0</v>
      </c>
      <c r="J10" s="330">
        <v>-1.0000000902790001</v>
      </c>
      <c r="K10" s="333">
        <v>0</v>
      </c>
    </row>
    <row r="11" spans="1:11" ht="14.4" customHeight="1" thickBot="1" x14ac:dyDescent="0.35">
      <c r="A11" s="350" t="s">
        <v>211</v>
      </c>
      <c r="B11" s="334">
        <v>131.72653222641901</v>
      </c>
      <c r="C11" s="334">
        <v>106.67733</v>
      </c>
      <c r="D11" s="335">
        <v>-25.049202226418</v>
      </c>
      <c r="E11" s="336">
        <v>0.80983935579900002</v>
      </c>
      <c r="F11" s="334">
        <v>142.70594871835399</v>
      </c>
      <c r="G11" s="335">
        <v>142.70594871835399</v>
      </c>
      <c r="H11" s="337">
        <v>1.27878</v>
      </c>
      <c r="I11" s="334">
        <v>26.475239999999999</v>
      </c>
      <c r="J11" s="335">
        <v>-116.23070871835399</v>
      </c>
      <c r="K11" s="338">
        <v>0.18552302996299999</v>
      </c>
    </row>
    <row r="12" spans="1:11" ht="14.4" customHeight="1" thickBot="1" x14ac:dyDescent="0.35">
      <c r="A12" s="351" t="s">
        <v>212</v>
      </c>
      <c r="B12" s="329">
        <v>0.95715506856300003</v>
      </c>
      <c r="C12" s="329">
        <v>0.72599999999999998</v>
      </c>
      <c r="D12" s="330">
        <v>-0.231155068563</v>
      </c>
      <c r="E12" s="331">
        <v>0.75849778561900005</v>
      </c>
      <c r="F12" s="329">
        <v>0.67503448220399997</v>
      </c>
      <c r="G12" s="330">
        <v>0.67503448220399997</v>
      </c>
      <c r="H12" s="332">
        <v>0</v>
      </c>
      <c r="I12" s="329">
        <v>1.0529999999999999</v>
      </c>
      <c r="J12" s="330">
        <v>0.37796551779499998</v>
      </c>
      <c r="K12" s="333">
        <v>1.559920311865</v>
      </c>
    </row>
    <row r="13" spans="1:11" ht="14.4" customHeight="1" thickBot="1" x14ac:dyDescent="0.35">
      <c r="A13" s="351" t="s">
        <v>213</v>
      </c>
      <c r="B13" s="329">
        <v>0.99999996850200001</v>
      </c>
      <c r="C13" s="329">
        <v>7.4060000000000001E-2</v>
      </c>
      <c r="D13" s="330">
        <v>-0.925939968502</v>
      </c>
      <c r="E13" s="331">
        <v>7.4060002331999997E-2</v>
      </c>
      <c r="F13" s="329">
        <v>8.4277704253999997E-2</v>
      </c>
      <c r="G13" s="330">
        <v>8.4277704253999997E-2</v>
      </c>
      <c r="H13" s="332">
        <v>0</v>
      </c>
      <c r="I13" s="329">
        <v>0.51585999999999999</v>
      </c>
      <c r="J13" s="330">
        <v>0.43158229574500001</v>
      </c>
      <c r="K13" s="333">
        <v>6.1209545818290003</v>
      </c>
    </row>
    <row r="14" spans="1:11" ht="14.4" customHeight="1" thickBot="1" x14ac:dyDescent="0.35">
      <c r="A14" s="351" t="s">
        <v>214</v>
      </c>
      <c r="B14" s="329">
        <v>5.0999999999999996</v>
      </c>
      <c r="C14" s="329">
        <v>4.2980799999999997</v>
      </c>
      <c r="D14" s="330">
        <v>-0.80191999999999997</v>
      </c>
      <c r="E14" s="331">
        <v>0.84276078431300006</v>
      </c>
      <c r="F14" s="329">
        <v>4.3448788551649997</v>
      </c>
      <c r="G14" s="330">
        <v>4.3448788551649997</v>
      </c>
      <c r="H14" s="332">
        <v>0</v>
      </c>
      <c r="I14" s="329">
        <v>0</v>
      </c>
      <c r="J14" s="330">
        <v>-4.3448788551649997</v>
      </c>
      <c r="K14" s="333">
        <v>0</v>
      </c>
    </row>
    <row r="15" spans="1:11" ht="14.4" customHeight="1" thickBot="1" x14ac:dyDescent="0.35">
      <c r="A15" s="351" t="s">
        <v>215</v>
      </c>
      <c r="B15" s="329">
        <v>116.866666225701</v>
      </c>
      <c r="C15" s="329">
        <v>92.514839999998998</v>
      </c>
      <c r="D15" s="330">
        <v>-24.351826225700002</v>
      </c>
      <c r="E15" s="331">
        <v>0.79162727052799997</v>
      </c>
      <c r="F15" s="329">
        <v>127.00001146549501</v>
      </c>
      <c r="G15" s="330">
        <v>127.00001146549501</v>
      </c>
      <c r="H15" s="332">
        <v>0.31422</v>
      </c>
      <c r="I15" s="329">
        <v>14.017099999999999</v>
      </c>
      <c r="J15" s="330">
        <v>-112.98291146549499</v>
      </c>
      <c r="K15" s="333">
        <v>0.110370856177</v>
      </c>
    </row>
    <row r="16" spans="1:11" ht="14.4" customHeight="1" thickBot="1" x14ac:dyDescent="0.35">
      <c r="A16" s="351" t="s">
        <v>216</v>
      </c>
      <c r="B16" s="329">
        <v>1.999999937004</v>
      </c>
      <c r="C16" s="329">
        <v>0.28139999999999998</v>
      </c>
      <c r="D16" s="330">
        <v>-1.7185999370039999</v>
      </c>
      <c r="E16" s="331">
        <v>0.140700004431</v>
      </c>
      <c r="F16" s="329">
        <v>0.30975407730499999</v>
      </c>
      <c r="G16" s="330">
        <v>0.30975407730499999</v>
      </c>
      <c r="H16" s="332">
        <v>0</v>
      </c>
      <c r="I16" s="329">
        <v>0.3301</v>
      </c>
      <c r="J16" s="330">
        <v>2.0345922693999999E-2</v>
      </c>
      <c r="K16" s="333">
        <v>1.0656841158370001</v>
      </c>
    </row>
    <row r="17" spans="1:11" ht="14.4" customHeight="1" thickBot="1" x14ac:dyDescent="0.35">
      <c r="A17" s="351" t="s">
        <v>217</v>
      </c>
      <c r="B17" s="329">
        <v>2.8027110581439998</v>
      </c>
      <c r="C17" s="329">
        <v>7.5855300000000003</v>
      </c>
      <c r="D17" s="330">
        <v>4.782818941855</v>
      </c>
      <c r="E17" s="331">
        <v>2.706497331559</v>
      </c>
      <c r="F17" s="329">
        <v>9.3275206526590004</v>
      </c>
      <c r="G17" s="330">
        <v>9.3275206526590004</v>
      </c>
      <c r="H17" s="332">
        <v>0.61699999999999999</v>
      </c>
      <c r="I17" s="329">
        <v>8.6697600000000001</v>
      </c>
      <c r="J17" s="330">
        <v>-0.65776065265899997</v>
      </c>
      <c r="K17" s="333">
        <v>0.92948172647799998</v>
      </c>
    </row>
    <row r="18" spans="1:11" ht="14.4" customHeight="1" thickBot="1" x14ac:dyDescent="0.35">
      <c r="A18" s="351" t="s">
        <v>218</v>
      </c>
      <c r="B18" s="329">
        <v>2.9999999685019998</v>
      </c>
      <c r="C18" s="329">
        <v>1.1974199999999999</v>
      </c>
      <c r="D18" s="330">
        <v>-1.8025799685020001</v>
      </c>
      <c r="E18" s="331">
        <v>0.39914000419000001</v>
      </c>
      <c r="F18" s="329">
        <v>0.96447148127000004</v>
      </c>
      <c r="G18" s="330">
        <v>0.96447148127000004</v>
      </c>
      <c r="H18" s="332">
        <v>0.34755999999999998</v>
      </c>
      <c r="I18" s="329">
        <v>1.8894200000000001</v>
      </c>
      <c r="J18" s="330">
        <v>0.92494851872899997</v>
      </c>
      <c r="K18" s="333">
        <v>1.9590211184990001</v>
      </c>
    </row>
    <row r="19" spans="1:11" ht="14.4" customHeight="1" thickBot="1" x14ac:dyDescent="0.35">
      <c r="A19" s="350" t="s">
        <v>219</v>
      </c>
      <c r="B19" s="334">
        <v>0.99999996850200001</v>
      </c>
      <c r="C19" s="334">
        <v>0</v>
      </c>
      <c r="D19" s="335">
        <v>-0.99999996850200001</v>
      </c>
      <c r="E19" s="336">
        <v>0</v>
      </c>
      <c r="F19" s="334">
        <v>0</v>
      </c>
      <c r="G19" s="335">
        <v>0</v>
      </c>
      <c r="H19" s="337">
        <v>0</v>
      </c>
      <c r="I19" s="334">
        <v>0</v>
      </c>
      <c r="J19" s="335">
        <v>0</v>
      </c>
      <c r="K19" s="338">
        <v>0</v>
      </c>
    </row>
    <row r="20" spans="1:11" ht="14.4" customHeight="1" thickBot="1" x14ac:dyDescent="0.35">
      <c r="A20" s="351" t="s">
        <v>220</v>
      </c>
      <c r="B20" s="329">
        <v>0.99999996850200001</v>
      </c>
      <c r="C20" s="329">
        <v>0</v>
      </c>
      <c r="D20" s="330">
        <v>-0.99999996850200001</v>
      </c>
      <c r="E20" s="331">
        <v>0</v>
      </c>
      <c r="F20" s="329">
        <v>0</v>
      </c>
      <c r="G20" s="330">
        <v>0</v>
      </c>
      <c r="H20" s="332">
        <v>0</v>
      </c>
      <c r="I20" s="329">
        <v>0</v>
      </c>
      <c r="J20" s="330">
        <v>0</v>
      </c>
      <c r="K20" s="333">
        <v>0</v>
      </c>
    </row>
    <row r="21" spans="1:11" ht="14.4" customHeight="1" thickBot="1" x14ac:dyDescent="0.35">
      <c r="A21" s="350" t="s">
        <v>221</v>
      </c>
      <c r="B21" s="334">
        <v>2.9999999055069999</v>
      </c>
      <c r="C21" s="334">
        <v>6.7396900000000004</v>
      </c>
      <c r="D21" s="335">
        <v>3.739690094492</v>
      </c>
      <c r="E21" s="336">
        <v>2.2465634040940001</v>
      </c>
      <c r="F21" s="334">
        <v>0</v>
      </c>
      <c r="G21" s="335">
        <v>0</v>
      </c>
      <c r="H21" s="337">
        <v>0</v>
      </c>
      <c r="I21" s="334">
        <v>2.6898</v>
      </c>
      <c r="J21" s="335">
        <v>2.6898</v>
      </c>
      <c r="K21" s="339" t="s">
        <v>204</v>
      </c>
    </row>
    <row r="22" spans="1:11" ht="14.4" customHeight="1" thickBot="1" x14ac:dyDescent="0.35">
      <c r="A22" s="351" t="s">
        <v>222</v>
      </c>
      <c r="B22" s="329">
        <v>2.9999999055069999</v>
      </c>
      <c r="C22" s="329">
        <v>6.7396900000000004</v>
      </c>
      <c r="D22" s="330">
        <v>3.739690094492</v>
      </c>
      <c r="E22" s="331">
        <v>2.2465634040940001</v>
      </c>
      <c r="F22" s="329">
        <v>0</v>
      </c>
      <c r="G22" s="330">
        <v>0</v>
      </c>
      <c r="H22" s="332">
        <v>0</v>
      </c>
      <c r="I22" s="329">
        <v>2.6898</v>
      </c>
      <c r="J22" s="330">
        <v>2.6898</v>
      </c>
      <c r="K22" s="340" t="s">
        <v>204</v>
      </c>
    </row>
    <row r="23" spans="1:11" ht="14.4" customHeight="1" thickBot="1" x14ac:dyDescent="0.35">
      <c r="A23" s="349" t="s">
        <v>28</v>
      </c>
      <c r="B23" s="329">
        <v>85.694050698287995</v>
      </c>
      <c r="C23" s="329">
        <v>86.694000000000003</v>
      </c>
      <c r="D23" s="330">
        <v>0.99994930171100005</v>
      </c>
      <c r="E23" s="331">
        <v>1.011668829907</v>
      </c>
      <c r="F23" s="329">
        <v>85.306409596110996</v>
      </c>
      <c r="G23" s="330">
        <v>85.306409596110996</v>
      </c>
      <c r="H23" s="332">
        <v>10.079000000000001</v>
      </c>
      <c r="I23" s="329">
        <v>86.667000000000002</v>
      </c>
      <c r="J23" s="330">
        <v>1.3605904038879999</v>
      </c>
      <c r="K23" s="333">
        <v>1.015949451047</v>
      </c>
    </row>
    <row r="24" spans="1:11" ht="14.4" customHeight="1" thickBot="1" x14ac:dyDescent="0.35">
      <c r="A24" s="350" t="s">
        <v>223</v>
      </c>
      <c r="B24" s="334">
        <v>85.694050698287995</v>
      </c>
      <c r="C24" s="334">
        <v>86.694000000000003</v>
      </c>
      <c r="D24" s="335">
        <v>0.99994930171100005</v>
      </c>
      <c r="E24" s="336">
        <v>1.011668829907</v>
      </c>
      <c r="F24" s="334">
        <v>85.306409596110996</v>
      </c>
      <c r="G24" s="335">
        <v>85.306409596110996</v>
      </c>
      <c r="H24" s="337">
        <v>10.079000000000001</v>
      </c>
      <c r="I24" s="334">
        <v>86.667000000000002</v>
      </c>
      <c r="J24" s="335">
        <v>1.3605904038879999</v>
      </c>
      <c r="K24" s="338">
        <v>1.015949451047</v>
      </c>
    </row>
    <row r="25" spans="1:11" ht="14.4" customHeight="1" thickBot="1" x14ac:dyDescent="0.35">
      <c r="A25" s="351" t="s">
        <v>224</v>
      </c>
      <c r="B25" s="329">
        <v>15.694052903117999</v>
      </c>
      <c r="C25" s="329">
        <v>15.446999999999999</v>
      </c>
      <c r="D25" s="330">
        <v>-0.24705290311799999</v>
      </c>
      <c r="E25" s="331">
        <v>0.98425818336100002</v>
      </c>
      <c r="F25" s="329">
        <v>15.239606635123</v>
      </c>
      <c r="G25" s="330">
        <v>15.239606635123</v>
      </c>
      <c r="H25" s="332">
        <v>1.1299999999999999</v>
      </c>
      <c r="I25" s="329">
        <v>13.85</v>
      </c>
      <c r="J25" s="330">
        <v>-1.3896066351230001</v>
      </c>
      <c r="K25" s="333">
        <v>0.908816108683</v>
      </c>
    </row>
    <row r="26" spans="1:11" ht="14.4" customHeight="1" thickBot="1" x14ac:dyDescent="0.35">
      <c r="A26" s="351" t="s">
        <v>225</v>
      </c>
      <c r="B26" s="329">
        <v>14.999999527536</v>
      </c>
      <c r="C26" s="329">
        <v>13.391</v>
      </c>
      <c r="D26" s="330">
        <v>-1.6089995275360001</v>
      </c>
      <c r="E26" s="331">
        <v>0.892733361452</v>
      </c>
      <c r="F26" s="329">
        <v>12.970312640247</v>
      </c>
      <c r="G26" s="330">
        <v>12.970312640247</v>
      </c>
      <c r="H26" s="332">
        <v>0.68899999999999995</v>
      </c>
      <c r="I26" s="329">
        <v>13.544</v>
      </c>
      <c r="J26" s="330">
        <v>0.57368735975200003</v>
      </c>
      <c r="K26" s="333">
        <v>1.044230804273</v>
      </c>
    </row>
    <row r="27" spans="1:11" ht="14.4" customHeight="1" thickBot="1" x14ac:dyDescent="0.35">
      <c r="A27" s="351" t="s">
        <v>226</v>
      </c>
      <c r="B27" s="329">
        <v>54.999998267633003</v>
      </c>
      <c r="C27" s="329">
        <v>57.856000000000002</v>
      </c>
      <c r="D27" s="330">
        <v>2.8560017323659999</v>
      </c>
      <c r="E27" s="331">
        <v>1.0519273058600001</v>
      </c>
      <c r="F27" s="329">
        <v>57.096490320740003</v>
      </c>
      <c r="G27" s="330">
        <v>57.096490320740003</v>
      </c>
      <c r="H27" s="332">
        <v>8.26</v>
      </c>
      <c r="I27" s="329">
        <v>59.273000000000003</v>
      </c>
      <c r="J27" s="330">
        <v>2.176509679259</v>
      </c>
      <c r="K27" s="333">
        <v>1.038119850572</v>
      </c>
    </row>
    <row r="28" spans="1:11" ht="14.4" customHeight="1" thickBot="1" x14ac:dyDescent="0.35">
      <c r="A28" s="352" t="s">
        <v>227</v>
      </c>
      <c r="B28" s="334">
        <v>109.147415189246</v>
      </c>
      <c r="C28" s="334">
        <v>81.778840000000002</v>
      </c>
      <c r="D28" s="335">
        <v>-27.368575189245998</v>
      </c>
      <c r="E28" s="336">
        <v>0.74925127505900002</v>
      </c>
      <c r="F28" s="334">
        <v>58.741424482898999</v>
      </c>
      <c r="G28" s="335">
        <v>58.741424482898999</v>
      </c>
      <c r="H28" s="337">
        <v>5.5607899999999999</v>
      </c>
      <c r="I28" s="334">
        <v>85.298820000000006</v>
      </c>
      <c r="J28" s="335">
        <v>26.557395517100002</v>
      </c>
      <c r="K28" s="338">
        <v>1.452106767087</v>
      </c>
    </row>
    <row r="29" spans="1:11" ht="14.4" customHeight="1" thickBot="1" x14ac:dyDescent="0.35">
      <c r="A29" s="349" t="s">
        <v>31</v>
      </c>
      <c r="B29" s="329">
        <v>24.539564812719998</v>
      </c>
      <c r="C29" s="329">
        <v>3.6142699999999999</v>
      </c>
      <c r="D29" s="330">
        <v>-20.925294812720001</v>
      </c>
      <c r="E29" s="331">
        <v>0.14728337798899999</v>
      </c>
      <c r="F29" s="329">
        <v>4.5623317729219997</v>
      </c>
      <c r="G29" s="330">
        <v>4.5623317729219997</v>
      </c>
      <c r="H29" s="332">
        <v>0</v>
      </c>
      <c r="I29" s="329">
        <v>0</v>
      </c>
      <c r="J29" s="330">
        <v>-4.5623317729219997</v>
      </c>
      <c r="K29" s="333">
        <v>0</v>
      </c>
    </row>
    <row r="30" spans="1:11" ht="14.4" customHeight="1" thickBot="1" x14ac:dyDescent="0.35">
      <c r="A30" s="353" t="s">
        <v>228</v>
      </c>
      <c r="B30" s="329">
        <v>24.539564812719998</v>
      </c>
      <c r="C30" s="329">
        <v>3.6142699999999999</v>
      </c>
      <c r="D30" s="330">
        <v>-20.925294812720001</v>
      </c>
      <c r="E30" s="331">
        <v>0.14728337798899999</v>
      </c>
      <c r="F30" s="329">
        <v>4.5623317729219997</v>
      </c>
      <c r="G30" s="330">
        <v>4.5623317729219997</v>
      </c>
      <c r="H30" s="332">
        <v>0</v>
      </c>
      <c r="I30" s="329">
        <v>0</v>
      </c>
      <c r="J30" s="330">
        <v>-4.5623317729219997</v>
      </c>
      <c r="K30" s="333">
        <v>0</v>
      </c>
    </row>
    <row r="31" spans="1:11" ht="14.4" customHeight="1" thickBot="1" x14ac:dyDescent="0.35">
      <c r="A31" s="351" t="s">
        <v>229</v>
      </c>
      <c r="B31" s="329">
        <v>0</v>
      </c>
      <c r="C31" s="329">
        <v>1.8754999999999999</v>
      </c>
      <c r="D31" s="330">
        <v>1.8754999999999999</v>
      </c>
      <c r="E31" s="341" t="s">
        <v>230</v>
      </c>
      <c r="F31" s="329">
        <v>2.9861159676079998</v>
      </c>
      <c r="G31" s="330">
        <v>2.9861159676079998</v>
      </c>
      <c r="H31" s="332">
        <v>0</v>
      </c>
      <c r="I31" s="329">
        <v>0</v>
      </c>
      <c r="J31" s="330">
        <v>-2.9861159676079998</v>
      </c>
      <c r="K31" s="333">
        <v>0</v>
      </c>
    </row>
    <row r="32" spans="1:11" ht="14.4" customHeight="1" thickBot="1" x14ac:dyDescent="0.35">
      <c r="A32" s="351" t="s">
        <v>231</v>
      </c>
      <c r="B32" s="329">
        <v>23.999999244057999</v>
      </c>
      <c r="C32" s="329">
        <v>1.05633</v>
      </c>
      <c r="D32" s="330">
        <v>-22.943669244058</v>
      </c>
      <c r="E32" s="331">
        <v>4.4013751386E-2</v>
      </c>
      <c r="F32" s="329">
        <v>1.085631331711</v>
      </c>
      <c r="G32" s="330">
        <v>1.085631331711</v>
      </c>
      <c r="H32" s="332">
        <v>0</v>
      </c>
      <c r="I32" s="329">
        <v>0</v>
      </c>
      <c r="J32" s="330">
        <v>-1.085631331711</v>
      </c>
      <c r="K32" s="333">
        <v>0</v>
      </c>
    </row>
    <row r="33" spans="1:11" ht="14.4" customHeight="1" thickBot="1" x14ac:dyDescent="0.35">
      <c r="A33" s="351" t="s">
        <v>232</v>
      </c>
      <c r="B33" s="329">
        <v>0.53956556866200001</v>
      </c>
      <c r="C33" s="329">
        <v>0.68244000000000005</v>
      </c>
      <c r="D33" s="330">
        <v>0.14287443133700001</v>
      </c>
      <c r="E33" s="331">
        <v>1.264795308736</v>
      </c>
      <c r="F33" s="329">
        <v>0.49058447360099999</v>
      </c>
      <c r="G33" s="330">
        <v>0.49058447360099999</v>
      </c>
      <c r="H33" s="332">
        <v>0</v>
      </c>
      <c r="I33" s="329">
        <v>0</v>
      </c>
      <c r="J33" s="330">
        <v>-0.49058447360099999</v>
      </c>
      <c r="K33" s="333">
        <v>0</v>
      </c>
    </row>
    <row r="34" spans="1:11" ht="14.4" customHeight="1" thickBot="1" x14ac:dyDescent="0.35">
      <c r="A34" s="354" t="s">
        <v>32</v>
      </c>
      <c r="B34" s="334">
        <v>0</v>
      </c>
      <c r="C34" s="334">
        <v>26.37</v>
      </c>
      <c r="D34" s="335">
        <v>26.37</v>
      </c>
      <c r="E34" s="342" t="s">
        <v>204</v>
      </c>
      <c r="F34" s="334">
        <v>0</v>
      </c>
      <c r="G34" s="335">
        <v>0</v>
      </c>
      <c r="H34" s="337">
        <v>0.54300000000000004</v>
      </c>
      <c r="I34" s="334">
        <v>28.83</v>
      </c>
      <c r="J34" s="335">
        <v>28.83</v>
      </c>
      <c r="K34" s="339" t="s">
        <v>204</v>
      </c>
    </row>
    <row r="35" spans="1:11" ht="14.4" customHeight="1" thickBot="1" x14ac:dyDescent="0.35">
      <c r="A35" s="350" t="s">
        <v>233</v>
      </c>
      <c r="B35" s="334">
        <v>0</v>
      </c>
      <c r="C35" s="334">
        <v>26.37</v>
      </c>
      <c r="D35" s="335">
        <v>26.37</v>
      </c>
      <c r="E35" s="342" t="s">
        <v>204</v>
      </c>
      <c r="F35" s="334">
        <v>0</v>
      </c>
      <c r="G35" s="335">
        <v>0</v>
      </c>
      <c r="H35" s="337">
        <v>0.54300000000000004</v>
      </c>
      <c r="I35" s="334">
        <v>28.83</v>
      </c>
      <c r="J35" s="335">
        <v>28.83</v>
      </c>
      <c r="K35" s="339" t="s">
        <v>204</v>
      </c>
    </row>
    <row r="36" spans="1:11" ht="14.4" customHeight="1" thickBot="1" x14ac:dyDescent="0.35">
      <c r="A36" s="351" t="s">
        <v>234</v>
      </c>
      <c r="B36" s="329">
        <v>0</v>
      </c>
      <c r="C36" s="329">
        <v>26.37</v>
      </c>
      <c r="D36" s="330">
        <v>26.37</v>
      </c>
      <c r="E36" s="341" t="s">
        <v>204</v>
      </c>
      <c r="F36" s="329">
        <v>0</v>
      </c>
      <c r="G36" s="330">
        <v>0</v>
      </c>
      <c r="H36" s="332">
        <v>0.54300000000000004</v>
      </c>
      <c r="I36" s="329">
        <v>25.13</v>
      </c>
      <c r="J36" s="330">
        <v>25.13</v>
      </c>
      <c r="K36" s="340" t="s">
        <v>204</v>
      </c>
    </row>
    <row r="37" spans="1:11" ht="14.4" customHeight="1" thickBot="1" x14ac:dyDescent="0.35">
      <c r="A37" s="351" t="s">
        <v>235</v>
      </c>
      <c r="B37" s="329">
        <v>0</v>
      </c>
      <c r="C37" s="329">
        <v>0</v>
      </c>
      <c r="D37" s="330">
        <v>0</v>
      </c>
      <c r="E37" s="331">
        <v>1</v>
      </c>
      <c r="F37" s="329">
        <v>0</v>
      </c>
      <c r="G37" s="330">
        <v>0</v>
      </c>
      <c r="H37" s="332">
        <v>0</v>
      </c>
      <c r="I37" s="329">
        <v>3.7</v>
      </c>
      <c r="J37" s="330">
        <v>3.7</v>
      </c>
      <c r="K37" s="340" t="s">
        <v>230</v>
      </c>
    </row>
    <row r="38" spans="1:11" ht="14.4" customHeight="1" thickBot="1" x14ac:dyDescent="0.35">
      <c r="A38" s="349" t="s">
        <v>33</v>
      </c>
      <c r="B38" s="329">
        <v>84.607850376524993</v>
      </c>
      <c r="C38" s="329">
        <v>51.79457</v>
      </c>
      <c r="D38" s="330">
        <v>-32.813280376525</v>
      </c>
      <c r="E38" s="331">
        <v>0.61217215387799995</v>
      </c>
      <c r="F38" s="329">
        <v>54.179092709975997</v>
      </c>
      <c r="G38" s="330">
        <v>54.179092709975997</v>
      </c>
      <c r="H38" s="332">
        <v>5.0177899999999998</v>
      </c>
      <c r="I38" s="329">
        <v>56.468820000000001</v>
      </c>
      <c r="J38" s="330">
        <v>2.2897272900229999</v>
      </c>
      <c r="K38" s="333">
        <v>1.04226219332</v>
      </c>
    </row>
    <row r="39" spans="1:11" ht="14.4" customHeight="1" thickBot="1" x14ac:dyDescent="0.35">
      <c r="A39" s="350" t="s">
        <v>236</v>
      </c>
      <c r="B39" s="334">
        <v>8.8563115784110007</v>
      </c>
      <c r="C39" s="334">
        <v>8.3274299999999997</v>
      </c>
      <c r="D39" s="335">
        <v>-0.52888157841100003</v>
      </c>
      <c r="E39" s="336">
        <v>0.94028195894699995</v>
      </c>
      <c r="F39" s="334">
        <v>6.3396987651850001</v>
      </c>
      <c r="G39" s="335">
        <v>6.3396987651850001</v>
      </c>
      <c r="H39" s="337">
        <v>0.56659999999999999</v>
      </c>
      <c r="I39" s="334">
        <v>8.5523900000000008</v>
      </c>
      <c r="J39" s="335">
        <v>2.2126912348140002</v>
      </c>
      <c r="K39" s="338">
        <v>1.349021509817</v>
      </c>
    </row>
    <row r="40" spans="1:11" ht="14.4" customHeight="1" thickBot="1" x14ac:dyDescent="0.35">
      <c r="A40" s="351" t="s">
        <v>237</v>
      </c>
      <c r="B40" s="329">
        <v>6.2557766761220002</v>
      </c>
      <c r="C40" s="329">
        <v>6.5987999999999998</v>
      </c>
      <c r="D40" s="330">
        <v>0.34302332387700002</v>
      </c>
      <c r="E40" s="331">
        <v>1.0548330513749999</v>
      </c>
      <c r="F40" s="329">
        <v>4.4386294620950002</v>
      </c>
      <c r="G40" s="330">
        <v>4.4386294620950002</v>
      </c>
      <c r="H40" s="332">
        <v>0.36530000000000001</v>
      </c>
      <c r="I40" s="329">
        <v>5.4626999999999999</v>
      </c>
      <c r="J40" s="330">
        <v>1.024070537904</v>
      </c>
      <c r="K40" s="333">
        <v>1.230717735429</v>
      </c>
    </row>
    <row r="41" spans="1:11" ht="14.4" customHeight="1" thickBot="1" x14ac:dyDescent="0.35">
      <c r="A41" s="351" t="s">
        <v>238</v>
      </c>
      <c r="B41" s="329">
        <v>2.600534902288</v>
      </c>
      <c r="C41" s="329">
        <v>1.7286300000000001</v>
      </c>
      <c r="D41" s="330">
        <v>-0.87190490228799999</v>
      </c>
      <c r="E41" s="331">
        <v>0.66472093817199995</v>
      </c>
      <c r="F41" s="329">
        <v>1.901069303089</v>
      </c>
      <c r="G41" s="330">
        <v>1.901069303089</v>
      </c>
      <c r="H41" s="332">
        <v>0.20130000000000001</v>
      </c>
      <c r="I41" s="329">
        <v>3.08969</v>
      </c>
      <c r="J41" s="330">
        <v>1.1886206969099999</v>
      </c>
      <c r="K41" s="333">
        <v>1.625237962118</v>
      </c>
    </row>
    <row r="42" spans="1:11" ht="14.4" customHeight="1" thickBot="1" x14ac:dyDescent="0.35">
      <c r="A42" s="350" t="s">
        <v>239</v>
      </c>
      <c r="B42" s="334">
        <v>4.9999998425119996</v>
      </c>
      <c r="C42" s="334">
        <v>4.4550000000000001</v>
      </c>
      <c r="D42" s="335">
        <v>-0.54499984251199995</v>
      </c>
      <c r="E42" s="336">
        <v>0.89100002806400003</v>
      </c>
      <c r="F42" s="334">
        <v>3.9999936338570001</v>
      </c>
      <c r="G42" s="335">
        <v>3.9999936338570001</v>
      </c>
      <c r="H42" s="337">
        <v>0</v>
      </c>
      <c r="I42" s="334">
        <v>4.32</v>
      </c>
      <c r="J42" s="335">
        <v>0.32000636614200001</v>
      </c>
      <c r="K42" s="338">
        <v>1.080001718861</v>
      </c>
    </row>
    <row r="43" spans="1:11" ht="14.4" customHeight="1" thickBot="1" x14ac:dyDescent="0.35">
      <c r="A43" s="351" t="s">
        <v>240</v>
      </c>
      <c r="B43" s="329">
        <v>4.9999998425119996</v>
      </c>
      <c r="C43" s="329">
        <v>4.4550000000000001</v>
      </c>
      <c r="D43" s="330">
        <v>-0.54499984251199995</v>
      </c>
      <c r="E43" s="331">
        <v>0.89100002806400003</v>
      </c>
      <c r="F43" s="329">
        <v>3.9999936338570001</v>
      </c>
      <c r="G43" s="330">
        <v>3.9999936338570001</v>
      </c>
      <c r="H43" s="332">
        <v>0</v>
      </c>
      <c r="I43" s="329">
        <v>4.32</v>
      </c>
      <c r="J43" s="330">
        <v>0.32000636614200001</v>
      </c>
      <c r="K43" s="333">
        <v>1.080001718861</v>
      </c>
    </row>
    <row r="44" spans="1:11" ht="14.4" customHeight="1" thickBot="1" x14ac:dyDescent="0.35">
      <c r="A44" s="350" t="s">
        <v>241</v>
      </c>
      <c r="B44" s="334">
        <v>70.751538955602001</v>
      </c>
      <c r="C44" s="334">
        <v>39.012140000000002</v>
      </c>
      <c r="D44" s="335">
        <v>-31.739398955601001</v>
      </c>
      <c r="E44" s="336">
        <v>0.55139634523600001</v>
      </c>
      <c r="F44" s="334">
        <v>39.839406677074997</v>
      </c>
      <c r="G44" s="335">
        <v>39.839406677074997</v>
      </c>
      <c r="H44" s="337">
        <v>3.33819</v>
      </c>
      <c r="I44" s="334">
        <v>39.543430000000001</v>
      </c>
      <c r="J44" s="335">
        <v>-0.29597667707500003</v>
      </c>
      <c r="K44" s="338">
        <v>0.99257075589800003</v>
      </c>
    </row>
    <row r="45" spans="1:11" ht="14.4" customHeight="1" thickBot="1" x14ac:dyDescent="0.35">
      <c r="A45" s="351" t="s">
        <v>242</v>
      </c>
      <c r="B45" s="329">
        <v>67.518812293758998</v>
      </c>
      <c r="C45" s="329">
        <v>39.012140000000002</v>
      </c>
      <c r="D45" s="330">
        <v>-28.506672293758999</v>
      </c>
      <c r="E45" s="331">
        <v>0.57779659734300004</v>
      </c>
      <c r="F45" s="329">
        <v>39.839406677074997</v>
      </c>
      <c r="G45" s="330">
        <v>39.839406677074997</v>
      </c>
      <c r="H45" s="332">
        <v>3.33819</v>
      </c>
      <c r="I45" s="329">
        <v>39.543430000000001</v>
      </c>
      <c r="J45" s="330">
        <v>-0.29597667707500003</v>
      </c>
      <c r="K45" s="333">
        <v>0.99257075589800003</v>
      </c>
    </row>
    <row r="46" spans="1:11" ht="14.4" customHeight="1" thickBot="1" x14ac:dyDescent="0.35">
      <c r="A46" s="351" t="s">
        <v>243</v>
      </c>
      <c r="B46" s="329">
        <v>3.2327266618419999</v>
      </c>
      <c r="C46" s="329">
        <v>0</v>
      </c>
      <c r="D46" s="330">
        <v>-3.2327266618419999</v>
      </c>
      <c r="E46" s="331">
        <v>0</v>
      </c>
      <c r="F46" s="329">
        <v>0</v>
      </c>
      <c r="G46" s="330">
        <v>0</v>
      </c>
      <c r="H46" s="332">
        <v>0</v>
      </c>
      <c r="I46" s="329">
        <v>0</v>
      </c>
      <c r="J46" s="330">
        <v>0</v>
      </c>
      <c r="K46" s="333">
        <v>12</v>
      </c>
    </row>
    <row r="47" spans="1:11" ht="14.4" customHeight="1" thickBot="1" x14ac:dyDescent="0.35">
      <c r="A47" s="350" t="s">
        <v>244</v>
      </c>
      <c r="B47" s="334">
        <v>0</v>
      </c>
      <c r="C47" s="334">
        <v>0</v>
      </c>
      <c r="D47" s="335">
        <v>0</v>
      </c>
      <c r="E47" s="342" t="s">
        <v>204</v>
      </c>
      <c r="F47" s="334">
        <v>3.9999936338570001</v>
      </c>
      <c r="G47" s="335">
        <v>3.9999936338570001</v>
      </c>
      <c r="H47" s="337">
        <v>1.113</v>
      </c>
      <c r="I47" s="334">
        <v>4.0529999999999999</v>
      </c>
      <c r="J47" s="335">
        <v>5.3006366142000001E-2</v>
      </c>
      <c r="K47" s="338">
        <v>1.013251612625</v>
      </c>
    </row>
    <row r="48" spans="1:11" ht="14.4" customHeight="1" thickBot="1" x14ac:dyDescent="0.35">
      <c r="A48" s="351" t="s">
        <v>245</v>
      </c>
      <c r="B48" s="329">
        <v>0</v>
      </c>
      <c r="C48" s="329">
        <v>0</v>
      </c>
      <c r="D48" s="330">
        <v>0</v>
      </c>
      <c r="E48" s="341" t="s">
        <v>204</v>
      </c>
      <c r="F48" s="329">
        <v>3.9999936338570001</v>
      </c>
      <c r="G48" s="330">
        <v>3.9999936338570001</v>
      </c>
      <c r="H48" s="332">
        <v>1.113</v>
      </c>
      <c r="I48" s="329">
        <v>4.0529999999999999</v>
      </c>
      <c r="J48" s="330">
        <v>5.3006366142000001E-2</v>
      </c>
      <c r="K48" s="333">
        <v>1.013251612625</v>
      </c>
    </row>
    <row r="49" spans="1:11" ht="14.4" customHeight="1" thickBot="1" x14ac:dyDescent="0.35">
      <c r="A49" s="348" t="s">
        <v>34</v>
      </c>
      <c r="B49" s="329">
        <v>7035.9997783830504</v>
      </c>
      <c r="C49" s="329">
        <v>7160.9778299999998</v>
      </c>
      <c r="D49" s="330">
        <v>124.97805161694799</v>
      </c>
      <c r="E49" s="331">
        <v>1.0177626571280001</v>
      </c>
      <c r="F49" s="329">
        <v>7196.0006496512297</v>
      </c>
      <c r="G49" s="330">
        <v>7196.0006496512297</v>
      </c>
      <c r="H49" s="332">
        <v>735.44267000000298</v>
      </c>
      <c r="I49" s="329">
        <v>7683.30123</v>
      </c>
      <c r="J49" s="330">
        <v>487.30058034877101</v>
      </c>
      <c r="K49" s="333">
        <v>1.0677182513000001</v>
      </c>
    </row>
    <row r="50" spans="1:11" ht="14.4" customHeight="1" thickBot="1" x14ac:dyDescent="0.35">
      <c r="A50" s="354" t="s">
        <v>246</v>
      </c>
      <c r="B50" s="334">
        <v>5215.9998357086397</v>
      </c>
      <c r="C50" s="334">
        <v>5306.3630000000003</v>
      </c>
      <c r="D50" s="335">
        <v>90.363164291358004</v>
      </c>
      <c r="E50" s="336">
        <v>1.0173242268280001</v>
      </c>
      <c r="F50" s="334">
        <v>5315.0004798355103</v>
      </c>
      <c r="G50" s="335">
        <v>5315.0004798355103</v>
      </c>
      <c r="H50" s="337">
        <v>544.51800000000298</v>
      </c>
      <c r="I50" s="334">
        <v>5678.5010000000002</v>
      </c>
      <c r="J50" s="335">
        <v>363.50052016449598</v>
      </c>
      <c r="K50" s="338">
        <v>1.068391436942</v>
      </c>
    </row>
    <row r="51" spans="1:11" ht="14.4" customHeight="1" thickBot="1" x14ac:dyDescent="0.35">
      <c r="A51" s="350" t="s">
        <v>247</v>
      </c>
      <c r="B51" s="334">
        <v>5199.9998362125998</v>
      </c>
      <c r="C51" s="334">
        <v>5298.6679999999997</v>
      </c>
      <c r="D51" s="335">
        <v>98.668163787398001</v>
      </c>
      <c r="E51" s="336">
        <v>1.018974647479</v>
      </c>
      <c r="F51" s="334">
        <v>5300.00047848131</v>
      </c>
      <c r="G51" s="335">
        <v>5300.00047848131</v>
      </c>
      <c r="H51" s="337">
        <v>537.51700000000301</v>
      </c>
      <c r="I51" s="334">
        <v>5645.9560000000001</v>
      </c>
      <c r="J51" s="335">
        <v>345.95552151868799</v>
      </c>
      <c r="K51" s="338">
        <v>1.065274620808</v>
      </c>
    </row>
    <row r="52" spans="1:11" ht="14.4" customHeight="1" thickBot="1" x14ac:dyDescent="0.35">
      <c r="A52" s="351" t="s">
        <v>248</v>
      </c>
      <c r="B52" s="329">
        <v>5199.9998362125998</v>
      </c>
      <c r="C52" s="329">
        <v>5298.6679999999997</v>
      </c>
      <c r="D52" s="330">
        <v>98.668163787398001</v>
      </c>
      <c r="E52" s="331">
        <v>1.018974647479</v>
      </c>
      <c r="F52" s="329">
        <v>5300.00047848131</v>
      </c>
      <c r="G52" s="330">
        <v>5300.00047848131</v>
      </c>
      <c r="H52" s="332">
        <v>537.51700000000301</v>
      </c>
      <c r="I52" s="329">
        <v>5645.9560000000001</v>
      </c>
      <c r="J52" s="330">
        <v>345.95552151868799</v>
      </c>
      <c r="K52" s="333">
        <v>1.065274620808</v>
      </c>
    </row>
    <row r="53" spans="1:11" ht="14.4" customHeight="1" thickBot="1" x14ac:dyDescent="0.35">
      <c r="A53" s="350" t="s">
        <v>249</v>
      </c>
      <c r="B53" s="334">
        <v>15.999999496038001</v>
      </c>
      <c r="C53" s="334">
        <v>7.6950000000000003</v>
      </c>
      <c r="D53" s="335">
        <v>-8.3049994960380005</v>
      </c>
      <c r="E53" s="336">
        <v>0.48093751514799998</v>
      </c>
      <c r="F53" s="334">
        <v>15.000001354191999</v>
      </c>
      <c r="G53" s="335">
        <v>15.000001354191999</v>
      </c>
      <c r="H53" s="337">
        <v>7.0010000000000003</v>
      </c>
      <c r="I53" s="334">
        <v>32.545000000000002</v>
      </c>
      <c r="J53" s="335">
        <v>17.544998645806999</v>
      </c>
      <c r="K53" s="338">
        <v>2.1696664707900002</v>
      </c>
    </row>
    <row r="54" spans="1:11" ht="14.4" customHeight="1" thickBot="1" x14ac:dyDescent="0.35">
      <c r="A54" s="351" t="s">
        <v>250</v>
      </c>
      <c r="B54" s="329">
        <v>15.999999496038001</v>
      </c>
      <c r="C54" s="329">
        <v>7.6950000000000003</v>
      </c>
      <c r="D54" s="330">
        <v>-8.3049994960380005</v>
      </c>
      <c r="E54" s="331">
        <v>0.48093751514799998</v>
      </c>
      <c r="F54" s="329">
        <v>15.000001354191999</v>
      </c>
      <c r="G54" s="330">
        <v>15.000001354191999</v>
      </c>
      <c r="H54" s="332">
        <v>7.0010000000000003</v>
      </c>
      <c r="I54" s="329">
        <v>32.545000000000002</v>
      </c>
      <c r="J54" s="330">
        <v>17.544998645806999</v>
      </c>
      <c r="K54" s="333">
        <v>2.1696664707900002</v>
      </c>
    </row>
    <row r="55" spans="1:11" ht="14.4" customHeight="1" thickBot="1" x14ac:dyDescent="0.35">
      <c r="A55" s="349" t="s">
        <v>251</v>
      </c>
      <c r="B55" s="329">
        <v>1767.9999443122799</v>
      </c>
      <c r="C55" s="329">
        <v>1801.55223</v>
      </c>
      <c r="D55" s="330">
        <v>33.552285687714999</v>
      </c>
      <c r="E55" s="331">
        <v>1.018977537751</v>
      </c>
      <c r="F55" s="329">
        <v>1802.0001626836499</v>
      </c>
      <c r="G55" s="330">
        <v>1802.0001626836499</v>
      </c>
      <c r="H55" s="332">
        <v>182.75625000000099</v>
      </c>
      <c r="I55" s="329">
        <v>1919.6213399999999</v>
      </c>
      <c r="J55" s="330">
        <v>117.62117731635399</v>
      </c>
      <c r="K55" s="333">
        <v>1.065272567534</v>
      </c>
    </row>
    <row r="56" spans="1:11" ht="14.4" customHeight="1" thickBot="1" x14ac:dyDescent="0.35">
      <c r="A56" s="350" t="s">
        <v>252</v>
      </c>
      <c r="B56" s="334">
        <v>467.99998525913401</v>
      </c>
      <c r="C56" s="334">
        <v>476.88522</v>
      </c>
      <c r="D56" s="335">
        <v>8.8852347408650001</v>
      </c>
      <c r="E56" s="336">
        <v>1.0189855449159999</v>
      </c>
      <c r="F56" s="334">
        <v>477.000043063318</v>
      </c>
      <c r="G56" s="335">
        <v>477.000043063318</v>
      </c>
      <c r="H56" s="337">
        <v>48.377000000000002</v>
      </c>
      <c r="I56" s="334">
        <v>508.13234</v>
      </c>
      <c r="J56" s="335">
        <v>31.132296936681001</v>
      </c>
      <c r="K56" s="338">
        <v>1.065266863995</v>
      </c>
    </row>
    <row r="57" spans="1:11" ht="14.4" customHeight="1" thickBot="1" x14ac:dyDescent="0.35">
      <c r="A57" s="351" t="s">
        <v>253</v>
      </c>
      <c r="B57" s="329">
        <v>467.99998525913401</v>
      </c>
      <c r="C57" s="329">
        <v>476.88522</v>
      </c>
      <c r="D57" s="330">
        <v>8.8852347408650001</v>
      </c>
      <c r="E57" s="331">
        <v>1.0189855449159999</v>
      </c>
      <c r="F57" s="329">
        <v>477.000043063318</v>
      </c>
      <c r="G57" s="330">
        <v>477.000043063318</v>
      </c>
      <c r="H57" s="332">
        <v>48.377000000000002</v>
      </c>
      <c r="I57" s="329">
        <v>508.13234</v>
      </c>
      <c r="J57" s="330">
        <v>31.132296936681001</v>
      </c>
      <c r="K57" s="333">
        <v>1.065266863995</v>
      </c>
    </row>
    <row r="58" spans="1:11" ht="14.4" customHeight="1" thickBot="1" x14ac:dyDescent="0.35">
      <c r="A58" s="350" t="s">
        <v>254</v>
      </c>
      <c r="B58" s="334">
        <v>1299.99995905315</v>
      </c>
      <c r="C58" s="334">
        <v>1324.6670099999999</v>
      </c>
      <c r="D58" s="335">
        <v>24.667050946848999</v>
      </c>
      <c r="E58" s="336">
        <v>1.018974655172</v>
      </c>
      <c r="F58" s="334">
        <v>1325.00011962033</v>
      </c>
      <c r="G58" s="335">
        <v>1325.00011962033</v>
      </c>
      <c r="H58" s="337">
        <v>134.37925000000101</v>
      </c>
      <c r="I58" s="334">
        <v>1411.489</v>
      </c>
      <c r="J58" s="335">
        <v>86.488880379671002</v>
      </c>
      <c r="K58" s="338">
        <v>1.065274620808</v>
      </c>
    </row>
    <row r="59" spans="1:11" ht="14.4" customHeight="1" thickBot="1" x14ac:dyDescent="0.35">
      <c r="A59" s="351" t="s">
        <v>255</v>
      </c>
      <c r="B59" s="329">
        <v>1299.99995905315</v>
      </c>
      <c r="C59" s="329">
        <v>1324.6670099999999</v>
      </c>
      <c r="D59" s="330">
        <v>24.667050946848999</v>
      </c>
      <c r="E59" s="331">
        <v>1.018974655172</v>
      </c>
      <c r="F59" s="329">
        <v>1325.00011962033</v>
      </c>
      <c r="G59" s="330">
        <v>1325.00011962033</v>
      </c>
      <c r="H59" s="332">
        <v>134.37925000000101</v>
      </c>
      <c r="I59" s="329">
        <v>1411.489</v>
      </c>
      <c r="J59" s="330">
        <v>86.488880379671002</v>
      </c>
      <c r="K59" s="333">
        <v>1.065274620808</v>
      </c>
    </row>
    <row r="60" spans="1:11" ht="14.4" customHeight="1" thickBot="1" x14ac:dyDescent="0.35">
      <c r="A60" s="349" t="s">
        <v>256</v>
      </c>
      <c r="B60" s="329">
        <v>51.999998362126</v>
      </c>
      <c r="C60" s="329">
        <v>53.062600000000003</v>
      </c>
      <c r="D60" s="330">
        <v>1.0626016378730001</v>
      </c>
      <c r="E60" s="331">
        <v>1.0204346475249999</v>
      </c>
      <c r="F60" s="329">
        <v>79.00000713208</v>
      </c>
      <c r="G60" s="330">
        <v>79.00000713208</v>
      </c>
      <c r="H60" s="332">
        <v>8.1684199999999993</v>
      </c>
      <c r="I60" s="329">
        <v>85.178889999999996</v>
      </c>
      <c r="J60" s="330">
        <v>6.1788828679199996</v>
      </c>
      <c r="K60" s="333">
        <v>1.078213700127</v>
      </c>
    </row>
    <row r="61" spans="1:11" ht="14.4" customHeight="1" thickBot="1" x14ac:dyDescent="0.35">
      <c r="A61" s="350" t="s">
        <v>257</v>
      </c>
      <c r="B61" s="334">
        <v>51.999998362126</v>
      </c>
      <c r="C61" s="334">
        <v>53.062600000000003</v>
      </c>
      <c r="D61" s="335">
        <v>1.0626016378730001</v>
      </c>
      <c r="E61" s="336">
        <v>1.0204346475249999</v>
      </c>
      <c r="F61" s="334">
        <v>79.00000713208</v>
      </c>
      <c r="G61" s="335">
        <v>79.00000713208</v>
      </c>
      <c r="H61" s="337">
        <v>8.1684199999999993</v>
      </c>
      <c r="I61" s="334">
        <v>85.178889999999996</v>
      </c>
      <c r="J61" s="335">
        <v>6.1788828679199996</v>
      </c>
      <c r="K61" s="338">
        <v>1.078213700127</v>
      </c>
    </row>
    <row r="62" spans="1:11" ht="14.4" customHeight="1" thickBot="1" x14ac:dyDescent="0.35">
      <c r="A62" s="351" t="s">
        <v>258</v>
      </c>
      <c r="B62" s="329">
        <v>51.999998362126</v>
      </c>
      <c r="C62" s="329">
        <v>53.062600000000003</v>
      </c>
      <c r="D62" s="330">
        <v>1.0626016378730001</v>
      </c>
      <c r="E62" s="331">
        <v>1.0204346475249999</v>
      </c>
      <c r="F62" s="329">
        <v>79.00000713208</v>
      </c>
      <c r="G62" s="330">
        <v>79.00000713208</v>
      </c>
      <c r="H62" s="332">
        <v>8.1684199999999993</v>
      </c>
      <c r="I62" s="329">
        <v>85.178889999999996</v>
      </c>
      <c r="J62" s="330">
        <v>6.1788828679199996</v>
      </c>
      <c r="K62" s="333">
        <v>1.078213700127</v>
      </c>
    </row>
    <row r="63" spans="1:11" ht="14.4" customHeight="1" thickBot="1" x14ac:dyDescent="0.35">
      <c r="A63" s="348" t="s">
        <v>259</v>
      </c>
      <c r="B63" s="329">
        <v>0</v>
      </c>
      <c r="C63" s="329">
        <v>70.935000000000002</v>
      </c>
      <c r="D63" s="330">
        <v>70.935000000000002</v>
      </c>
      <c r="E63" s="341" t="s">
        <v>204</v>
      </c>
      <c r="F63" s="329">
        <v>0</v>
      </c>
      <c r="G63" s="330">
        <v>0</v>
      </c>
      <c r="H63" s="332">
        <v>3.6</v>
      </c>
      <c r="I63" s="329">
        <v>83.55</v>
      </c>
      <c r="J63" s="330">
        <v>83.55</v>
      </c>
      <c r="K63" s="340" t="s">
        <v>204</v>
      </c>
    </row>
    <row r="64" spans="1:11" ht="14.4" customHeight="1" thickBot="1" x14ac:dyDescent="0.35">
      <c r="A64" s="349" t="s">
        <v>260</v>
      </c>
      <c r="B64" s="329">
        <v>0</v>
      </c>
      <c r="C64" s="329">
        <v>70.935000000000002</v>
      </c>
      <c r="D64" s="330">
        <v>70.935000000000002</v>
      </c>
      <c r="E64" s="341" t="s">
        <v>204</v>
      </c>
      <c r="F64" s="329">
        <v>0</v>
      </c>
      <c r="G64" s="330">
        <v>0</v>
      </c>
      <c r="H64" s="332">
        <v>3.6</v>
      </c>
      <c r="I64" s="329">
        <v>83.55</v>
      </c>
      <c r="J64" s="330">
        <v>83.55</v>
      </c>
      <c r="K64" s="340" t="s">
        <v>204</v>
      </c>
    </row>
    <row r="65" spans="1:11" ht="14.4" customHeight="1" thickBot="1" x14ac:dyDescent="0.35">
      <c r="A65" s="350" t="s">
        <v>261</v>
      </c>
      <c r="B65" s="334">
        <v>0</v>
      </c>
      <c r="C65" s="334">
        <v>8.0850000000000009</v>
      </c>
      <c r="D65" s="335">
        <v>8.0850000000000009</v>
      </c>
      <c r="E65" s="342" t="s">
        <v>204</v>
      </c>
      <c r="F65" s="334">
        <v>0</v>
      </c>
      <c r="G65" s="335">
        <v>0</v>
      </c>
      <c r="H65" s="337">
        <v>0</v>
      </c>
      <c r="I65" s="334">
        <v>0</v>
      </c>
      <c r="J65" s="335">
        <v>0</v>
      </c>
      <c r="K65" s="339" t="s">
        <v>204</v>
      </c>
    </row>
    <row r="66" spans="1:11" ht="14.4" customHeight="1" thickBot="1" x14ac:dyDescent="0.35">
      <c r="A66" s="351" t="s">
        <v>262</v>
      </c>
      <c r="B66" s="329">
        <v>0</v>
      </c>
      <c r="C66" s="329">
        <v>0.14499999999999999</v>
      </c>
      <c r="D66" s="330">
        <v>0.14499999999999999</v>
      </c>
      <c r="E66" s="341" t="s">
        <v>204</v>
      </c>
      <c r="F66" s="329">
        <v>0</v>
      </c>
      <c r="G66" s="330">
        <v>0</v>
      </c>
      <c r="H66" s="332">
        <v>0</v>
      </c>
      <c r="I66" s="329">
        <v>0</v>
      </c>
      <c r="J66" s="330">
        <v>0</v>
      </c>
      <c r="K66" s="340" t="s">
        <v>204</v>
      </c>
    </row>
    <row r="67" spans="1:11" ht="14.4" customHeight="1" thickBot="1" x14ac:dyDescent="0.35">
      <c r="A67" s="351" t="s">
        <v>263</v>
      </c>
      <c r="B67" s="329">
        <v>0</v>
      </c>
      <c r="C67" s="329">
        <v>7.94</v>
      </c>
      <c r="D67" s="330">
        <v>7.94</v>
      </c>
      <c r="E67" s="341" t="s">
        <v>204</v>
      </c>
      <c r="F67" s="329">
        <v>0</v>
      </c>
      <c r="G67" s="330">
        <v>0</v>
      </c>
      <c r="H67" s="332">
        <v>0</v>
      </c>
      <c r="I67" s="329">
        <v>0</v>
      </c>
      <c r="J67" s="330">
        <v>0</v>
      </c>
      <c r="K67" s="340" t="s">
        <v>204</v>
      </c>
    </row>
    <row r="68" spans="1:11" ht="14.4" customHeight="1" thickBot="1" x14ac:dyDescent="0.35">
      <c r="A68" s="353" t="s">
        <v>264</v>
      </c>
      <c r="B68" s="329">
        <v>0</v>
      </c>
      <c r="C68" s="329">
        <v>62.85</v>
      </c>
      <c r="D68" s="330">
        <v>62.85</v>
      </c>
      <c r="E68" s="341" t="s">
        <v>204</v>
      </c>
      <c r="F68" s="329">
        <v>0</v>
      </c>
      <c r="G68" s="330">
        <v>0</v>
      </c>
      <c r="H68" s="332">
        <v>3.6</v>
      </c>
      <c r="I68" s="329">
        <v>83.55</v>
      </c>
      <c r="J68" s="330">
        <v>83.55</v>
      </c>
      <c r="K68" s="340" t="s">
        <v>204</v>
      </c>
    </row>
    <row r="69" spans="1:11" ht="14.4" customHeight="1" thickBot="1" x14ac:dyDescent="0.35">
      <c r="A69" s="351" t="s">
        <v>265</v>
      </c>
      <c r="B69" s="329">
        <v>0</v>
      </c>
      <c r="C69" s="329">
        <v>62.85</v>
      </c>
      <c r="D69" s="330">
        <v>62.85</v>
      </c>
      <c r="E69" s="341" t="s">
        <v>204</v>
      </c>
      <c r="F69" s="329">
        <v>0</v>
      </c>
      <c r="G69" s="330">
        <v>0</v>
      </c>
      <c r="H69" s="332">
        <v>3.6</v>
      </c>
      <c r="I69" s="329">
        <v>83.55</v>
      </c>
      <c r="J69" s="330">
        <v>83.55</v>
      </c>
      <c r="K69" s="340" t="s">
        <v>204</v>
      </c>
    </row>
    <row r="70" spans="1:11" ht="14.4" customHeight="1" thickBot="1" x14ac:dyDescent="0.35">
      <c r="A70" s="348" t="s">
        <v>266</v>
      </c>
      <c r="B70" s="329">
        <v>42.999983767379</v>
      </c>
      <c r="C70" s="329">
        <v>62.68291</v>
      </c>
      <c r="D70" s="330">
        <v>19.682926232620002</v>
      </c>
      <c r="E70" s="331">
        <v>1.457742643325</v>
      </c>
      <c r="F70" s="329">
        <v>43.000099298164997</v>
      </c>
      <c r="G70" s="330">
        <v>43.000099298164997</v>
      </c>
      <c r="H70" s="332">
        <v>3.7120000000000002</v>
      </c>
      <c r="I70" s="329">
        <v>43.17</v>
      </c>
      <c r="J70" s="330">
        <v>0.169900701834</v>
      </c>
      <c r="K70" s="333">
        <v>1.0039511699879999</v>
      </c>
    </row>
    <row r="71" spans="1:11" ht="14.4" customHeight="1" thickBot="1" x14ac:dyDescent="0.35">
      <c r="A71" s="349" t="s">
        <v>267</v>
      </c>
      <c r="B71" s="329">
        <v>42.999983767379</v>
      </c>
      <c r="C71" s="329">
        <v>42.511000000000003</v>
      </c>
      <c r="D71" s="330">
        <v>-0.48898376737900001</v>
      </c>
      <c r="E71" s="331">
        <v>0.98862828018600002</v>
      </c>
      <c r="F71" s="329">
        <v>43.000099298164997</v>
      </c>
      <c r="G71" s="330">
        <v>43.000099298164997</v>
      </c>
      <c r="H71" s="332">
        <v>3.7120000000000002</v>
      </c>
      <c r="I71" s="329">
        <v>43.17</v>
      </c>
      <c r="J71" s="330">
        <v>0.169900701834</v>
      </c>
      <c r="K71" s="333">
        <v>1.0039511699879999</v>
      </c>
    </row>
    <row r="72" spans="1:11" ht="14.4" customHeight="1" thickBot="1" x14ac:dyDescent="0.35">
      <c r="A72" s="350" t="s">
        <v>268</v>
      </c>
      <c r="B72" s="334">
        <v>42.999983767379</v>
      </c>
      <c r="C72" s="334">
        <v>42.511000000000003</v>
      </c>
      <c r="D72" s="335">
        <v>-0.48898376737900001</v>
      </c>
      <c r="E72" s="336">
        <v>0.98862828018600002</v>
      </c>
      <c r="F72" s="334">
        <v>43.000099298164997</v>
      </c>
      <c r="G72" s="335">
        <v>43.000099298164997</v>
      </c>
      <c r="H72" s="337">
        <v>3.7120000000000002</v>
      </c>
      <c r="I72" s="334">
        <v>43.17</v>
      </c>
      <c r="J72" s="335">
        <v>0.169900701834</v>
      </c>
      <c r="K72" s="338">
        <v>1.0039511699879999</v>
      </c>
    </row>
    <row r="73" spans="1:11" ht="14.4" customHeight="1" thickBot="1" x14ac:dyDescent="0.35">
      <c r="A73" s="351" t="s">
        <v>269</v>
      </c>
      <c r="B73" s="329">
        <v>24.999999212559999</v>
      </c>
      <c r="C73" s="329">
        <v>24.832000000000001</v>
      </c>
      <c r="D73" s="330">
        <v>-0.16799921256</v>
      </c>
      <c r="E73" s="331">
        <v>0.99328003128499998</v>
      </c>
      <c r="F73" s="329">
        <v>25.000057731491001</v>
      </c>
      <c r="G73" s="330">
        <v>25.000057731491001</v>
      </c>
      <c r="H73" s="332">
        <v>2.226</v>
      </c>
      <c r="I73" s="329">
        <v>25.434000000000001</v>
      </c>
      <c r="J73" s="330">
        <v>0.433942268508</v>
      </c>
      <c r="K73" s="333">
        <v>1.0173576506569999</v>
      </c>
    </row>
    <row r="74" spans="1:11" ht="14.4" customHeight="1" thickBot="1" x14ac:dyDescent="0.35">
      <c r="A74" s="351" t="s">
        <v>270</v>
      </c>
      <c r="B74" s="329">
        <v>10.000083349596</v>
      </c>
      <c r="C74" s="329">
        <v>9.9120000000000008</v>
      </c>
      <c r="D74" s="330">
        <v>-8.8083349596000005E-2</v>
      </c>
      <c r="E74" s="331">
        <v>0.99119173845599995</v>
      </c>
      <c r="F74" s="329">
        <v>10.000023092596001</v>
      </c>
      <c r="G74" s="330">
        <v>10.000023092596001</v>
      </c>
      <c r="H74" s="332">
        <v>0.82599999999999996</v>
      </c>
      <c r="I74" s="329">
        <v>9.9120000000000008</v>
      </c>
      <c r="J74" s="330">
        <v>-8.8023092595999997E-2</v>
      </c>
      <c r="K74" s="333">
        <v>0.99119771106700005</v>
      </c>
    </row>
    <row r="75" spans="1:11" ht="14.4" customHeight="1" thickBot="1" x14ac:dyDescent="0.35">
      <c r="A75" s="351" t="s">
        <v>271</v>
      </c>
      <c r="B75" s="329">
        <v>7.9999012052219998</v>
      </c>
      <c r="C75" s="329">
        <v>7.7670000000000003</v>
      </c>
      <c r="D75" s="330">
        <v>-0.232901205222</v>
      </c>
      <c r="E75" s="331">
        <v>0.97088698981999999</v>
      </c>
      <c r="F75" s="329">
        <v>8.0000184740770006</v>
      </c>
      <c r="G75" s="330">
        <v>8.0000184740770006</v>
      </c>
      <c r="H75" s="332">
        <v>0.66</v>
      </c>
      <c r="I75" s="329">
        <v>7.8239999999999998</v>
      </c>
      <c r="J75" s="330">
        <v>-0.176018474077</v>
      </c>
      <c r="K75" s="333">
        <v>0.97799774154899999</v>
      </c>
    </row>
    <row r="76" spans="1:11" ht="14.4" customHeight="1" thickBot="1" x14ac:dyDescent="0.35">
      <c r="A76" s="349" t="s">
        <v>272</v>
      </c>
      <c r="B76" s="329">
        <v>0</v>
      </c>
      <c r="C76" s="329">
        <v>20.17191</v>
      </c>
      <c r="D76" s="330">
        <v>20.17191</v>
      </c>
      <c r="E76" s="341" t="s">
        <v>204</v>
      </c>
      <c r="F76" s="329">
        <v>0</v>
      </c>
      <c r="G76" s="330">
        <v>0</v>
      </c>
      <c r="H76" s="332">
        <v>0</v>
      </c>
      <c r="I76" s="329">
        <v>0</v>
      </c>
      <c r="J76" s="330">
        <v>0</v>
      </c>
      <c r="K76" s="340" t="s">
        <v>204</v>
      </c>
    </row>
    <row r="77" spans="1:11" ht="14.4" customHeight="1" thickBot="1" x14ac:dyDescent="0.35">
      <c r="A77" s="350" t="s">
        <v>273</v>
      </c>
      <c r="B77" s="334">
        <v>0</v>
      </c>
      <c r="C77" s="334">
        <v>20.17191</v>
      </c>
      <c r="D77" s="335">
        <v>20.17191</v>
      </c>
      <c r="E77" s="342" t="s">
        <v>204</v>
      </c>
      <c r="F77" s="334">
        <v>0</v>
      </c>
      <c r="G77" s="335">
        <v>0</v>
      </c>
      <c r="H77" s="337">
        <v>0</v>
      </c>
      <c r="I77" s="334">
        <v>0</v>
      </c>
      <c r="J77" s="335">
        <v>0</v>
      </c>
      <c r="K77" s="339" t="s">
        <v>204</v>
      </c>
    </row>
    <row r="78" spans="1:11" ht="14.4" customHeight="1" thickBot="1" x14ac:dyDescent="0.35">
      <c r="A78" s="351" t="s">
        <v>274</v>
      </c>
      <c r="B78" s="329">
        <v>0</v>
      </c>
      <c r="C78" s="329">
        <v>20.17191</v>
      </c>
      <c r="D78" s="330">
        <v>20.17191</v>
      </c>
      <c r="E78" s="341" t="s">
        <v>204</v>
      </c>
      <c r="F78" s="329">
        <v>0</v>
      </c>
      <c r="G78" s="330">
        <v>0</v>
      </c>
      <c r="H78" s="332">
        <v>0</v>
      </c>
      <c r="I78" s="329">
        <v>0</v>
      </c>
      <c r="J78" s="330">
        <v>0</v>
      </c>
      <c r="K78" s="340" t="s">
        <v>204</v>
      </c>
    </row>
    <row r="79" spans="1:11" ht="14.4" customHeight="1" thickBot="1" x14ac:dyDescent="0.35">
      <c r="A79" s="347" t="s">
        <v>275</v>
      </c>
      <c r="B79" s="329">
        <v>7662.58809836001</v>
      </c>
      <c r="C79" s="329">
        <v>8475.40906</v>
      </c>
      <c r="D79" s="330">
        <v>812.82096163998904</v>
      </c>
      <c r="E79" s="331">
        <v>1.106076556798</v>
      </c>
      <c r="F79" s="329">
        <v>8846.4635074222206</v>
      </c>
      <c r="G79" s="330">
        <v>8846.4635074222206</v>
      </c>
      <c r="H79" s="332">
        <v>882.93870000000004</v>
      </c>
      <c r="I79" s="329">
        <v>9514.4940100000003</v>
      </c>
      <c r="J79" s="330">
        <v>668.03050257778295</v>
      </c>
      <c r="K79" s="333">
        <v>1.0755138482190001</v>
      </c>
    </row>
    <row r="80" spans="1:11" ht="14.4" customHeight="1" thickBot="1" x14ac:dyDescent="0.35">
      <c r="A80" s="348" t="s">
        <v>276</v>
      </c>
      <c r="B80" s="329">
        <v>7619.58809836001</v>
      </c>
      <c r="C80" s="329">
        <v>8425.4138999999996</v>
      </c>
      <c r="D80" s="330">
        <v>805.82580163998898</v>
      </c>
      <c r="E80" s="331">
        <v>1.1057571342750001</v>
      </c>
      <c r="F80" s="329">
        <v>8806.0725152696305</v>
      </c>
      <c r="G80" s="330">
        <v>8806.0725152696305</v>
      </c>
      <c r="H80" s="332">
        <v>879.07108000000005</v>
      </c>
      <c r="I80" s="329">
        <v>9471.5033600000006</v>
      </c>
      <c r="J80" s="330">
        <v>665.43084473036697</v>
      </c>
      <c r="K80" s="333">
        <v>1.075564997174</v>
      </c>
    </row>
    <row r="81" spans="1:11" ht="14.4" customHeight="1" thickBot="1" x14ac:dyDescent="0.35">
      <c r="A81" s="349" t="s">
        <v>277</v>
      </c>
      <c r="B81" s="329">
        <v>7619.58809836001</v>
      </c>
      <c r="C81" s="329">
        <v>8425.4138999999996</v>
      </c>
      <c r="D81" s="330">
        <v>805.82580163998898</v>
      </c>
      <c r="E81" s="331">
        <v>1.1057571342750001</v>
      </c>
      <c r="F81" s="329">
        <v>8806.0725152696305</v>
      </c>
      <c r="G81" s="330">
        <v>8806.0725152696305</v>
      </c>
      <c r="H81" s="332">
        <v>879.07108000000005</v>
      </c>
      <c r="I81" s="329">
        <v>9471.5033600000006</v>
      </c>
      <c r="J81" s="330">
        <v>665.43084473036697</v>
      </c>
      <c r="K81" s="333">
        <v>1.075564997174</v>
      </c>
    </row>
    <row r="82" spans="1:11" ht="14.4" customHeight="1" thickBot="1" x14ac:dyDescent="0.35">
      <c r="A82" s="350" t="s">
        <v>278</v>
      </c>
      <c r="B82" s="334">
        <v>21.588098358027001</v>
      </c>
      <c r="C82" s="334">
        <v>30.132470000000001</v>
      </c>
      <c r="D82" s="335">
        <v>8.5443716419720008</v>
      </c>
      <c r="E82" s="336">
        <v>1.3957908427250001</v>
      </c>
      <c r="F82" s="334">
        <v>25.256597930760002</v>
      </c>
      <c r="G82" s="335">
        <v>25.256597930760002</v>
      </c>
      <c r="H82" s="337">
        <v>0</v>
      </c>
      <c r="I82" s="334">
        <v>59.369320000000002</v>
      </c>
      <c r="J82" s="335">
        <v>34.112722069238998</v>
      </c>
      <c r="K82" s="338">
        <v>2.3506459643830002</v>
      </c>
    </row>
    <row r="83" spans="1:11" ht="14.4" customHeight="1" thickBot="1" x14ac:dyDescent="0.35">
      <c r="A83" s="351" t="s">
        <v>279</v>
      </c>
      <c r="B83" s="329">
        <v>0</v>
      </c>
      <c r="C83" s="329">
        <v>2.3239999999999998</v>
      </c>
      <c r="D83" s="330">
        <v>2.3239999999999998</v>
      </c>
      <c r="E83" s="341" t="s">
        <v>230</v>
      </c>
      <c r="F83" s="329">
        <v>2.3863759235059998</v>
      </c>
      <c r="G83" s="330">
        <v>2.3863759235059998</v>
      </c>
      <c r="H83" s="332">
        <v>0</v>
      </c>
      <c r="I83" s="329">
        <v>0</v>
      </c>
      <c r="J83" s="330">
        <v>-2.3863759235059998</v>
      </c>
      <c r="K83" s="333">
        <v>0</v>
      </c>
    </row>
    <row r="84" spans="1:11" ht="14.4" customHeight="1" thickBot="1" x14ac:dyDescent="0.35">
      <c r="A84" s="351" t="s">
        <v>280</v>
      </c>
      <c r="B84" s="329">
        <v>21.41005050927</v>
      </c>
      <c r="C84" s="329">
        <v>27.80847</v>
      </c>
      <c r="D84" s="330">
        <v>6.3984194907290002</v>
      </c>
      <c r="E84" s="331">
        <v>1.298851209527</v>
      </c>
      <c r="F84" s="329">
        <v>22.870222007252998</v>
      </c>
      <c r="G84" s="330">
        <v>22.870222007252998</v>
      </c>
      <c r="H84" s="332">
        <v>0</v>
      </c>
      <c r="I84" s="329">
        <v>59.369320000000002</v>
      </c>
      <c r="J84" s="330">
        <v>36.499097992746002</v>
      </c>
      <c r="K84" s="333">
        <v>2.595922329969</v>
      </c>
    </row>
    <row r="85" spans="1:11" ht="14.4" customHeight="1" thickBot="1" x14ac:dyDescent="0.35">
      <c r="A85" s="351" t="s">
        <v>281</v>
      </c>
      <c r="B85" s="329">
        <v>0.178047848757</v>
      </c>
      <c r="C85" s="329">
        <v>0</v>
      </c>
      <c r="D85" s="330">
        <v>-0.178047848757</v>
      </c>
      <c r="E85" s="331">
        <v>0</v>
      </c>
      <c r="F85" s="329">
        <v>0</v>
      </c>
      <c r="G85" s="330">
        <v>0</v>
      </c>
      <c r="H85" s="332">
        <v>0</v>
      </c>
      <c r="I85" s="329">
        <v>0</v>
      </c>
      <c r="J85" s="330">
        <v>0</v>
      </c>
      <c r="K85" s="333">
        <v>12</v>
      </c>
    </row>
    <row r="86" spans="1:11" ht="14.4" customHeight="1" thickBot="1" x14ac:dyDescent="0.35">
      <c r="A86" s="350" t="s">
        <v>282</v>
      </c>
      <c r="B86" s="334">
        <v>10.000000000002</v>
      </c>
      <c r="C86" s="334">
        <v>15.4513</v>
      </c>
      <c r="D86" s="335">
        <v>5.4512999999970004</v>
      </c>
      <c r="E86" s="336">
        <v>1.545129999999</v>
      </c>
      <c r="F86" s="334">
        <v>22.817816053093001</v>
      </c>
      <c r="G86" s="335">
        <v>22.817816053093001</v>
      </c>
      <c r="H86" s="337">
        <v>0</v>
      </c>
      <c r="I86" s="334">
        <v>20.674399999999999</v>
      </c>
      <c r="J86" s="335">
        <v>-2.143416053093</v>
      </c>
      <c r="K86" s="338">
        <v>0.90606392618300002</v>
      </c>
    </row>
    <row r="87" spans="1:11" ht="14.4" customHeight="1" thickBot="1" x14ac:dyDescent="0.35">
      <c r="A87" s="351" t="s">
        <v>283</v>
      </c>
      <c r="B87" s="329">
        <v>10.000000000002</v>
      </c>
      <c r="C87" s="329">
        <v>15.4513</v>
      </c>
      <c r="D87" s="330">
        <v>5.4512999999970004</v>
      </c>
      <c r="E87" s="331">
        <v>1.545129999999</v>
      </c>
      <c r="F87" s="329">
        <v>13.000001303492001</v>
      </c>
      <c r="G87" s="330">
        <v>13.000001303492001</v>
      </c>
      <c r="H87" s="332">
        <v>0</v>
      </c>
      <c r="I87" s="329">
        <v>20.674399999999999</v>
      </c>
      <c r="J87" s="330">
        <v>7.6743986965069997</v>
      </c>
      <c r="K87" s="333">
        <v>1.5903383020770001</v>
      </c>
    </row>
    <row r="88" spans="1:11" ht="14.4" customHeight="1" thickBot="1" x14ac:dyDescent="0.35">
      <c r="A88" s="351" t="s">
        <v>284</v>
      </c>
      <c r="B88" s="329">
        <v>0</v>
      </c>
      <c r="C88" s="329">
        <v>-4.4408920985006301E-15</v>
      </c>
      <c r="D88" s="330">
        <v>-4.4408920985006301E-15</v>
      </c>
      <c r="E88" s="341" t="s">
        <v>230</v>
      </c>
      <c r="F88" s="329">
        <v>9.8178147496010002</v>
      </c>
      <c r="G88" s="330">
        <v>9.8178147496010002</v>
      </c>
      <c r="H88" s="332">
        <v>0</v>
      </c>
      <c r="I88" s="329">
        <v>0</v>
      </c>
      <c r="J88" s="330">
        <v>-9.8178147496010002</v>
      </c>
      <c r="K88" s="333">
        <v>0</v>
      </c>
    </row>
    <row r="89" spans="1:11" ht="14.4" customHeight="1" thickBot="1" x14ac:dyDescent="0.35">
      <c r="A89" s="350" t="s">
        <v>285</v>
      </c>
      <c r="B89" s="334">
        <v>4.0000000000010001</v>
      </c>
      <c r="C89" s="334">
        <v>6.5310800000000002</v>
      </c>
      <c r="D89" s="335">
        <v>2.531079999998</v>
      </c>
      <c r="E89" s="336">
        <v>1.632769999999</v>
      </c>
      <c r="F89" s="334">
        <v>11.997224336101</v>
      </c>
      <c r="G89" s="335">
        <v>11.997224336101</v>
      </c>
      <c r="H89" s="337">
        <v>0</v>
      </c>
      <c r="I89" s="334">
        <v>5.5014000000000003</v>
      </c>
      <c r="J89" s="335">
        <v>-6.4958243361010002</v>
      </c>
      <c r="K89" s="338">
        <v>0.45855606645899999</v>
      </c>
    </row>
    <row r="90" spans="1:11" ht="14.4" customHeight="1" thickBot="1" x14ac:dyDescent="0.35">
      <c r="A90" s="351" t="s">
        <v>286</v>
      </c>
      <c r="B90" s="329">
        <v>0</v>
      </c>
      <c r="C90" s="329">
        <v>3.5980799999999999</v>
      </c>
      <c r="D90" s="330">
        <v>3.5980799999999999</v>
      </c>
      <c r="E90" s="341" t="s">
        <v>230</v>
      </c>
      <c r="F90" s="329">
        <v>1.9972233334139999</v>
      </c>
      <c r="G90" s="330">
        <v>1.9972233334139999</v>
      </c>
      <c r="H90" s="332">
        <v>0</v>
      </c>
      <c r="I90" s="329">
        <v>3.7584</v>
      </c>
      <c r="J90" s="330">
        <v>1.7611766665849999</v>
      </c>
      <c r="K90" s="333">
        <v>1.881812583059</v>
      </c>
    </row>
    <row r="91" spans="1:11" ht="14.4" customHeight="1" thickBot="1" x14ac:dyDescent="0.35">
      <c r="A91" s="351" t="s">
        <v>287</v>
      </c>
      <c r="B91" s="329">
        <v>4.0000000000010001</v>
      </c>
      <c r="C91" s="329">
        <v>2.9329999999999998</v>
      </c>
      <c r="D91" s="330">
        <v>-1.067000000001</v>
      </c>
      <c r="E91" s="331">
        <v>0.73324999999899998</v>
      </c>
      <c r="F91" s="329">
        <v>10.000001002686</v>
      </c>
      <c r="G91" s="330">
        <v>10.000001002686</v>
      </c>
      <c r="H91" s="332">
        <v>0</v>
      </c>
      <c r="I91" s="329">
        <v>1.7430000000000001</v>
      </c>
      <c r="J91" s="330">
        <v>-8.2570010026859997</v>
      </c>
      <c r="K91" s="333">
        <v>0.174299982523</v>
      </c>
    </row>
    <row r="92" spans="1:11" ht="14.4" customHeight="1" thickBot="1" x14ac:dyDescent="0.35">
      <c r="A92" s="350" t="s">
        <v>288</v>
      </c>
      <c r="B92" s="334">
        <v>7584.00000000198</v>
      </c>
      <c r="C92" s="334">
        <v>7987.0118599999996</v>
      </c>
      <c r="D92" s="335">
        <v>403.01185999802101</v>
      </c>
      <c r="E92" s="336">
        <v>1.0531397494720001</v>
      </c>
      <c r="F92" s="334">
        <v>8746.0008769496799</v>
      </c>
      <c r="G92" s="335">
        <v>8746.0008769496799</v>
      </c>
      <c r="H92" s="337">
        <v>663.87189999999998</v>
      </c>
      <c r="I92" s="334">
        <v>8854.7393699999993</v>
      </c>
      <c r="J92" s="335">
        <v>108.738493050323</v>
      </c>
      <c r="K92" s="338">
        <v>1.012432938731</v>
      </c>
    </row>
    <row r="93" spans="1:11" ht="14.4" customHeight="1" thickBot="1" x14ac:dyDescent="0.35">
      <c r="A93" s="351" t="s">
        <v>289</v>
      </c>
      <c r="B93" s="329">
        <v>2646.0000000006899</v>
      </c>
      <c r="C93" s="329">
        <v>2700.4295900000002</v>
      </c>
      <c r="D93" s="330">
        <v>54.429589999309997</v>
      </c>
      <c r="E93" s="331">
        <v>1.0205705177619999</v>
      </c>
      <c r="F93" s="329">
        <v>3259.0003267755501</v>
      </c>
      <c r="G93" s="330">
        <v>3259.0003267755501</v>
      </c>
      <c r="H93" s="332">
        <v>266.48500999999999</v>
      </c>
      <c r="I93" s="329">
        <v>3136.7258900000002</v>
      </c>
      <c r="J93" s="330">
        <v>-122.27443677555399</v>
      </c>
      <c r="K93" s="333">
        <v>0.96248099892100003</v>
      </c>
    </row>
    <row r="94" spans="1:11" ht="14.4" customHeight="1" thickBot="1" x14ac:dyDescent="0.35">
      <c r="A94" s="351" t="s">
        <v>290</v>
      </c>
      <c r="B94" s="329">
        <v>4938.0000000012897</v>
      </c>
      <c r="C94" s="329">
        <v>5286.5822699999999</v>
      </c>
      <c r="D94" s="330">
        <v>348.58226999871101</v>
      </c>
      <c r="E94" s="331">
        <v>1.0705917922229999</v>
      </c>
      <c r="F94" s="329">
        <v>5487.0005501741198</v>
      </c>
      <c r="G94" s="330">
        <v>5487.0005501741198</v>
      </c>
      <c r="H94" s="332">
        <v>397.38688999999999</v>
      </c>
      <c r="I94" s="329">
        <v>5718.0134799999996</v>
      </c>
      <c r="J94" s="330">
        <v>231.01292982587799</v>
      </c>
      <c r="K94" s="333">
        <v>1.0421018601530001</v>
      </c>
    </row>
    <row r="95" spans="1:11" ht="14.4" customHeight="1" thickBot="1" x14ac:dyDescent="0.35">
      <c r="A95" s="350" t="s">
        <v>291</v>
      </c>
      <c r="B95" s="334">
        <v>0</v>
      </c>
      <c r="C95" s="334">
        <v>386.28719000000001</v>
      </c>
      <c r="D95" s="335">
        <v>386.28719000000001</v>
      </c>
      <c r="E95" s="342" t="s">
        <v>204</v>
      </c>
      <c r="F95" s="334">
        <v>0</v>
      </c>
      <c r="G95" s="335">
        <v>0</v>
      </c>
      <c r="H95" s="337">
        <v>215.19918000000001</v>
      </c>
      <c r="I95" s="334">
        <v>531.21887000000004</v>
      </c>
      <c r="J95" s="335">
        <v>531.21887000000004</v>
      </c>
      <c r="K95" s="339" t="s">
        <v>204</v>
      </c>
    </row>
    <row r="96" spans="1:11" ht="14.4" customHeight="1" thickBot="1" x14ac:dyDescent="0.35">
      <c r="A96" s="351" t="s">
        <v>292</v>
      </c>
      <c r="B96" s="329">
        <v>0</v>
      </c>
      <c r="C96" s="329">
        <v>65.845410000000001</v>
      </c>
      <c r="D96" s="330">
        <v>65.845410000000001</v>
      </c>
      <c r="E96" s="341" t="s">
        <v>204</v>
      </c>
      <c r="F96" s="329">
        <v>0</v>
      </c>
      <c r="G96" s="330">
        <v>0</v>
      </c>
      <c r="H96" s="332">
        <v>0</v>
      </c>
      <c r="I96" s="329">
        <v>51.932510000000001</v>
      </c>
      <c r="J96" s="330">
        <v>51.932510000000001</v>
      </c>
      <c r="K96" s="340" t="s">
        <v>204</v>
      </c>
    </row>
    <row r="97" spans="1:11" ht="14.4" customHeight="1" thickBot="1" x14ac:dyDescent="0.35">
      <c r="A97" s="351" t="s">
        <v>293</v>
      </c>
      <c r="B97" s="329">
        <v>0</v>
      </c>
      <c r="C97" s="329">
        <v>320.44177999999999</v>
      </c>
      <c r="D97" s="330">
        <v>320.44177999999999</v>
      </c>
      <c r="E97" s="341" t="s">
        <v>204</v>
      </c>
      <c r="F97" s="329">
        <v>0</v>
      </c>
      <c r="G97" s="330">
        <v>0</v>
      </c>
      <c r="H97" s="332">
        <v>215.19918000000001</v>
      </c>
      <c r="I97" s="329">
        <v>479.28636</v>
      </c>
      <c r="J97" s="330">
        <v>479.28636</v>
      </c>
      <c r="K97" s="340" t="s">
        <v>204</v>
      </c>
    </row>
    <row r="98" spans="1:11" ht="14.4" customHeight="1" thickBot="1" x14ac:dyDescent="0.35">
      <c r="A98" s="348" t="s">
        <v>294</v>
      </c>
      <c r="B98" s="329">
        <v>43</v>
      </c>
      <c r="C98" s="329">
        <v>49.995159999999998</v>
      </c>
      <c r="D98" s="330">
        <v>6.9951600000000003</v>
      </c>
      <c r="E98" s="331">
        <v>1.162678139534</v>
      </c>
      <c r="F98" s="329">
        <v>40.390992152583003</v>
      </c>
      <c r="G98" s="330">
        <v>40.390992152583003</v>
      </c>
      <c r="H98" s="332">
        <v>3.8676200000000001</v>
      </c>
      <c r="I98" s="329">
        <v>42.990650000000002</v>
      </c>
      <c r="J98" s="330">
        <v>2.5996578474160001</v>
      </c>
      <c r="K98" s="333">
        <v>1.064362317162</v>
      </c>
    </row>
    <row r="99" spans="1:11" ht="14.4" customHeight="1" thickBot="1" x14ac:dyDescent="0.35">
      <c r="A99" s="354" t="s">
        <v>295</v>
      </c>
      <c r="B99" s="334">
        <v>43</v>
      </c>
      <c r="C99" s="334">
        <v>49.995159999999998</v>
      </c>
      <c r="D99" s="335">
        <v>6.9951600000000003</v>
      </c>
      <c r="E99" s="336">
        <v>1.162678139534</v>
      </c>
      <c r="F99" s="334">
        <v>40.390992152583003</v>
      </c>
      <c r="G99" s="335">
        <v>40.390992152583003</v>
      </c>
      <c r="H99" s="337">
        <v>3.8676200000000001</v>
      </c>
      <c r="I99" s="334">
        <v>42.990650000000002</v>
      </c>
      <c r="J99" s="335">
        <v>2.5996578474160001</v>
      </c>
      <c r="K99" s="338">
        <v>1.064362317162</v>
      </c>
    </row>
    <row r="100" spans="1:11" ht="14.4" customHeight="1" thickBot="1" x14ac:dyDescent="0.35">
      <c r="A100" s="350" t="s">
        <v>296</v>
      </c>
      <c r="B100" s="334">
        <v>0</v>
      </c>
      <c r="C100" s="334">
        <v>-8.0000000000000007E-5</v>
      </c>
      <c r="D100" s="335">
        <v>-8.0000000000000007E-5</v>
      </c>
      <c r="E100" s="342" t="s">
        <v>204</v>
      </c>
      <c r="F100" s="334">
        <v>0</v>
      </c>
      <c r="G100" s="335">
        <v>0</v>
      </c>
      <c r="H100" s="337">
        <v>0</v>
      </c>
      <c r="I100" s="334">
        <v>8.0000000000000007E-5</v>
      </c>
      <c r="J100" s="335">
        <v>8.0000000000000007E-5</v>
      </c>
      <c r="K100" s="339" t="s">
        <v>204</v>
      </c>
    </row>
    <row r="101" spans="1:11" ht="14.4" customHeight="1" thickBot="1" x14ac:dyDescent="0.35">
      <c r="A101" s="351" t="s">
        <v>297</v>
      </c>
      <c r="B101" s="329">
        <v>0</v>
      </c>
      <c r="C101" s="329">
        <v>-8.0000000000000007E-5</v>
      </c>
      <c r="D101" s="330">
        <v>-8.0000000000000007E-5</v>
      </c>
      <c r="E101" s="341" t="s">
        <v>204</v>
      </c>
      <c r="F101" s="329">
        <v>0</v>
      </c>
      <c r="G101" s="330">
        <v>0</v>
      </c>
      <c r="H101" s="332">
        <v>0</v>
      </c>
      <c r="I101" s="329">
        <v>8.0000000000000007E-5</v>
      </c>
      <c r="J101" s="330">
        <v>8.0000000000000007E-5</v>
      </c>
      <c r="K101" s="340" t="s">
        <v>204</v>
      </c>
    </row>
    <row r="102" spans="1:11" ht="14.4" customHeight="1" thickBot="1" x14ac:dyDescent="0.35">
      <c r="A102" s="350" t="s">
        <v>298</v>
      </c>
      <c r="B102" s="334">
        <v>43</v>
      </c>
      <c r="C102" s="334">
        <v>49.995240000000003</v>
      </c>
      <c r="D102" s="335">
        <v>6.9952399999999999</v>
      </c>
      <c r="E102" s="336">
        <v>1.1626799999999999</v>
      </c>
      <c r="F102" s="334">
        <v>40.390992152583003</v>
      </c>
      <c r="G102" s="335">
        <v>40.390992152583003</v>
      </c>
      <c r="H102" s="337">
        <v>3.8676200000000001</v>
      </c>
      <c r="I102" s="334">
        <v>42.990569999999998</v>
      </c>
      <c r="J102" s="335">
        <v>2.5995778474160001</v>
      </c>
      <c r="K102" s="338">
        <v>1.064360336522</v>
      </c>
    </row>
    <row r="103" spans="1:11" ht="14.4" customHeight="1" thickBot="1" x14ac:dyDescent="0.35">
      <c r="A103" s="351" t="s">
        <v>299</v>
      </c>
      <c r="B103" s="329">
        <v>0</v>
      </c>
      <c r="C103" s="329">
        <v>2.9090000000000001E-2</v>
      </c>
      <c r="D103" s="330">
        <v>2.9090000000000001E-2</v>
      </c>
      <c r="E103" s="341" t="s">
        <v>230</v>
      </c>
      <c r="F103" s="329">
        <v>2.4745445117000001E-2</v>
      </c>
      <c r="G103" s="330">
        <v>2.4745445117000001E-2</v>
      </c>
      <c r="H103" s="332">
        <v>0</v>
      </c>
      <c r="I103" s="329">
        <v>0</v>
      </c>
      <c r="J103" s="330">
        <v>-2.4745445117000001E-2</v>
      </c>
      <c r="K103" s="333">
        <v>0</v>
      </c>
    </row>
    <row r="104" spans="1:11" ht="14.4" customHeight="1" thickBot="1" x14ac:dyDescent="0.35">
      <c r="A104" s="351" t="s">
        <v>300</v>
      </c>
      <c r="B104" s="329">
        <v>43</v>
      </c>
      <c r="C104" s="329">
        <v>49.966149999999999</v>
      </c>
      <c r="D104" s="330">
        <v>6.9661499999999998</v>
      </c>
      <c r="E104" s="331">
        <v>1.1620034883720001</v>
      </c>
      <c r="F104" s="329">
        <v>40.366246707465997</v>
      </c>
      <c r="G104" s="330">
        <v>40.366246707465997</v>
      </c>
      <c r="H104" s="332">
        <v>3.8676200000000001</v>
      </c>
      <c r="I104" s="329">
        <v>42.990569999999998</v>
      </c>
      <c r="J104" s="330">
        <v>2.624323292533</v>
      </c>
      <c r="K104" s="333">
        <v>1.0650128140849999</v>
      </c>
    </row>
    <row r="105" spans="1:11" ht="14.4" customHeight="1" thickBot="1" x14ac:dyDescent="0.35">
      <c r="A105" s="347" t="s">
        <v>301</v>
      </c>
      <c r="B105" s="329">
        <v>1007.7928227074</v>
      </c>
      <c r="C105" s="329">
        <v>988.11292000000105</v>
      </c>
      <c r="D105" s="330">
        <v>-19.679902707397002</v>
      </c>
      <c r="E105" s="331">
        <v>0.98047227340300003</v>
      </c>
      <c r="F105" s="329">
        <v>1033.3683016167499</v>
      </c>
      <c r="G105" s="330">
        <v>1033.3683016167499</v>
      </c>
      <c r="H105" s="332">
        <v>102.84516000000001</v>
      </c>
      <c r="I105" s="329">
        <v>1019.62553</v>
      </c>
      <c r="J105" s="330">
        <v>-13.742771616752</v>
      </c>
      <c r="K105" s="333">
        <v>0.98670099363800001</v>
      </c>
    </row>
    <row r="106" spans="1:11" ht="14.4" customHeight="1" thickBot="1" x14ac:dyDescent="0.35">
      <c r="A106" s="352" t="s">
        <v>302</v>
      </c>
      <c r="B106" s="334">
        <v>1007.7928227074</v>
      </c>
      <c r="C106" s="334">
        <v>988.11292000000105</v>
      </c>
      <c r="D106" s="335">
        <v>-19.679902707397002</v>
      </c>
      <c r="E106" s="336">
        <v>0.98047227340300003</v>
      </c>
      <c r="F106" s="334">
        <v>1033.3683016167499</v>
      </c>
      <c r="G106" s="335">
        <v>1033.3683016167499</v>
      </c>
      <c r="H106" s="337">
        <v>102.84516000000001</v>
      </c>
      <c r="I106" s="334">
        <v>1019.62553</v>
      </c>
      <c r="J106" s="335">
        <v>-13.742771616752</v>
      </c>
      <c r="K106" s="338">
        <v>0.98670099363800001</v>
      </c>
    </row>
    <row r="107" spans="1:11" ht="14.4" customHeight="1" thickBot="1" x14ac:dyDescent="0.35">
      <c r="A107" s="354" t="s">
        <v>40</v>
      </c>
      <c r="B107" s="334">
        <v>1007.7928227074</v>
      </c>
      <c r="C107" s="334">
        <v>988.11292000000105</v>
      </c>
      <c r="D107" s="335">
        <v>-19.679902707397002</v>
      </c>
      <c r="E107" s="336">
        <v>0.98047227340300003</v>
      </c>
      <c r="F107" s="334">
        <v>1033.3683016167499</v>
      </c>
      <c r="G107" s="335">
        <v>1033.3683016167499</v>
      </c>
      <c r="H107" s="337">
        <v>102.84516000000001</v>
      </c>
      <c r="I107" s="334">
        <v>1019.62553</v>
      </c>
      <c r="J107" s="335">
        <v>-13.742771616752</v>
      </c>
      <c r="K107" s="338">
        <v>0.98670099363800001</v>
      </c>
    </row>
    <row r="108" spans="1:11" ht="14.4" customHeight="1" thickBot="1" x14ac:dyDescent="0.35">
      <c r="A108" s="350" t="s">
        <v>303</v>
      </c>
      <c r="B108" s="334">
        <v>5.6063242827430004</v>
      </c>
      <c r="C108" s="334">
        <v>6.7910000000000004</v>
      </c>
      <c r="D108" s="335">
        <v>1.1846757172560001</v>
      </c>
      <c r="E108" s="336">
        <v>1.2113105945189999</v>
      </c>
      <c r="F108" s="334">
        <v>6.4096279428210003</v>
      </c>
      <c r="G108" s="335">
        <v>6.4096279428210003</v>
      </c>
      <c r="H108" s="337">
        <v>0.49399999999999999</v>
      </c>
      <c r="I108" s="334">
        <v>5.9279999999999999</v>
      </c>
      <c r="J108" s="335">
        <v>-0.48162794282100002</v>
      </c>
      <c r="K108" s="338">
        <v>0.92485867399499999</v>
      </c>
    </row>
    <row r="109" spans="1:11" ht="14.4" customHeight="1" thickBot="1" x14ac:dyDescent="0.35">
      <c r="A109" s="351" t="s">
        <v>304</v>
      </c>
      <c r="B109" s="329">
        <v>5.6063242827430004</v>
      </c>
      <c r="C109" s="329">
        <v>6.7910000000000004</v>
      </c>
      <c r="D109" s="330">
        <v>1.1846757172560001</v>
      </c>
      <c r="E109" s="331">
        <v>1.2113105945189999</v>
      </c>
      <c r="F109" s="329">
        <v>6.4096279428210003</v>
      </c>
      <c r="G109" s="330">
        <v>6.4096279428210003</v>
      </c>
      <c r="H109" s="332">
        <v>0.49399999999999999</v>
      </c>
      <c r="I109" s="329">
        <v>5.9279999999999999</v>
      </c>
      <c r="J109" s="330">
        <v>-0.48162794282100002</v>
      </c>
      <c r="K109" s="333">
        <v>0.92485867399499999</v>
      </c>
    </row>
    <row r="110" spans="1:11" ht="14.4" customHeight="1" thickBot="1" x14ac:dyDescent="0.35">
      <c r="A110" s="350" t="s">
        <v>305</v>
      </c>
      <c r="B110" s="334">
        <v>2.6522028483960001</v>
      </c>
      <c r="C110" s="334">
        <v>1.3965000000000001</v>
      </c>
      <c r="D110" s="335">
        <v>-1.255702848396</v>
      </c>
      <c r="E110" s="336">
        <v>0.52654343571200002</v>
      </c>
      <c r="F110" s="334">
        <v>0</v>
      </c>
      <c r="G110" s="335">
        <v>0</v>
      </c>
      <c r="H110" s="337">
        <v>0</v>
      </c>
      <c r="I110" s="334">
        <v>7.3499999999999996E-2</v>
      </c>
      <c r="J110" s="335">
        <v>7.3499999999999996E-2</v>
      </c>
      <c r="K110" s="339" t="s">
        <v>230</v>
      </c>
    </row>
    <row r="111" spans="1:11" ht="14.4" customHeight="1" thickBot="1" x14ac:dyDescent="0.35">
      <c r="A111" s="351" t="s">
        <v>306</v>
      </c>
      <c r="B111" s="329">
        <v>2.6522028483960001</v>
      </c>
      <c r="C111" s="329">
        <v>1.3965000000000001</v>
      </c>
      <c r="D111" s="330">
        <v>-1.255702848396</v>
      </c>
      <c r="E111" s="331">
        <v>0.52654343571200002</v>
      </c>
      <c r="F111" s="329">
        <v>0</v>
      </c>
      <c r="G111" s="330">
        <v>0</v>
      </c>
      <c r="H111" s="332">
        <v>0</v>
      </c>
      <c r="I111" s="329">
        <v>7.3499999999999996E-2</v>
      </c>
      <c r="J111" s="330">
        <v>7.3499999999999996E-2</v>
      </c>
      <c r="K111" s="340" t="s">
        <v>230</v>
      </c>
    </row>
    <row r="112" spans="1:11" ht="14.4" customHeight="1" thickBot="1" x14ac:dyDescent="0.35">
      <c r="A112" s="350" t="s">
        <v>307</v>
      </c>
      <c r="B112" s="334">
        <v>0</v>
      </c>
      <c r="C112" s="334">
        <v>0.53200000000000003</v>
      </c>
      <c r="D112" s="335">
        <v>0.53200000000000003</v>
      </c>
      <c r="E112" s="342" t="s">
        <v>204</v>
      </c>
      <c r="F112" s="334">
        <v>0</v>
      </c>
      <c r="G112" s="335">
        <v>0</v>
      </c>
      <c r="H112" s="337">
        <v>0</v>
      </c>
      <c r="I112" s="334">
        <v>0.33600000000000002</v>
      </c>
      <c r="J112" s="335">
        <v>0.33600000000000002</v>
      </c>
      <c r="K112" s="339" t="s">
        <v>230</v>
      </c>
    </row>
    <row r="113" spans="1:11" ht="14.4" customHeight="1" thickBot="1" x14ac:dyDescent="0.35">
      <c r="A113" s="351" t="s">
        <v>308</v>
      </c>
      <c r="B113" s="329">
        <v>0</v>
      </c>
      <c r="C113" s="329">
        <v>0.53200000000000003</v>
      </c>
      <c r="D113" s="330">
        <v>0.53200000000000003</v>
      </c>
      <c r="E113" s="341" t="s">
        <v>204</v>
      </c>
      <c r="F113" s="329">
        <v>0</v>
      </c>
      <c r="G113" s="330">
        <v>0</v>
      </c>
      <c r="H113" s="332">
        <v>0</v>
      </c>
      <c r="I113" s="329">
        <v>0.33600000000000002</v>
      </c>
      <c r="J113" s="330">
        <v>0.33600000000000002</v>
      </c>
      <c r="K113" s="340" t="s">
        <v>230</v>
      </c>
    </row>
    <row r="114" spans="1:11" ht="14.4" customHeight="1" thickBot="1" x14ac:dyDescent="0.35">
      <c r="A114" s="350" t="s">
        <v>309</v>
      </c>
      <c r="B114" s="334">
        <v>250</v>
      </c>
      <c r="C114" s="334">
        <v>228.59584000000001</v>
      </c>
      <c r="D114" s="335">
        <v>-21.404159999998999</v>
      </c>
      <c r="E114" s="336">
        <v>0.91438335999999998</v>
      </c>
      <c r="F114" s="334">
        <v>235.37519811461101</v>
      </c>
      <c r="G114" s="335">
        <v>235.37519811461101</v>
      </c>
      <c r="H114" s="337">
        <v>23.507429999999999</v>
      </c>
      <c r="I114" s="334">
        <v>225.20414</v>
      </c>
      <c r="J114" s="335">
        <v>-10.171058114611</v>
      </c>
      <c r="K114" s="338">
        <v>0.95678789355799998</v>
      </c>
    </row>
    <row r="115" spans="1:11" ht="14.4" customHeight="1" thickBot="1" x14ac:dyDescent="0.35">
      <c r="A115" s="351" t="s">
        <v>310</v>
      </c>
      <c r="B115" s="329">
        <v>250</v>
      </c>
      <c r="C115" s="329">
        <v>228.59584000000001</v>
      </c>
      <c r="D115" s="330">
        <v>-21.404159999998999</v>
      </c>
      <c r="E115" s="331">
        <v>0.91438335999999998</v>
      </c>
      <c r="F115" s="329">
        <v>235.37519811461101</v>
      </c>
      <c r="G115" s="330">
        <v>235.37519811461101</v>
      </c>
      <c r="H115" s="332">
        <v>23.507429999999999</v>
      </c>
      <c r="I115" s="329">
        <v>225.20414</v>
      </c>
      <c r="J115" s="330">
        <v>-10.171058114611</v>
      </c>
      <c r="K115" s="333">
        <v>0.95678789355799998</v>
      </c>
    </row>
    <row r="116" spans="1:11" ht="14.4" customHeight="1" thickBot="1" x14ac:dyDescent="0.35">
      <c r="A116" s="350" t="s">
        <v>311</v>
      </c>
      <c r="B116" s="334">
        <v>749.53429557625896</v>
      </c>
      <c r="C116" s="334">
        <v>750.79758000000095</v>
      </c>
      <c r="D116" s="335">
        <v>1.2632844237409999</v>
      </c>
      <c r="E116" s="336">
        <v>1.0016854257779999</v>
      </c>
      <c r="F116" s="334">
        <v>791.58347555932005</v>
      </c>
      <c r="G116" s="335">
        <v>791.58347555932005</v>
      </c>
      <c r="H116" s="337">
        <v>78.843729999999994</v>
      </c>
      <c r="I116" s="334">
        <v>788.08389</v>
      </c>
      <c r="J116" s="335">
        <v>-3.4995855593190002</v>
      </c>
      <c r="K116" s="338">
        <v>0.995579006298</v>
      </c>
    </row>
    <row r="117" spans="1:11" ht="14.4" customHeight="1" thickBot="1" x14ac:dyDescent="0.35">
      <c r="A117" s="351" t="s">
        <v>312</v>
      </c>
      <c r="B117" s="329">
        <v>749.53429557625896</v>
      </c>
      <c r="C117" s="329">
        <v>750.79758000000095</v>
      </c>
      <c r="D117" s="330">
        <v>1.2632844237409999</v>
      </c>
      <c r="E117" s="331">
        <v>1.0016854257779999</v>
      </c>
      <c r="F117" s="329">
        <v>791.58347555932005</v>
      </c>
      <c r="G117" s="330">
        <v>791.58347555932005</v>
      </c>
      <c r="H117" s="332">
        <v>78.843729999999994</v>
      </c>
      <c r="I117" s="329">
        <v>788.08389</v>
      </c>
      <c r="J117" s="330">
        <v>-3.4995855593190002</v>
      </c>
      <c r="K117" s="333">
        <v>0.995579006298</v>
      </c>
    </row>
    <row r="118" spans="1:11" ht="14.4" customHeight="1" thickBot="1" x14ac:dyDescent="0.35">
      <c r="A118" s="355"/>
      <c r="B118" s="329">
        <v>-755.77248448578405</v>
      </c>
      <c r="C118" s="329">
        <v>-89.941110000002993</v>
      </c>
      <c r="D118" s="330">
        <v>665.831374485781</v>
      </c>
      <c r="E118" s="331">
        <v>0.119005536515</v>
      </c>
      <c r="F118" s="329">
        <v>286.34067396842102</v>
      </c>
      <c r="G118" s="330">
        <v>286.34067396842102</v>
      </c>
      <c r="H118" s="332">
        <v>20.420299999996001</v>
      </c>
      <c r="I118" s="329">
        <v>483.71638999999601</v>
      </c>
      <c r="J118" s="330">
        <v>197.375716031575</v>
      </c>
      <c r="K118" s="333">
        <v>1.6893038047860001</v>
      </c>
    </row>
    <row r="119" spans="1:11" ht="14.4" customHeight="1" thickBot="1" x14ac:dyDescent="0.35">
      <c r="A119" s="356" t="s">
        <v>52</v>
      </c>
      <c r="B119" s="343">
        <v>-755.77248448578405</v>
      </c>
      <c r="C119" s="343">
        <v>-89.941110000002993</v>
      </c>
      <c r="D119" s="344">
        <v>665.83137448577997</v>
      </c>
      <c r="E119" s="345">
        <v>-0.89688650209599996</v>
      </c>
      <c r="F119" s="343">
        <v>286.34067396842102</v>
      </c>
      <c r="G119" s="344">
        <v>286.34067396842102</v>
      </c>
      <c r="H119" s="343">
        <v>20.420299999996001</v>
      </c>
      <c r="I119" s="343">
        <v>483.716389999998</v>
      </c>
      <c r="J119" s="344">
        <v>197.375716031575</v>
      </c>
      <c r="K119" s="346">
        <v>1.6893038047860001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114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313</v>
      </c>
      <c r="B5" s="358" t="s">
        <v>314</v>
      </c>
      <c r="C5" s="359" t="s">
        <v>315</v>
      </c>
      <c r="D5" s="359" t="s">
        <v>315</v>
      </c>
      <c r="E5" s="359"/>
      <c r="F5" s="359" t="s">
        <v>315</v>
      </c>
      <c r="G5" s="359" t="s">
        <v>315</v>
      </c>
      <c r="H5" s="359" t="s">
        <v>315</v>
      </c>
      <c r="I5" s="360" t="s">
        <v>315</v>
      </c>
      <c r="J5" s="361" t="s">
        <v>55</v>
      </c>
    </row>
    <row r="6" spans="1:10" ht="14.4" customHeight="1" x14ac:dyDescent="0.3">
      <c r="A6" s="357" t="s">
        <v>313</v>
      </c>
      <c r="B6" s="358" t="s">
        <v>210</v>
      </c>
      <c r="C6" s="359">
        <v>0</v>
      </c>
      <c r="D6" s="359">
        <v>0.75165000000000004</v>
      </c>
      <c r="E6" s="359"/>
      <c r="F6" s="359">
        <v>0</v>
      </c>
      <c r="G6" s="359">
        <v>1.0000000902790001</v>
      </c>
      <c r="H6" s="359">
        <v>-1.0000000902790001</v>
      </c>
      <c r="I6" s="360">
        <v>0</v>
      </c>
      <c r="J6" s="361" t="s">
        <v>1</v>
      </c>
    </row>
    <row r="7" spans="1:10" ht="14.4" customHeight="1" x14ac:dyDescent="0.3">
      <c r="A7" s="357" t="s">
        <v>313</v>
      </c>
      <c r="B7" s="358" t="s">
        <v>316</v>
      </c>
      <c r="C7" s="359">
        <v>0</v>
      </c>
      <c r="D7" s="359">
        <v>0.75165000000000004</v>
      </c>
      <c r="E7" s="359"/>
      <c r="F7" s="359">
        <v>0</v>
      </c>
      <c r="G7" s="359">
        <v>1.0000000902790001</v>
      </c>
      <c r="H7" s="359">
        <v>-1.0000000902790001</v>
      </c>
      <c r="I7" s="360">
        <v>0</v>
      </c>
      <c r="J7" s="361" t="s">
        <v>317</v>
      </c>
    </row>
    <row r="9" spans="1:10" ht="14.4" customHeight="1" x14ac:dyDescent="0.3">
      <c r="A9" s="357" t="s">
        <v>313</v>
      </c>
      <c r="B9" s="358" t="s">
        <v>314</v>
      </c>
      <c r="C9" s="359" t="s">
        <v>315</v>
      </c>
      <c r="D9" s="359" t="s">
        <v>315</v>
      </c>
      <c r="E9" s="359"/>
      <c r="F9" s="359" t="s">
        <v>315</v>
      </c>
      <c r="G9" s="359" t="s">
        <v>315</v>
      </c>
      <c r="H9" s="359" t="s">
        <v>315</v>
      </c>
      <c r="I9" s="360" t="s">
        <v>315</v>
      </c>
      <c r="J9" s="361" t="s">
        <v>55</v>
      </c>
    </row>
    <row r="10" spans="1:10" ht="14.4" customHeight="1" x14ac:dyDescent="0.3">
      <c r="A10" s="357" t="s">
        <v>318</v>
      </c>
      <c r="B10" s="358" t="s">
        <v>319</v>
      </c>
      <c r="C10" s="359" t="s">
        <v>315</v>
      </c>
      <c r="D10" s="359" t="s">
        <v>315</v>
      </c>
      <c r="E10" s="359"/>
      <c r="F10" s="359" t="s">
        <v>315</v>
      </c>
      <c r="G10" s="359" t="s">
        <v>315</v>
      </c>
      <c r="H10" s="359" t="s">
        <v>315</v>
      </c>
      <c r="I10" s="360" t="s">
        <v>315</v>
      </c>
      <c r="J10" s="361" t="s">
        <v>0</v>
      </c>
    </row>
    <row r="11" spans="1:10" ht="14.4" customHeight="1" x14ac:dyDescent="0.3">
      <c r="A11" s="357" t="s">
        <v>318</v>
      </c>
      <c r="B11" s="358" t="s">
        <v>210</v>
      </c>
      <c r="C11" s="359">
        <v>0</v>
      </c>
      <c r="D11" s="359">
        <v>0.75165000000000004</v>
      </c>
      <c r="E11" s="359"/>
      <c r="F11" s="359">
        <v>0</v>
      </c>
      <c r="G11" s="359">
        <v>1.0000000902790001</v>
      </c>
      <c r="H11" s="359">
        <v>-1.0000000902790001</v>
      </c>
      <c r="I11" s="360">
        <v>0</v>
      </c>
      <c r="J11" s="361" t="s">
        <v>1</v>
      </c>
    </row>
    <row r="12" spans="1:10" ht="14.4" customHeight="1" x14ac:dyDescent="0.3">
      <c r="A12" s="357" t="s">
        <v>318</v>
      </c>
      <c r="B12" s="358" t="s">
        <v>320</v>
      </c>
      <c r="C12" s="359">
        <v>0</v>
      </c>
      <c r="D12" s="359">
        <v>0.75165000000000004</v>
      </c>
      <c r="E12" s="359"/>
      <c r="F12" s="359">
        <v>0</v>
      </c>
      <c r="G12" s="359">
        <v>1.0000000902790001</v>
      </c>
      <c r="H12" s="359">
        <v>-1.0000000902790001</v>
      </c>
      <c r="I12" s="360">
        <v>0</v>
      </c>
      <c r="J12" s="361" t="s">
        <v>321</v>
      </c>
    </row>
    <row r="13" spans="1:10" ht="14.4" customHeight="1" x14ac:dyDescent="0.3">
      <c r="A13" s="357" t="s">
        <v>315</v>
      </c>
      <c r="B13" s="358" t="s">
        <v>315</v>
      </c>
      <c r="C13" s="359" t="s">
        <v>315</v>
      </c>
      <c r="D13" s="359" t="s">
        <v>315</v>
      </c>
      <c r="E13" s="359"/>
      <c r="F13" s="359" t="s">
        <v>315</v>
      </c>
      <c r="G13" s="359" t="s">
        <v>315</v>
      </c>
      <c r="H13" s="359" t="s">
        <v>315</v>
      </c>
      <c r="I13" s="360" t="s">
        <v>315</v>
      </c>
      <c r="J13" s="361" t="s">
        <v>322</v>
      </c>
    </row>
    <row r="14" spans="1:10" ht="14.4" customHeight="1" x14ac:dyDescent="0.3">
      <c r="A14" s="357" t="s">
        <v>313</v>
      </c>
      <c r="B14" s="358" t="s">
        <v>316</v>
      </c>
      <c r="C14" s="359">
        <v>0</v>
      </c>
      <c r="D14" s="359">
        <v>0.75165000000000004</v>
      </c>
      <c r="E14" s="359"/>
      <c r="F14" s="359">
        <v>0</v>
      </c>
      <c r="G14" s="359">
        <v>1.0000000902790001</v>
      </c>
      <c r="H14" s="359">
        <v>-1.0000000902790001</v>
      </c>
      <c r="I14" s="360">
        <v>0</v>
      </c>
      <c r="J14" s="361" t="s">
        <v>317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1" bestFit="1" customWidth="1" collapsed="1"/>
    <col min="4" max="4" width="18.77734375" style="185" customWidth="1"/>
    <col min="5" max="5" width="9" style="181" bestFit="1" customWidth="1"/>
    <col min="6" max="6" width="18.77734375" style="185" customWidth="1"/>
    <col min="7" max="7" width="5" style="181" customWidth="1"/>
    <col min="8" max="8" width="12.44140625" style="181" hidden="1" customWidth="1" outlineLevel="1"/>
    <col min="9" max="9" width="8.5546875" style="181" hidden="1" customWidth="1" outlineLevel="1"/>
    <col min="10" max="10" width="25.77734375" style="181" customWidth="1" collapsed="1"/>
    <col min="11" max="11" width="8.77734375" style="181" customWidth="1"/>
    <col min="12" max="13" width="7.77734375" style="179" customWidth="1"/>
    <col min="14" max="14" width="12.6640625" style="179" customWidth="1"/>
    <col min="15" max="16384" width="8.88671875" style="105"/>
  </cols>
  <sheetData>
    <row r="1" spans="1:14" ht="18.600000000000001" customHeight="1" thickBot="1" x14ac:dyDescent="0.4">
      <c r="A1" s="304" t="s">
        <v>130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4.4" customHeight="1" thickBot="1" x14ac:dyDescent="0.35">
      <c r="A2" s="200" t="s">
        <v>203</v>
      </c>
      <c r="B2" s="57"/>
      <c r="C2" s="183"/>
      <c r="D2" s="183"/>
      <c r="E2" s="183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" customHeight="1" thickBot="1" x14ac:dyDescent="0.35">
      <c r="A3" s="57"/>
      <c r="B3" s="57"/>
      <c r="C3" s="300"/>
      <c r="D3" s="301"/>
      <c r="E3" s="301"/>
      <c r="F3" s="301"/>
      <c r="G3" s="301"/>
      <c r="H3" s="301"/>
      <c r="I3" s="301"/>
      <c r="J3" s="302" t="s">
        <v>111</v>
      </c>
      <c r="K3" s="303"/>
      <c r="L3" s="74">
        <f>IF(M3&lt;&gt;0,N3/M3,0)</f>
        <v>0</v>
      </c>
      <c r="M3" s="74">
        <f>SUBTOTAL(9,M5:M1048576)</f>
        <v>0</v>
      </c>
      <c r="N3" s="75">
        <f>SUBTOTAL(9,N5:N1048576)</f>
        <v>0</v>
      </c>
    </row>
    <row r="4" spans="1:14" s="180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118</v>
      </c>
      <c r="M4" s="365" t="s">
        <v>13</v>
      </c>
      <c r="N4" s="366" t="s">
        <v>126</v>
      </c>
    </row>
    <row r="5" spans="1:14" ht="14.4" customHeight="1" x14ac:dyDescent="0.3">
      <c r="A5" s="367" t="s">
        <v>313</v>
      </c>
      <c r="B5" s="368" t="s">
        <v>314</v>
      </c>
      <c r="C5" s="369" t="s">
        <v>318</v>
      </c>
      <c r="D5" s="370" t="s">
        <v>332</v>
      </c>
      <c r="E5" s="369" t="s">
        <v>323</v>
      </c>
      <c r="F5" s="370" t="s">
        <v>333</v>
      </c>
      <c r="G5" s="369" t="s">
        <v>324</v>
      </c>
      <c r="H5" s="369" t="s">
        <v>325</v>
      </c>
      <c r="I5" s="369" t="s">
        <v>326</v>
      </c>
      <c r="J5" s="369" t="s">
        <v>327</v>
      </c>
      <c r="K5" s="369" t="s">
        <v>328</v>
      </c>
      <c r="L5" s="371">
        <v>0</v>
      </c>
      <c r="M5" s="371">
        <v>0</v>
      </c>
      <c r="N5" s="372">
        <v>0</v>
      </c>
    </row>
    <row r="6" spans="1:14" ht="14.4" customHeight="1" thickBot="1" x14ac:dyDescent="0.35">
      <c r="A6" s="373" t="s">
        <v>313</v>
      </c>
      <c r="B6" s="374" t="s">
        <v>314</v>
      </c>
      <c r="C6" s="375" t="s">
        <v>318</v>
      </c>
      <c r="D6" s="376" t="s">
        <v>332</v>
      </c>
      <c r="E6" s="375" t="s">
        <v>323</v>
      </c>
      <c r="F6" s="376" t="s">
        <v>333</v>
      </c>
      <c r="G6" s="375" t="s">
        <v>324</v>
      </c>
      <c r="H6" s="375" t="s">
        <v>329</v>
      </c>
      <c r="I6" s="375" t="s">
        <v>329</v>
      </c>
      <c r="J6" s="375" t="s">
        <v>330</v>
      </c>
      <c r="K6" s="375" t="s">
        <v>331</v>
      </c>
      <c r="L6" s="377">
        <v>0</v>
      </c>
      <c r="M6" s="377">
        <v>0</v>
      </c>
      <c r="N6" s="378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115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313</v>
      </c>
      <c r="B5" s="358" t="s">
        <v>314</v>
      </c>
      <c r="C5" s="359" t="s">
        <v>315</v>
      </c>
      <c r="D5" s="359" t="s">
        <v>315</v>
      </c>
      <c r="E5" s="359"/>
      <c r="F5" s="359" t="s">
        <v>315</v>
      </c>
      <c r="G5" s="359" t="s">
        <v>315</v>
      </c>
      <c r="H5" s="359" t="s">
        <v>315</v>
      </c>
      <c r="I5" s="360" t="s">
        <v>315</v>
      </c>
      <c r="J5" s="361" t="s">
        <v>55</v>
      </c>
    </row>
    <row r="6" spans="1:10" ht="14.4" customHeight="1" x14ac:dyDescent="0.3">
      <c r="A6" s="357" t="s">
        <v>313</v>
      </c>
      <c r="B6" s="358" t="s">
        <v>334</v>
      </c>
      <c r="C6" s="359">
        <v>0</v>
      </c>
      <c r="D6" s="359" t="s">
        <v>315</v>
      </c>
      <c r="E6" s="359"/>
      <c r="F6" s="359" t="s">
        <v>315</v>
      </c>
      <c r="G6" s="359" t="s">
        <v>315</v>
      </c>
      <c r="H6" s="359" t="s">
        <v>315</v>
      </c>
      <c r="I6" s="360" t="s">
        <v>315</v>
      </c>
      <c r="J6" s="361" t="s">
        <v>1</v>
      </c>
    </row>
    <row r="7" spans="1:10" ht="14.4" customHeight="1" x14ac:dyDescent="0.3">
      <c r="A7" s="357" t="s">
        <v>313</v>
      </c>
      <c r="B7" s="358" t="s">
        <v>335</v>
      </c>
      <c r="C7" s="359">
        <v>0</v>
      </c>
      <c r="D7" s="359" t="s">
        <v>315</v>
      </c>
      <c r="E7" s="359"/>
      <c r="F7" s="359" t="s">
        <v>315</v>
      </c>
      <c r="G7" s="359" t="s">
        <v>315</v>
      </c>
      <c r="H7" s="359" t="s">
        <v>315</v>
      </c>
      <c r="I7" s="360" t="s">
        <v>315</v>
      </c>
      <c r="J7" s="361" t="s">
        <v>1</v>
      </c>
    </row>
    <row r="8" spans="1:10" ht="14.4" customHeight="1" x14ac:dyDescent="0.3">
      <c r="A8" s="357" t="s">
        <v>313</v>
      </c>
      <c r="B8" s="358" t="s">
        <v>316</v>
      </c>
      <c r="C8" s="359">
        <v>0</v>
      </c>
      <c r="D8" s="359" t="s">
        <v>315</v>
      </c>
      <c r="E8" s="359"/>
      <c r="F8" s="359" t="s">
        <v>315</v>
      </c>
      <c r="G8" s="359" t="s">
        <v>315</v>
      </c>
      <c r="H8" s="359" t="s">
        <v>315</v>
      </c>
      <c r="I8" s="360" t="s">
        <v>315</v>
      </c>
      <c r="J8" s="361" t="s">
        <v>317</v>
      </c>
    </row>
    <row r="10" spans="1:10" ht="14.4" customHeight="1" x14ac:dyDescent="0.3">
      <c r="A10" s="357" t="s">
        <v>313</v>
      </c>
      <c r="B10" s="358" t="s">
        <v>314</v>
      </c>
      <c r="C10" s="359" t="s">
        <v>315</v>
      </c>
      <c r="D10" s="359" t="s">
        <v>315</v>
      </c>
      <c r="E10" s="359"/>
      <c r="F10" s="359" t="s">
        <v>315</v>
      </c>
      <c r="G10" s="359" t="s">
        <v>315</v>
      </c>
      <c r="H10" s="359" t="s">
        <v>315</v>
      </c>
      <c r="I10" s="360" t="s">
        <v>315</v>
      </c>
      <c r="J10" s="361" t="s">
        <v>55</v>
      </c>
    </row>
    <row r="11" spans="1:10" ht="14.4" customHeight="1" x14ac:dyDescent="0.3">
      <c r="A11" s="357" t="s">
        <v>318</v>
      </c>
      <c r="B11" s="358" t="s">
        <v>319</v>
      </c>
      <c r="C11" s="359" t="s">
        <v>315</v>
      </c>
      <c r="D11" s="359" t="s">
        <v>315</v>
      </c>
      <c r="E11" s="359"/>
      <c r="F11" s="359" t="s">
        <v>315</v>
      </c>
      <c r="G11" s="359" t="s">
        <v>315</v>
      </c>
      <c r="H11" s="359" t="s">
        <v>315</v>
      </c>
      <c r="I11" s="360" t="s">
        <v>315</v>
      </c>
      <c r="J11" s="361" t="s">
        <v>0</v>
      </c>
    </row>
    <row r="12" spans="1:10" ht="14.4" customHeight="1" x14ac:dyDescent="0.3">
      <c r="A12" s="357" t="s">
        <v>318</v>
      </c>
      <c r="B12" s="358" t="s">
        <v>334</v>
      </c>
      <c r="C12" s="359">
        <v>0</v>
      </c>
      <c r="D12" s="359" t="s">
        <v>315</v>
      </c>
      <c r="E12" s="359"/>
      <c r="F12" s="359" t="s">
        <v>315</v>
      </c>
      <c r="G12" s="359" t="s">
        <v>315</v>
      </c>
      <c r="H12" s="359" t="s">
        <v>315</v>
      </c>
      <c r="I12" s="360" t="s">
        <v>315</v>
      </c>
      <c r="J12" s="361" t="s">
        <v>1</v>
      </c>
    </row>
    <row r="13" spans="1:10" ht="14.4" customHeight="1" x14ac:dyDescent="0.3">
      <c r="A13" s="357" t="s">
        <v>318</v>
      </c>
      <c r="B13" s="358" t="s">
        <v>335</v>
      </c>
      <c r="C13" s="359">
        <v>0</v>
      </c>
      <c r="D13" s="359" t="s">
        <v>315</v>
      </c>
      <c r="E13" s="359"/>
      <c r="F13" s="359" t="s">
        <v>315</v>
      </c>
      <c r="G13" s="359" t="s">
        <v>315</v>
      </c>
      <c r="H13" s="359" t="s">
        <v>315</v>
      </c>
      <c r="I13" s="360" t="s">
        <v>315</v>
      </c>
      <c r="J13" s="361" t="s">
        <v>1</v>
      </c>
    </row>
    <row r="14" spans="1:10" ht="14.4" customHeight="1" x14ac:dyDescent="0.3">
      <c r="A14" s="357" t="s">
        <v>318</v>
      </c>
      <c r="B14" s="358" t="s">
        <v>320</v>
      </c>
      <c r="C14" s="359">
        <v>0</v>
      </c>
      <c r="D14" s="359" t="s">
        <v>315</v>
      </c>
      <c r="E14" s="359"/>
      <c r="F14" s="359" t="s">
        <v>315</v>
      </c>
      <c r="G14" s="359" t="s">
        <v>315</v>
      </c>
      <c r="H14" s="359" t="s">
        <v>315</v>
      </c>
      <c r="I14" s="360" t="s">
        <v>315</v>
      </c>
      <c r="J14" s="361" t="s">
        <v>321</v>
      </c>
    </row>
    <row r="15" spans="1:10" ht="14.4" customHeight="1" x14ac:dyDescent="0.3">
      <c r="A15" s="357" t="s">
        <v>315</v>
      </c>
      <c r="B15" s="358" t="s">
        <v>315</v>
      </c>
      <c r="C15" s="359" t="s">
        <v>315</v>
      </c>
      <c r="D15" s="359" t="s">
        <v>315</v>
      </c>
      <c r="E15" s="359"/>
      <c r="F15" s="359" t="s">
        <v>315</v>
      </c>
      <c r="G15" s="359" t="s">
        <v>315</v>
      </c>
      <c r="H15" s="359" t="s">
        <v>315</v>
      </c>
      <c r="I15" s="360" t="s">
        <v>315</v>
      </c>
      <c r="J15" s="361" t="s">
        <v>322</v>
      </c>
    </row>
    <row r="16" spans="1:10" ht="14.4" customHeight="1" x14ac:dyDescent="0.3">
      <c r="A16" s="357" t="s">
        <v>313</v>
      </c>
      <c r="B16" s="358" t="s">
        <v>316</v>
      </c>
      <c r="C16" s="359">
        <v>0</v>
      </c>
      <c r="D16" s="359" t="s">
        <v>315</v>
      </c>
      <c r="E16" s="359"/>
      <c r="F16" s="359" t="s">
        <v>315</v>
      </c>
      <c r="G16" s="359" t="s">
        <v>315</v>
      </c>
      <c r="H16" s="359" t="s">
        <v>315</v>
      </c>
      <c r="I16" s="360" t="s">
        <v>315</v>
      </c>
      <c r="J16" s="361" t="s">
        <v>317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</cols>
  <sheetData>
    <row r="1" spans="1:8" ht="18.600000000000001" thickBot="1" x14ac:dyDescent="0.4">
      <c r="A1" s="307" t="s">
        <v>92</v>
      </c>
      <c r="B1" s="299"/>
      <c r="C1" s="299"/>
      <c r="D1" s="299"/>
      <c r="E1" s="299"/>
      <c r="F1" s="299"/>
      <c r="G1" s="299"/>
    </row>
    <row r="2" spans="1:8" ht="15" thickBot="1" x14ac:dyDescent="0.35">
      <c r="A2" s="200" t="s">
        <v>203</v>
      </c>
      <c r="B2" s="201"/>
      <c r="C2" s="201"/>
      <c r="D2" s="201"/>
      <c r="E2" s="201"/>
    </row>
    <row r="3" spans="1:8" x14ac:dyDescent="0.3">
      <c r="A3" s="217" t="s">
        <v>161</v>
      </c>
      <c r="B3" s="305" t="s">
        <v>145</v>
      </c>
      <c r="C3" s="220">
        <v>302</v>
      </c>
      <c r="D3" s="220">
        <v>521</v>
      </c>
      <c r="E3" s="220">
        <v>522</v>
      </c>
      <c r="F3" s="202">
        <v>743</v>
      </c>
      <c r="G3" s="387">
        <v>930</v>
      </c>
      <c r="H3" s="402"/>
    </row>
    <row r="4" spans="1:8" ht="36.6" outlineLevel="1" thickBot="1" x14ac:dyDescent="0.35">
      <c r="A4" s="218">
        <v>2016</v>
      </c>
      <c r="B4" s="306"/>
      <c r="C4" s="221" t="s">
        <v>176</v>
      </c>
      <c r="D4" s="221" t="s">
        <v>177</v>
      </c>
      <c r="E4" s="221" t="s">
        <v>178</v>
      </c>
      <c r="F4" s="203" t="s">
        <v>169</v>
      </c>
      <c r="G4" s="388" t="s">
        <v>163</v>
      </c>
      <c r="H4" s="402"/>
    </row>
    <row r="5" spans="1:8" x14ac:dyDescent="0.3">
      <c r="A5" s="204" t="s">
        <v>146</v>
      </c>
      <c r="B5" s="234"/>
      <c r="C5" s="235"/>
      <c r="D5" s="235"/>
      <c r="E5" s="235"/>
      <c r="F5" s="235"/>
      <c r="G5" s="389"/>
      <c r="H5" s="402"/>
    </row>
    <row r="6" spans="1:8" ht="15" collapsed="1" thickBot="1" x14ac:dyDescent="0.35">
      <c r="A6" s="205" t="s">
        <v>59</v>
      </c>
      <c r="B6" s="236">
        <f xml:space="preserve">
TRUNC(IF($A$4&lt;=12,SUMIFS('ON Data'!F:F,'ON Data'!$D:$D,$A$4,'ON Data'!$E:$E,1),SUMIFS('ON Data'!F:F,'ON Data'!$E:$E,1)/'ON Data'!$D$3),1)</f>
        <v>13.5</v>
      </c>
      <c r="C6" s="237">
        <f xml:space="preserve">
TRUNC(IF($A$4&lt;=12,SUMIFS('ON Data'!O:O,'ON Data'!$D:$D,$A$4,'ON Data'!$E:$E,1),SUMIFS('ON Data'!O:O,'ON Data'!$E:$E,1)/'ON Data'!$D$3),1)</f>
        <v>0</v>
      </c>
      <c r="D6" s="237">
        <f xml:space="preserve">
TRUNC(IF($A$4&lt;=12,SUMIFS('ON Data'!AE:AE,'ON Data'!$D:$D,$A$4,'ON Data'!$E:$E,1),SUMIFS('ON Data'!AE:AE,'ON Data'!$E:$E,1)/'ON Data'!$D$3),1)</f>
        <v>8.9</v>
      </c>
      <c r="E6" s="237">
        <f xml:space="preserve">
TRUNC(IF($A$4&lt;=12,SUMIFS('ON Data'!AF:AF,'ON Data'!$D:$D,$A$4,'ON Data'!$E:$E,1),SUMIFS('ON Data'!AF:AF,'ON Data'!$E:$E,1)/'ON Data'!$D$3),1)</f>
        <v>1</v>
      </c>
      <c r="F6" s="237">
        <f xml:space="preserve">
TRUNC(IF($A$4&lt;=12,SUMIFS('ON Data'!AS:AS,'ON Data'!$D:$D,$A$4,'ON Data'!$E:$E,1),SUMIFS('ON Data'!AS:AS,'ON Data'!$E:$E,1)/'ON Data'!$D$3),1)</f>
        <v>2.6</v>
      </c>
      <c r="G6" s="390">
        <f xml:space="preserve">
TRUNC(IF($A$4&lt;=12,SUMIFS('ON Data'!AW:AW,'ON Data'!$D:$D,$A$4,'ON Data'!$E:$E,1),SUMIFS('ON Data'!AW:AW,'ON Data'!$E:$E,1)/'ON Data'!$D$3),1)</f>
        <v>1</v>
      </c>
      <c r="H6" s="402"/>
    </row>
    <row r="7" spans="1:8" ht="15" hidden="1" outlineLevel="1" thickBot="1" x14ac:dyDescent="0.35">
      <c r="A7" s="205" t="s">
        <v>93</v>
      </c>
      <c r="B7" s="236"/>
      <c r="C7" s="237"/>
      <c r="D7" s="237"/>
      <c r="E7" s="237"/>
      <c r="F7" s="237"/>
      <c r="G7" s="390"/>
      <c r="H7" s="402"/>
    </row>
    <row r="8" spans="1:8" ht="15" hidden="1" outlineLevel="1" thickBot="1" x14ac:dyDescent="0.35">
      <c r="A8" s="205" t="s">
        <v>61</v>
      </c>
      <c r="B8" s="236"/>
      <c r="C8" s="237"/>
      <c r="D8" s="237"/>
      <c r="E8" s="237"/>
      <c r="F8" s="237"/>
      <c r="G8" s="390"/>
      <c r="H8" s="402"/>
    </row>
    <row r="9" spans="1:8" ht="15" hidden="1" outlineLevel="1" thickBot="1" x14ac:dyDescent="0.35">
      <c r="A9" s="206" t="s">
        <v>54</v>
      </c>
      <c r="B9" s="238"/>
      <c r="C9" s="239"/>
      <c r="D9" s="239"/>
      <c r="E9" s="239"/>
      <c r="F9" s="239"/>
      <c r="G9" s="391"/>
      <c r="H9" s="402"/>
    </row>
    <row r="10" spans="1:8" x14ac:dyDescent="0.3">
      <c r="A10" s="207" t="s">
        <v>147</v>
      </c>
      <c r="B10" s="222"/>
      <c r="C10" s="223"/>
      <c r="D10" s="223"/>
      <c r="E10" s="223"/>
      <c r="F10" s="223"/>
      <c r="G10" s="392"/>
      <c r="H10" s="402"/>
    </row>
    <row r="11" spans="1:8" x14ac:dyDescent="0.3">
      <c r="A11" s="208" t="s">
        <v>148</v>
      </c>
      <c r="B11" s="224">
        <f xml:space="preserve">
IF($A$4&lt;=12,SUMIFS('ON Data'!F:F,'ON Data'!$D:$D,$A$4,'ON Data'!$E:$E,2),SUMIFS('ON Data'!F:F,'ON Data'!$E:$E,2))</f>
        <v>23672</v>
      </c>
      <c r="C11" s="225">
        <f xml:space="preserve">
IF($A$4&lt;=12,SUMIFS('ON Data'!O:O,'ON Data'!$D:$D,$A$4,'ON Data'!$E:$E,2),SUMIFS('ON Data'!O:O,'ON Data'!$E:$E,2))</f>
        <v>0</v>
      </c>
      <c r="D11" s="225">
        <f xml:space="preserve">
IF($A$4&lt;=12,SUMIFS('ON Data'!AE:AE,'ON Data'!$D:$D,$A$4,'ON Data'!$E:$E,2),SUMIFS('ON Data'!AE:AE,'ON Data'!$E:$E,2))</f>
        <v>15259</v>
      </c>
      <c r="E11" s="225">
        <f xml:space="preserve">
IF($A$4&lt;=12,SUMIFS('ON Data'!AF:AF,'ON Data'!$D:$D,$A$4,'ON Data'!$E:$E,2),SUMIFS('ON Data'!AF:AF,'ON Data'!$E:$E,2))</f>
        <v>1836</v>
      </c>
      <c r="F11" s="225">
        <f xml:space="preserve">
IF($A$4&lt;=12,SUMIFS('ON Data'!AS:AS,'ON Data'!$D:$D,$A$4,'ON Data'!$E:$E,2),SUMIFS('ON Data'!AS:AS,'ON Data'!$E:$E,2))</f>
        <v>4661</v>
      </c>
      <c r="G11" s="393">
        <f xml:space="preserve">
IF($A$4&lt;=12,SUMIFS('ON Data'!AW:AW,'ON Data'!$D:$D,$A$4,'ON Data'!$E:$E,2),SUMIFS('ON Data'!AW:AW,'ON Data'!$E:$E,2))</f>
        <v>1916</v>
      </c>
      <c r="H11" s="402"/>
    </row>
    <row r="12" spans="1:8" x14ac:dyDescent="0.3">
      <c r="A12" s="208" t="s">
        <v>149</v>
      </c>
      <c r="B12" s="224">
        <f xml:space="preserve">
IF($A$4&lt;=12,SUMIFS('ON Data'!F:F,'ON Data'!$D:$D,$A$4,'ON Data'!$E:$E,3),SUMIFS('ON Data'!F:F,'ON Data'!$E:$E,3))</f>
        <v>0</v>
      </c>
      <c r="C12" s="225">
        <f xml:space="preserve">
IF($A$4&lt;=12,SUMIFS('ON Data'!O:O,'ON Data'!$D:$D,$A$4,'ON Data'!$E:$E,3),SUMIFS('ON Data'!O:O,'ON Data'!$E:$E,3))</f>
        <v>0</v>
      </c>
      <c r="D12" s="225">
        <f xml:space="preserve">
IF($A$4&lt;=12,SUMIFS('ON Data'!AE:AE,'ON Data'!$D:$D,$A$4,'ON Data'!$E:$E,3),SUMIFS('ON Data'!AE:AE,'ON Data'!$E:$E,3))</f>
        <v>0</v>
      </c>
      <c r="E12" s="225">
        <f xml:space="preserve">
IF($A$4&lt;=12,SUMIFS('ON Data'!AF:AF,'ON Data'!$D:$D,$A$4,'ON Data'!$E:$E,3),SUMIFS('ON Data'!AF:AF,'ON Data'!$E:$E,3))</f>
        <v>0</v>
      </c>
      <c r="F12" s="225">
        <f xml:space="preserve">
IF($A$4&lt;=12,SUMIFS('ON Data'!AS:AS,'ON Data'!$D:$D,$A$4,'ON Data'!$E:$E,3),SUMIFS('ON Data'!AS:AS,'ON Data'!$E:$E,3))</f>
        <v>0</v>
      </c>
      <c r="G12" s="393">
        <f xml:space="preserve">
IF($A$4&lt;=12,SUMIFS('ON Data'!AW:AW,'ON Data'!$D:$D,$A$4,'ON Data'!$E:$E,3),SUMIFS('ON Data'!AW:AW,'ON Data'!$E:$E,3))</f>
        <v>0</v>
      </c>
      <c r="H12" s="402"/>
    </row>
    <row r="13" spans="1:8" x14ac:dyDescent="0.3">
      <c r="A13" s="208" t="s">
        <v>156</v>
      </c>
      <c r="B13" s="224">
        <f xml:space="preserve">
IF($A$4&lt;=12,SUMIFS('ON Data'!F:F,'ON Data'!$D:$D,$A$4,'ON Data'!$E:$E,4),SUMIFS('ON Data'!F:F,'ON Data'!$E:$E,4))</f>
        <v>0</v>
      </c>
      <c r="C13" s="225">
        <f xml:space="preserve">
IF($A$4&lt;=12,SUMIFS('ON Data'!O:O,'ON Data'!$D:$D,$A$4,'ON Data'!$E:$E,4),SUMIFS('ON Data'!O:O,'ON Data'!$E:$E,4))</f>
        <v>0</v>
      </c>
      <c r="D13" s="225">
        <f xml:space="preserve">
IF($A$4&lt;=12,SUMIFS('ON Data'!AE:AE,'ON Data'!$D:$D,$A$4,'ON Data'!$E:$E,4),SUMIFS('ON Data'!AE:AE,'ON Data'!$E:$E,4))</f>
        <v>0</v>
      </c>
      <c r="E13" s="225">
        <f xml:space="preserve">
IF($A$4&lt;=12,SUMIFS('ON Data'!AF:AF,'ON Data'!$D:$D,$A$4,'ON Data'!$E:$E,4),SUMIFS('ON Data'!AF:AF,'ON Data'!$E:$E,4))</f>
        <v>0</v>
      </c>
      <c r="F13" s="225">
        <f xml:space="preserve">
IF($A$4&lt;=12,SUMIFS('ON Data'!AS:AS,'ON Data'!$D:$D,$A$4,'ON Data'!$E:$E,4),SUMIFS('ON Data'!AS:AS,'ON Data'!$E:$E,4))</f>
        <v>0</v>
      </c>
      <c r="G13" s="393">
        <f xml:space="preserve">
IF($A$4&lt;=12,SUMIFS('ON Data'!AW:AW,'ON Data'!$D:$D,$A$4,'ON Data'!$E:$E,4),SUMIFS('ON Data'!AW:AW,'ON Data'!$E:$E,4))</f>
        <v>0</v>
      </c>
      <c r="H13" s="402"/>
    </row>
    <row r="14" spans="1:8" ht="15" thickBot="1" x14ac:dyDescent="0.35">
      <c r="A14" s="209" t="s">
        <v>150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Data'!O:O,'ON Data'!$D:$D,$A$4,'ON Data'!$E:$E,5),SUMIFS('ON Data'!O:O,'ON Data'!$E:$E,5))</f>
        <v>0</v>
      </c>
      <c r="D14" s="227">
        <f xml:space="preserve">
IF($A$4&lt;=12,SUMIFS('ON Data'!AE:AE,'ON Data'!$D:$D,$A$4,'ON Data'!$E:$E,5),SUMIFS('ON Data'!AE:AE,'ON Data'!$E:$E,5))</f>
        <v>0</v>
      </c>
      <c r="E14" s="227">
        <f xml:space="preserve">
IF($A$4&lt;=12,SUMIFS('ON Data'!AF:AF,'ON Data'!$D:$D,$A$4,'ON Data'!$E:$E,5),SUMIFS('ON Data'!AF:AF,'ON Data'!$E:$E,5))</f>
        <v>0</v>
      </c>
      <c r="F14" s="227">
        <f xml:space="preserve">
IF($A$4&lt;=12,SUMIFS('ON Data'!AS:AS,'ON Data'!$D:$D,$A$4,'ON Data'!$E:$E,5),SUMIFS('ON Data'!AS:AS,'ON Data'!$E:$E,5))</f>
        <v>0</v>
      </c>
      <c r="G14" s="394">
        <f xml:space="preserve">
IF($A$4&lt;=12,SUMIFS('ON Data'!AW:AW,'ON Data'!$D:$D,$A$4,'ON Data'!$E:$E,5),SUMIFS('ON Data'!AW:AW,'ON Data'!$E:$E,5))</f>
        <v>0</v>
      </c>
      <c r="H14" s="402"/>
    </row>
    <row r="15" spans="1:8" x14ac:dyDescent="0.3">
      <c r="A15" s="135" t="s">
        <v>160</v>
      </c>
      <c r="B15" s="228"/>
      <c r="C15" s="229"/>
      <c r="D15" s="229"/>
      <c r="E15" s="229"/>
      <c r="F15" s="229"/>
      <c r="G15" s="395"/>
      <c r="H15" s="402"/>
    </row>
    <row r="16" spans="1:8" x14ac:dyDescent="0.3">
      <c r="A16" s="210" t="s">
        <v>151</v>
      </c>
      <c r="B16" s="224">
        <f xml:space="preserve">
IF($A$4&lt;=12,SUMIFS('ON Data'!F:F,'ON Data'!$D:$D,$A$4,'ON Data'!$E:$E,7),SUMIFS('ON Data'!F:F,'ON Data'!$E:$E,7))</f>
        <v>0</v>
      </c>
      <c r="C16" s="225">
        <f xml:space="preserve">
IF($A$4&lt;=12,SUMIFS('ON Data'!O:O,'ON Data'!$D:$D,$A$4,'ON Data'!$E:$E,7),SUMIFS('ON Data'!O:O,'ON Data'!$E:$E,7))</f>
        <v>0</v>
      </c>
      <c r="D16" s="225">
        <f xml:space="preserve">
IF($A$4&lt;=12,SUMIFS('ON Data'!AE:AE,'ON Data'!$D:$D,$A$4,'ON Data'!$E:$E,7),SUMIFS('ON Data'!AE:AE,'ON Data'!$E:$E,7))</f>
        <v>0</v>
      </c>
      <c r="E16" s="225">
        <f xml:space="preserve">
IF($A$4&lt;=12,SUMIFS('ON Data'!AF:AF,'ON Data'!$D:$D,$A$4,'ON Data'!$E:$E,7),SUMIFS('ON Data'!AF:AF,'ON Data'!$E:$E,7))</f>
        <v>0</v>
      </c>
      <c r="F16" s="225">
        <f xml:space="preserve">
IF($A$4&lt;=12,SUMIFS('ON Data'!AS:AS,'ON Data'!$D:$D,$A$4,'ON Data'!$E:$E,7),SUMIFS('ON Data'!AS:AS,'ON Data'!$E:$E,7))</f>
        <v>0</v>
      </c>
      <c r="G16" s="393">
        <f xml:space="preserve">
IF($A$4&lt;=12,SUMIFS('ON Data'!AW:AW,'ON Data'!$D:$D,$A$4,'ON Data'!$E:$E,7),SUMIFS('ON Data'!AW:AW,'ON Data'!$E:$E,7))</f>
        <v>0</v>
      </c>
      <c r="H16" s="402"/>
    </row>
    <row r="17" spans="1:8" x14ac:dyDescent="0.3">
      <c r="A17" s="210" t="s">
        <v>152</v>
      </c>
      <c r="B17" s="224">
        <f xml:space="preserve">
IF($A$4&lt;=12,SUMIFS('ON Data'!F:F,'ON Data'!$D:$D,$A$4,'ON Data'!$E:$E,8),SUMIFS('ON Data'!F:F,'ON Data'!$E:$E,8))</f>
        <v>0</v>
      </c>
      <c r="C17" s="225">
        <f xml:space="preserve">
IF($A$4&lt;=12,SUMIFS('ON Data'!O:O,'ON Data'!$D:$D,$A$4,'ON Data'!$E:$E,8),SUMIFS('ON Data'!O:O,'ON Data'!$E:$E,8))</f>
        <v>0</v>
      </c>
      <c r="D17" s="225">
        <f xml:space="preserve">
IF($A$4&lt;=12,SUMIFS('ON Data'!AE:AE,'ON Data'!$D:$D,$A$4,'ON Data'!$E:$E,8),SUMIFS('ON Data'!AE:AE,'ON Data'!$E:$E,8))</f>
        <v>0</v>
      </c>
      <c r="E17" s="225">
        <f xml:space="preserve">
IF($A$4&lt;=12,SUMIFS('ON Data'!AF:AF,'ON Data'!$D:$D,$A$4,'ON Data'!$E:$E,8),SUMIFS('ON Data'!AF:AF,'ON Data'!$E:$E,8))</f>
        <v>0</v>
      </c>
      <c r="F17" s="225">
        <f xml:space="preserve">
IF($A$4&lt;=12,SUMIFS('ON Data'!AS:AS,'ON Data'!$D:$D,$A$4,'ON Data'!$E:$E,8),SUMIFS('ON Data'!AS:AS,'ON Data'!$E:$E,8))</f>
        <v>0</v>
      </c>
      <c r="G17" s="393">
        <f xml:space="preserve">
IF($A$4&lt;=12,SUMIFS('ON Data'!AW:AW,'ON Data'!$D:$D,$A$4,'ON Data'!$E:$E,8),SUMIFS('ON Data'!AW:AW,'ON Data'!$E:$E,8))</f>
        <v>0</v>
      </c>
      <c r="H17" s="402"/>
    </row>
    <row r="18" spans="1:8" x14ac:dyDescent="0.3">
      <c r="A18" s="210" t="s">
        <v>153</v>
      </c>
      <c r="B18" s="224">
        <f xml:space="preserve">
B19-B16-B17</f>
        <v>440602</v>
      </c>
      <c r="C18" s="225">
        <f t="shared" ref="C18:E18" si="0" xml:space="preserve">
C19-C16-C17</f>
        <v>0</v>
      </c>
      <c r="D18" s="225">
        <f t="shared" si="0"/>
        <v>275704</v>
      </c>
      <c r="E18" s="225">
        <f t="shared" si="0"/>
        <v>82573</v>
      </c>
      <c r="F18" s="225">
        <f t="shared" ref="F18:G18" si="1" xml:space="preserve">
F19-F16-F17</f>
        <v>63462</v>
      </c>
      <c r="G18" s="393">
        <f t="shared" si="1"/>
        <v>18863</v>
      </c>
      <c r="H18" s="402"/>
    </row>
    <row r="19" spans="1:8" ht="15" thickBot="1" x14ac:dyDescent="0.35">
      <c r="A19" s="211" t="s">
        <v>154</v>
      </c>
      <c r="B19" s="230">
        <f xml:space="preserve">
IF($A$4&lt;=12,SUMIFS('ON Data'!F:F,'ON Data'!$D:$D,$A$4,'ON Data'!$E:$E,9),SUMIFS('ON Data'!F:F,'ON Data'!$E:$E,9))</f>
        <v>440602</v>
      </c>
      <c r="C19" s="231">
        <f xml:space="preserve">
IF($A$4&lt;=12,SUMIFS('ON Data'!O:O,'ON Data'!$D:$D,$A$4,'ON Data'!$E:$E,9),SUMIFS('ON Data'!O:O,'ON Data'!$E:$E,9))</f>
        <v>0</v>
      </c>
      <c r="D19" s="231">
        <f xml:space="preserve">
IF($A$4&lt;=12,SUMIFS('ON Data'!AE:AE,'ON Data'!$D:$D,$A$4,'ON Data'!$E:$E,9),SUMIFS('ON Data'!AE:AE,'ON Data'!$E:$E,9))</f>
        <v>275704</v>
      </c>
      <c r="E19" s="231">
        <f xml:space="preserve">
IF($A$4&lt;=12,SUMIFS('ON Data'!AF:AF,'ON Data'!$D:$D,$A$4,'ON Data'!$E:$E,9),SUMIFS('ON Data'!AF:AF,'ON Data'!$E:$E,9))</f>
        <v>82573</v>
      </c>
      <c r="F19" s="231">
        <f xml:space="preserve">
IF($A$4&lt;=12,SUMIFS('ON Data'!AS:AS,'ON Data'!$D:$D,$A$4,'ON Data'!$E:$E,9),SUMIFS('ON Data'!AS:AS,'ON Data'!$E:$E,9))</f>
        <v>63462</v>
      </c>
      <c r="G19" s="396">
        <f xml:space="preserve">
IF($A$4&lt;=12,SUMIFS('ON Data'!AW:AW,'ON Data'!$D:$D,$A$4,'ON Data'!$E:$E,9),SUMIFS('ON Data'!AW:AW,'ON Data'!$E:$E,9))</f>
        <v>18863</v>
      </c>
      <c r="H19" s="402"/>
    </row>
    <row r="20" spans="1:8" ht="15" collapsed="1" thickBot="1" x14ac:dyDescent="0.35">
      <c r="A20" s="212" t="s">
        <v>59</v>
      </c>
      <c r="B20" s="232">
        <f xml:space="preserve">
IF($A$4&lt;=12,SUMIFS('ON Data'!F:F,'ON Data'!$D:$D,$A$4,'ON Data'!$E:$E,6),SUMIFS('ON Data'!F:F,'ON Data'!$E:$E,6))</f>
        <v>5678501</v>
      </c>
      <c r="C20" s="233">
        <f xml:space="preserve">
IF($A$4&lt;=12,SUMIFS('ON Data'!O:O,'ON Data'!$D:$D,$A$4,'ON Data'!$E:$E,6),SUMIFS('ON Data'!O:O,'ON Data'!$E:$E,6))</f>
        <v>0</v>
      </c>
      <c r="D20" s="233">
        <f xml:space="preserve">
IF($A$4&lt;=12,SUMIFS('ON Data'!AE:AE,'ON Data'!$D:$D,$A$4,'ON Data'!$E:$E,6),SUMIFS('ON Data'!AE:AE,'ON Data'!$E:$E,6))</f>
        <v>3712087</v>
      </c>
      <c r="E20" s="233">
        <f xml:space="preserve">
IF($A$4&lt;=12,SUMIFS('ON Data'!AF:AF,'ON Data'!$D:$D,$A$4,'ON Data'!$E:$E,6),SUMIFS('ON Data'!AF:AF,'ON Data'!$E:$E,6))</f>
        <v>735996</v>
      </c>
      <c r="F20" s="233">
        <f xml:space="preserve">
IF($A$4&lt;=12,SUMIFS('ON Data'!AS:AS,'ON Data'!$D:$D,$A$4,'ON Data'!$E:$E,6),SUMIFS('ON Data'!AS:AS,'ON Data'!$E:$E,6))</f>
        <v>959989</v>
      </c>
      <c r="G20" s="397">
        <f xml:space="preserve">
IF($A$4&lt;=12,SUMIFS('ON Data'!AW:AW,'ON Data'!$D:$D,$A$4,'ON Data'!$E:$E,6),SUMIFS('ON Data'!AW:AW,'ON Data'!$E:$E,6))</f>
        <v>270429</v>
      </c>
      <c r="H20" s="402"/>
    </row>
    <row r="21" spans="1:8" ht="15" hidden="1" outlineLevel="1" thickBot="1" x14ac:dyDescent="0.35">
      <c r="A21" s="205" t="s">
        <v>93</v>
      </c>
      <c r="B21" s="224">
        <f xml:space="preserve">
IF($A$4&lt;=12,SUMIFS('ON Data'!F:F,'ON Data'!$D:$D,$A$4,'ON Data'!$E:$E,12),SUMIFS('ON Data'!F:F,'ON Data'!$E:$E,12))</f>
        <v>0</v>
      </c>
      <c r="C21" s="225">
        <f xml:space="preserve">
IF($A$4&lt;=12,SUMIFS('ON Data'!O:O,'ON Data'!$D:$D,$A$4,'ON Data'!$E:$E,12),SUMIFS('ON Data'!O:O,'ON Data'!$E:$E,12))</f>
        <v>0</v>
      </c>
      <c r="D21" s="225">
        <f xml:space="preserve">
IF($A$4&lt;=12,SUMIFS('ON Data'!AE:AE,'ON Data'!$D:$D,$A$4,'ON Data'!$E:$E,12),SUMIFS('ON Data'!AE:AE,'ON Data'!$E:$E,12))</f>
        <v>0</v>
      </c>
      <c r="E21" s="225">
        <f xml:space="preserve">
IF($A$4&lt;=12,SUMIFS('ON Data'!AF:AF,'ON Data'!$D:$D,$A$4,'ON Data'!$E:$E,12),SUMIFS('ON Data'!AF:AF,'ON Data'!$E:$E,12))</f>
        <v>0</v>
      </c>
      <c r="H21" s="402"/>
    </row>
    <row r="22" spans="1:8" ht="15" hidden="1" outlineLevel="1" thickBot="1" x14ac:dyDescent="0.35">
      <c r="A22" s="205" t="s">
        <v>61</v>
      </c>
      <c r="B22" s="261" t="str">
        <f xml:space="preserve">
IF(OR(B21="",B21=0),"",B20/B21)</f>
        <v/>
      </c>
      <c r="C22" s="262" t="str">
        <f t="shared" ref="C22:E22" si="2" xml:space="preserve">
IF(OR(C21="",C21=0),"",C20/C21)</f>
        <v/>
      </c>
      <c r="D22" s="262" t="str">
        <f t="shared" si="2"/>
        <v/>
      </c>
      <c r="E22" s="262" t="str">
        <f t="shared" si="2"/>
        <v/>
      </c>
      <c r="H22" s="402"/>
    </row>
    <row r="23" spans="1:8" ht="15" hidden="1" outlineLevel="1" thickBot="1" x14ac:dyDescent="0.35">
      <c r="A23" s="213" t="s">
        <v>54</v>
      </c>
      <c r="B23" s="226">
        <f xml:space="preserve">
IF(B21="","",B20-B21)</f>
        <v>5678501</v>
      </c>
      <c r="C23" s="227">
        <f t="shared" ref="C23:E23" si="3" xml:space="preserve">
IF(C21="","",C20-C21)</f>
        <v>0</v>
      </c>
      <c r="D23" s="227">
        <f t="shared" si="3"/>
        <v>3712087</v>
      </c>
      <c r="E23" s="227">
        <f t="shared" si="3"/>
        <v>735996</v>
      </c>
      <c r="H23" s="402"/>
    </row>
    <row r="24" spans="1:8" x14ac:dyDescent="0.3">
      <c r="A24" s="207" t="s">
        <v>155</v>
      </c>
      <c r="B24" s="244" t="s">
        <v>3</v>
      </c>
      <c r="C24" s="403" t="s">
        <v>166</v>
      </c>
      <c r="D24" s="379"/>
      <c r="E24" s="380"/>
      <c r="F24" s="380"/>
      <c r="G24" s="398" t="s">
        <v>167</v>
      </c>
      <c r="H24" s="402"/>
    </row>
    <row r="25" spans="1:8" x14ac:dyDescent="0.3">
      <c r="A25" s="208" t="s">
        <v>59</v>
      </c>
      <c r="B25" s="224">
        <f xml:space="preserve">
SUM(C25:G25)</f>
        <v>35400</v>
      </c>
      <c r="C25" s="404">
        <f xml:space="preserve">
IF($A$4&lt;=12,SUMIFS('ON Data'!O:O,'ON Data'!$D:$D,$A$4,'ON Data'!$E:$E,10),SUMIFS('ON Data'!O:O,'ON Data'!$E:$E,10))</f>
        <v>35400</v>
      </c>
      <c r="D25" s="381"/>
      <c r="E25" s="382"/>
      <c r="F25" s="382"/>
      <c r="G25" s="399">
        <f xml:space="preserve">
IF($A$4&lt;=12,SUMIFS('ON Data'!AW:AW,'ON Data'!$D:$D,$A$4,'ON Data'!$E:$E,10),SUMIFS('ON Data'!AW:AW,'ON Data'!$E:$E,10))</f>
        <v>0</v>
      </c>
      <c r="H25" s="402"/>
    </row>
    <row r="26" spans="1:8" x14ac:dyDescent="0.3">
      <c r="A26" s="214" t="s">
        <v>165</v>
      </c>
      <c r="B26" s="230">
        <f xml:space="preserve">
SUM(C26:G26)</f>
        <v>30000</v>
      </c>
      <c r="C26" s="405">
        <f xml:space="preserve">
IF($A$4&lt;=12,SUMIFS('ON Data'!O:O,'ON Data'!$D:$D,$A$4,'ON Data'!$E:$E,11),SUMIFS('ON Data'!O:O,'ON Data'!$E:$E,11))</f>
        <v>30000</v>
      </c>
      <c r="D26" s="383"/>
      <c r="E26" s="384"/>
      <c r="F26" s="384"/>
      <c r="G26" s="399">
        <f xml:space="preserve">
IF($A$4&lt;=12,SUMIFS('ON Data'!AW:AW,'ON Data'!$D:$D,$A$4,'ON Data'!$E:$E,11),SUMIFS('ON Data'!AW:AW,'ON Data'!$E:$E,11))</f>
        <v>0</v>
      </c>
      <c r="H26" s="402"/>
    </row>
    <row r="27" spans="1:8" x14ac:dyDescent="0.3">
      <c r="A27" s="214" t="s">
        <v>61</v>
      </c>
      <c r="B27" s="245">
        <f xml:space="preserve">
IF(B26=0,0,B25/B26)</f>
        <v>1.18</v>
      </c>
      <c r="C27" s="406">
        <f xml:space="preserve">
IF(C26=0,0,C25/C26)</f>
        <v>1.18</v>
      </c>
      <c r="D27" s="381"/>
      <c r="E27" s="382"/>
      <c r="F27" s="382"/>
      <c r="G27" s="400">
        <f xml:space="preserve">
IF(G26=0,0,G25/G26)</f>
        <v>0</v>
      </c>
      <c r="H27" s="402"/>
    </row>
    <row r="28" spans="1:8" ht="15" thickBot="1" x14ac:dyDescent="0.35">
      <c r="A28" s="214" t="s">
        <v>164</v>
      </c>
      <c r="B28" s="230">
        <f xml:space="preserve">
SUM(C28:G28)</f>
        <v>-5400</v>
      </c>
      <c r="C28" s="407">
        <f xml:space="preserve">
C26-C25</f>
        <v>-5400</v>
      </c>
      <c r="D28" s="385"/>
      <c r="E28" s="386"/>
      <c r="F28" s="386"/>
      <c r="G28" s="401">
        <f xml:space="preserve">
G26-G25</f>
        <v>0</v>
      </c>
      <c r="H28" s="402"/>
    </row>
    <row r="29" spans="1:8" x14ac:dyDescent="0.3">
      <c r="A29" s="215"/>
      <c r="B29" s="215"/>
      <c r="C29" s="216"/>
      <c r="D29" s="216"/>
      <c r="E29" s="216"/>
    </row>
    <row r="30" spans="1:8" x14ac:dyDescent="0.3">
      <c r="A30" s="88" t="s">
        <v>127</v>
      </c>
      <c r="B30" s="105"/>
      <c r="C30" s="105"/>
      <c r="D30" s="105"/>
      <c r="E30" s="105"/>
    </row>
    <row r="31" spans="1:8" x14ac:dyDescent="0.3">
      <c r="A31" s="89" t="s">
        <v>162</v>
      </c>
      <c r="B31" s="105"/>
      <c r="C31" s="105"/>
      <c r="D31" s="105"/>
      <c r="E31" s="105"/>
    </row>
    <row r="32" spans="1:8" ht="14.4" customHeight="1" x14ac:dyDescent="0.3">
      <c r="A32" s="241" t="s">
        <v>159</v>
      </c>
      <c r="B32" s="242"/>
      <c r="C32" s="242"/>
      <c r="D32" s="242"/>
      <c r="E32" s="242"/>
    </row>
    <row r="33" spans="1:1" x14ac:dyDescent="0.3">
      <c r="A33" s="243" t="s">
        <v>179</v>
      </c>
    </row>
    <row r="34" spans="1:1" x14ac:dyDescent="0.3">
      <c r="A34" s="243" t="s">
        <v>180</v>
      </c>
    </row>
    <row r="35" spans="1:1" x14ac:dyDescent="0.3">
      <c r="A35" s="243" t="s">
        <v>181</v>
      </c>
    </row>
    <row r="36" spans="1:1" x14ac:dyDescent="0.3">
      <c r="A36" s="243" t="s">
        <v>168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showRowColHeaders="0" workbookViewId="0"/>
  </sheetViews>
  <sheetFormatPr defaultRowHeight="14.4" x14ac:dyDescent="0.3"/>
  <cols>
    <col min="1" max="16384" width="8.88671875" style="196"/>
  </cols>
  <sheetData>
    <row r="1" spans="1:49" x14ac:dyDescent="0.3">
      <c r="A1" s="196" t="s">
        <v>336</v>
      </c>
    </row>
    <row r="2" spans="1:49" x14ac:dyDescent="0.3">
      <c r="A2" s="200" t="s">
        <v>203</v>
      </c>
    </row>
    <row r="3" spans="1:49" x14ac:dyDescent="0.3">
      <c r="A3" s="196" t="s">
        <v>132</v>
      </c>
      <c r="B3" s="219">
        <v>2016</v>
      </c>
      <c r="D3" s="197">
        <f>MAX(D5:D1048576)</f>
        <v>12</v>
      </c>
      <c r="F3" s="197">
        <f>SUMIF($E5:$E1048576,"&lt;10",F5:F1048576)</f>
        <v>6142937.1999999993</v>
      </c>
      <c r="G3" s="197">
        <f t="shared" ref="G3:AW3" si="0">SUMIF($E5:$E1048576,"&lt;10",G5:G1048576)</f>
        <v>0</v>
      </c>
      <c r="H3" s="197">
        <f t="shared" si="0"/>
        <v>0</v>
      </c>
      <c r="I3" s="197">
        <f t="shared" si="0"/>
        <v>0</v>
      </c>
      <c r="J3" s="197">
        <f t="shared" si="0"/>
        <v>0</v>
      </c>
      <c r="K3" s="197">
        <f t="shared" si="0"/>
        <v>0</v>
      </c>
      <c r="L3" s="197">
        <f t="shared" si="0"/>
        <v>0</v>
      </c>
      <c r="M3" s="197">
        <f t="shared" si="0"/>
        <v>0</v>
      </c>
      <c r="N3" s="197">
        <f t="shared" si="0"/>
        <v>0</v>
      </c>
      <c r="O3" s="197">
        <f t="shared" si="0"/>
        <v>0</v>
      </c>
      <c r="P3" s="197">
        <f t="shared" si="0"/>
        <v>0</v>
      </c>
      <c r="Q3" s="197">
        <f t="shared" si="0"/>
        <v>0</v>
      </c>
      <c r="R3" s="197">
        <f t="shared" si="0"/>
        <v>0</v>
      </c>
      <c r="S3" s="197">
        <f t="shared" si="0"/>
        <v>0</v>
      </c>
      <c r="T3" s="197">
        <f t="shared" si="0"/>
        <v>0</v>
      </c>
      <c r="U3" s="197">
        <f t="shared" si="0"/>
        <v>0</v>
      </c>
      <c r="V3" s="197">
        <f t="shared" si="0"/>
        <v>0</v>
      </c>
      <c r="W3" s="197">
        <f t="shared" si="0"/>
        <v>0</v>
      </c>
      <c r="X3" s="197">
        <f t="shared" si="0"/>
        <v>0</v>
      </c>
      <c r="Y3" s="197">
        <f t="shared" si="0"/>
        <v>0</v>
      </c>
      <c r="Z3" s="197">
        <f t="shared" si="0"/>
        <v>0</v>
      </c>
      <c r="AA3" s="197">
        <f t="shared" si="0"/>
        <v>0</v>
      </c>
      <c r="AB3" s="197">
        <f t="shared" si="0"/>
        <v>0</v>
      </c>
      <c r="AC3" s="197">
        <f t="shared" si="0"/>
        <v>0</v>
      </c>
      <c r="AD3" s="197">
        <f t="shared" si="0"/>
        <v>0</v>
      </c>
      <c r="AE3" s="197">
        <f t="shared" si="0"/>
        <v>4003157</v>
      </c>
      <c r="AF3" s="197">
        <f t="shared" si="0"/>
        <v>820417</v>
      </c>
      <c r="AG3" s="197">
        <f t="shared" si="0"/>
        <v>0</v>
      </c>
      <c r="AH3" s="197">
        <f t="shared" si="0"/>
        <v>0</v>
      </c>
      <c r="AI3" s="197">
        <f t="shared" si="0"/>
        <v>0</v>
      </c>
      <c r="AJ3" s="197">
        <f t="shared" si="0"/>
        <v>0</v>
      </c>
      <c r="AK3" s="197">
        <f t="shared" si="0"/>
        <v>0</v>
      </c>
      <c r="AL3" s="197">
        <f t="shared" si="0"/>
        <v>0</v>
      </c>
      <c r="AM3" s="197">
        <f t="shared" si="0"/>
        <v>0</v>
      </c>
      <c r="AN3" s="197">
        <f t="shared" si="0"/>
        <v>0</v>
      </c>
      <c r="AO3" s="197">
        <f t="shared" si="0"/>
        <v>0</v>
      </c>
      <c r="AP3" s="197">
        <f t="shared" si="0"/>
        <v>0</v>
      </c>
      <c r="AQ3" s="197">
        <f t="shared" si="0"/>
        <v>0</v>
      </c>
      <c r="AR3" s="197">
        <f t="shared" si="0"/>
        <v>0</v>
      </c>
      <c r="AS3" s="197">
        <f t="shared" si="0"/>
        <v>1028143.1999999998</v>
      </c>
      <c r="AT3" s="197">
        <f t="shared" si="0"/>
        <v>0</v>
      </c>
      <c r="AU3" s="197">
        <f t="shared" si="0"/>
        <v>0</v>
      </c>
      <c r="AV3" s="197">
        <f t="shared" si="0"/>
        <v>0</v>
      </c>
      <c r="AW3" s="197">
        <f t="shared" si="0"/>
        <v>291220</v>
      </c>
    </row>
    <row r="4" spans="1:49" x14ac:dyDescent="0.3">
      <c r="A4" s="196" t="s">
        <v>133</v>
      </c>
      <c r="B4" s="219">
        <v>1</v>
      </c>
      <c r="C4" s="198" t="s">
        <v>5</v>
      </c>
      <c r="D4" s="199" t="s">
        <v>53</v>
      </c>
      <c r="E4" s="199" t="s">
        <v>131</v>
      </c>
      <c r="F4" s="199" t="s">
        <v>3</v>
      </c>
      <c r="G4" s="199">
        <v>0</v>
      </c>
      <c r="H4" s="199">
        <v>25</v>
      </c>
      <c r="I4" s="199">
        <v>99</v>
      </c>
      <c r="J4" s="199">
        <v>100</v>
      </c>
      <c r="K4" s="199">
        <v>101</v>
      </c>
      <c r="L4" s="199">
        <v>102</v>
      </c>
      <c r="M4" s="199">
        <v>103</v>
      </c>
      <c r="N4" s="199">
        <v>203</v>
      </c>
      <c r="O4" s="199">
        <v>302</v>
      </c>
      <c r="P4" s="199">
        <v>303</v>
      </c>
      <c r="Q4" s="199">
        <v>304</v>
      </c>
      <c r="R4" s="199">
        <v>305</v>
      </c>
      <c r="S4" s="199">
        <v>306</v>
      </c>
      <c r="T4" s="199">
        <v>407</v>
      </c>
      <c r="U4" s="199">
        <v>408</v>
      </c>
      <c r="V4" s="199">
        <v>409</v>
      </c>
      <c r="W4" s="199">
        <v>410</v>
      </c>
      <c r="X4" s="199">
        <v>415</v>
      </c>
      <c r="Y4" s="199">
        <v>416</v>
      </c>
      <c r="Z4" s="199">
        <v>418</v>
      </c>
      <c r="AA4" s="199">
        <v>419</v>
      </c>
      <c r="AB4" s="199">
        <v>420</v>
      </c>
      <c r="AC4" s="199">
        <v>421</v>
      </c>
      <c r="AD4" s="199">
        <v>520</v>
      </c>
      <c r="AE4" s="199">
        <v>521</v>
      </c>
      <c r="AF4" s="199">
        <v>522</v>
      </c>
      <c r="AG4" s="199">
        <v>523</v>
      </c>
      <c r="AH4" s="199">
        <v>524</v>
      </c>
      <c r="AI4" s="199">
        <v>525</v>
      </c>
      <c r="AJ4" s="199">
        <v>526</v>
      </c>
      <c r="AK4" s="199">
        <v>527</v>
      </c>
      <c r="AL4" s="199">
        <v>528</v>
      </c>
      <c r="AM4" s="199">
        <v>629</v>
      </c>
      <c r="AN4" s="199">
        <v>630</v>
      </c>
      <c r="AO4" s="199">
        <v>636</v>
      </c>
      <c r="AP4" s="199">
        <v>637</v>
      </c>
      <c r="AQ4" s="199">
        <v>640</v>
      </c>
      <c r="AR4" s="199">
        <v>642</v>
      </c>
      <c r="AS4" s="199">
        <v>743</v>
      </c>
      <c r="AT4" s="199">
        <v>745</v>
      </c>
      <c r="AU4" s="199">
        <v>746</v>
      </c>
      <c r="AV4" s="199">
        <v>747</v>
      </c>
      <c r="AW4" s="199">
        <v>930</v>
      </c>
    </row>
    <row r="5" spans="1:49" x14ac:dyDescent="0.3">
      <c r="A5" s="196" t="s">
        <v>134</v>
      </c>
      <c r="B5" s="219">
        <v>2</v>
      </c>
      <c r="C5" s="196">
        <v>39</v>
      </c>
      <c r="D5" s="196">
        <v>1</v>
      </c>
      <c r="E5" s="196">
        <v>1</v>
      </c>
      <c r="F5" s="196">
        <v>13.6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9</v>
      </c>
      <c r="AF5" s="196">
        <v>1</v>
      </c>
      <c r="AG5" s="196">
        <v>0</v>
      </c>
      <c r="AH5" s="196">
        <v>0</v>
      </c>
      <c r="AI5" s="196">
        <v>0</v>
      </c>
      <c r="AJ5" s="196">
        <v>0</v>
      </c>
      <c r="AK5" s="196">
        <v>0</v>
      </c>
      <c r="AL5" s="196">
        <v>0</v>
      </c>
      <c r="AM5" s="196">
        <v>0</v>
      </c>
      <c r="AN5" s="196">
        <v>0</v>
      </c>
      <c r="AO5" s="196">
        <v>0</v>
      </c>
      <c r="AP5" s="196">
        <v>0</v>
      </c>
      <c r="AQ5" s="196">
        <v>0</v>
      </c>
      <c r="AR5" s="196">
        <v>0</v>
      </c>
      <c r="AS5" s="196">
        <v>2.6</v>
      </c>
      <c r="AT5" s="196">
        <v>0</v>
      </c>
      <c r="AU5" s="196">
        <v>0</v>
      </c>
      <c r="AV5" s="196">
        <v>0</v>
      </c>
      <c r="AW5" s="196">
        <v>1</v>
      </c>
    </row>
    <row r="6" spans="1:49" x14ac:dyDescent="0.3">
      <c r="A6" s="196" t="s">
        <v>135</v>
      </c>
      <c r="B6" s="219">
        <v>3</v>
      </c>
      <c r="C6" s="196">
        <v>39</v>
      </c>
      <c r="D6" s="196">
        <v>1</v>
      </c>
      <c r="E6" s="196">
        <v>2</v>
      </c>
      <c r="F6" s="196">
        <v>2152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1416</v>
      </c>
      <c r="AF6" s="196">
        <v>148</v>
      </c>
      <c r="AG6" s="196">
        <v>0</v>
      </c>
      <c r="AH6" s="196">
        <v>0</v>
      </c>
      <c r="AI6" s="196">
        <v>0</v>
      </c>
      <c r="AJ6" s="196">
        <v>0</v>
      </c>
      <c r="AK6" s="196">
        <v>0</v>
      </c>
      <c r="AL6" s="196">
        <v>0</v>
      </c>
      <c r="AM6" s="196">
        <v>0</v>
      </c>
      <c r="AN6" s="196">
        <v>0</v>
      </c>
      <c r="AO6" s="196">
        <v>0</v>
      </c>
      <c r="AP6" s="196">
        <v>0</v>
      </c>
      <c r="AQ6" s="196">
        <v>0</v>
      </c>
      <c r="AR6" s="196">
        <v>0</v>
      </c>
      <c r="AS6" s="196">
        <v>412</v>
      </c>
      <c r="AT6" s="196">
        <v>0</v>
      </c>
      <c r="AU6" s="196">
        <v>0</v>
      </c>
      <c r="AV6" s="196">
        <v>0</v>
      </c>
      <c r="AW6" s="196">
        <v>176</v>
      </c>
    </row>
    <row r="7" spans="1:49" x14ac:dyDescent="0.3">
      <c r="A7" s="196" t="s">
        <v>136</v>
      </c>
      <c r="B7" s="219">
        <v>4</v>
      </c>
      <c r="C7" s="196">
        <v>39</v>
      </c>
      <c r="D7" s="196">
        <v>1</v>
      </c>
      <c r="E7" s="196">
        <v>6</v>
      </c>
      <c r="F7" s="196">
        <v>453860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299085</v>
      </c>
      <c r="AF7" s="196">
        <v>55626</v>
      </c>
      <c r="AG7" s="196">
        <v>0</v>
      </c>
      <c r="AH7" s="196">
        <v>0</v>
      </c>
      <c r="AI7" s="196">
        <v>0</v>
      </c>
      <c r="AJ7" s="196">
        <v>0</v>
      </c>
      <c r="AK7" s="196">
        <v>0</v>
      </c>
      <c r="AL7" s="196">
        <v>0</v>
      </c>
      <c r="AM7" s="196">
        <v>0</v>
      </c>
      <c r="AN7" s="196">
        <v>0</v>
      </c>
      <c r="AO7" s="196">
        <v>0</v>
      </c>
      <c r="AP7" s="196">
        <v>0</v>
      </c>
      <c r="AQ7" s="196">
        <v>0</v>
      </c>
      <c r="AR7" s="196">
        <v>0</v>
      </c>
      <c r="AS7" s="196">
        <v>74511</v>
      </c>
      <c r="AT7" s="196">
        <v>0</v>
      </c>
      <c r="AU7" s="196">
        <v>0</v>
      </c>
      <c r="AV7" s="196">
        <v>0</v>
      </c>
      <c r="AW7" s="196">
        <v>24638</v>
      </c>
    </row>
    <row r="8" spans="1:49" x14ac:dyDescent="0.3">
      <c r="A8" s="196" t="s">
        <v>137</v>
      </c>
      <c r="B8" s="219">
        <v>5</v>
      </c>
      <c r="C8" s="196">
        <v>39</v>
      </c>
      <c r="D8" s="196">
        <v>1</v>
      </c>
      <c r="E8" s="196">
        <v>9</v>
      </c>
      <c r="F8" s="196">
        <v>6920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5695</v>
      </c>
      <c r="AF8" s="196">
        <v>1225</v>
      </c>
      <c r="AG8" s="196">
        <v>0</v>
      </c>
      <c r="AH8" s="196">
        <v>0</v>
      </c>
      <c r="AI8" s="196">
        <v>0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 s="196">
        <v>0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</row>
    <row r="9" spans="1:49" x14ac:dyDescent="0.3">
      <c r="A9" s="196" t="s">
        <v>138</v>
      </c>
      <c r="B9" s="219">
        <v>6</v>
      </c>
      <c r="C9" s="196">
        <v>39</v>
      </c>
      <c r="D9" s="196">
        <v>1</v>
      </c>
      <c r="E9" s="196">
        <v>11</v>
      </c>
      <c r="F9" s="196">
        <v>2500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2500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0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 s="196">
        <v>0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</row>
    <row r="10" spans="1:49" x14ac:dyDescent="0.3">
      <c r="A10" s="196" t="s">
        <v>139</v>
      </c>
      <c r="B10" s="219">
        <v>7</v>
      </c>
      <c r="C10" s="196">
        <v>39</v>
      </c>
      <c r="D10" s="196">
        <v>2</v>
      </c>
      <c r="E10" s="196">
        <v>1</v>
      </c>
      <c r="F10" s="196">
        <v>13.6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9</v>
      </c>
      <c r="AF10" s="196">
        <v>1</v>
      </c>
      <c r="AG10" s="196">
        <v>0</v>
      </c>
      <c r="AH10" s="196">
        <v>0</v>
      </c>
      <c r="AI10" s="196">
        <v>0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 s="196">
        <v>0</v>
      </c>
      <c r="AP10" s="196">
        <v>0</v>
      </c>
      <c r="AQ10" s="196">
        <v>0</v>
      </c>
      <c r="AR10" s="196">
        <v>0</v>
      </c>
      <c r="AS10" s="196">
        <v>2.6</v>
      </c>
      <c r="AT10" s="196">
        <v>0</v>
      </c>
      <c r="AU10" s="196">
        <v>0</v>
      </c>
      <c r="AV10" s="196">
        <v>0</v>
      </c>
      <c r="AW10" s="196">
        <v>1</v>
      </c>
    </row>
    <row r="11" spans="1:49" x14ac:dyDescent="0.3">
      <c r="A11" s="196" t="s">
        <v>140</v>
      </c>
      <c r="B11" s="219">
        <v>8</v>
      </c>
      <c r="C11" s="196">
        <v>39</v>
      </c>
      <c r="D11" s="196">
        <v>2</v>
      </c>
      <c r="E11" s="196">
        <v>2</v>
      </c>
      <c r="F11" s="196">
        <v>2086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1343</v>
      </c>
      <c r="AF11" s="196">
        <v>168</v>
      </c>
      <c r="AG11" s="196">
        <v>0</v>
      </c>
      <c r="AH11" s="196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407</v>
      </c>
      <c r="AT11" s="196">
        <v>0</v>
      </c>
      <c r="AU11" s="196">
        <v>0</v>
      </c>
      <c r="AV11" s="196">
        <v>0</v>
      </c>
      <c r="AW11" s="196">
        <v>168</v>
      </c>
    </row>
    <row r="12" spans="1:49" x14ac:dyDescent="0.3">
      <c r="A12" s="196" t="s">
        <v>141</v>
      </c>
      <c r="B12" s="219">
        <v>9</v>
      </c>
      <c r="C12" s="196">
        <v>39</v>
      </c>
      <c r="D12" s="196">
        <v>2</v>
      </c>
      <c r="E12" s="196">
        <v>6</v>
      </c>
      <c r="F12" s="196">
        <v>445110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296594</v>
      </c>
      <c r="AF12" s="196">
        <v>53800</v>
      </c>
      <c r="AG12" s="196">
        <v>0</v>
      </c>
      <c r="AH12" s="196">
        <v>0</v>
      </c>
      <c r="AI12" s="196">
        <v>0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 s="196">
        <v>0</v>
      </c>
      <c r="AP12" s="196">
        <v>0</v>
      </c>
      <c r="AQ12" s="196">
        <v>0</v>
      </c>
      <c r="AR12" s="196">
        <v>0</v>
      </c>
      <c r="AS12" s="196">
        <v>74546</v>
      </c>
      <c r="AT12" s="196">
        <v>0</v>
      </c>
      <c r="AU12" s="196">
        <v>0</v>
      </c>
      <c r="AV12" s="196">
        <v>0</v>
      </c>
      <c r="AW12" s="196">
        <v>20170</v>
      </c>
    </row>
    <row r="13" spans="1:49" x14ac:dyDescent="0.3">
      <c r="A13" s="196" t="s">
        <v>142</v>
      </c>
      <c r="B13" s="219">
        <v>10</v>
      </c>
      <c r="C13" s="196">
        <v>39</v>
      </c>
      <c r="D13" s="196">
        <v>2</v>
      </c>
      <c r="E13" s="196">
        <v>11</v>
      </c>
      <c r="F13" s="196">
        <v>2500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2500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</row>
    <row r="14" spans="1:49" x14ac:dyDescent="0.3">
      <c r="A14" s="196" t="s">
        <v>143</v>
      </c>
      <c r="B14" s="219">
        <v>11</v>
      </c>
      <c r="C14" s="196">
        <v>39</v>
      </c>
      <c r="D14" s="196">
        <v>3</v>
      </c>
      <c r="E14" s="196">
        <v>1</v>
      </c>
      <c r="F14" s="196">
        <v>13.6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9</v>
      </c>
      <c r="AF14" s="196">
        <v>1</v>
      </c>
      <c r="AG14" s="196">
        <v>0</v>
      </c>
      <c r="AH14" s="196">
        <v>0</v>
      </c>
      <c r="AI14" s="196">
        <v>0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 s="196">
        <v>0</v>
      </c>
      <c r="AP14" s="196">
        <v>0</v>
      </c>
      <c r="AQ14" s="196">
        <v>0</v>
      </c>
      <c r="AR14" s="196">
        <v>0</v>
      </c>
      <c r="AS14" s="196">
        <v>2.6</v>
      </c>
      <c r="AT14" s="196">
        <v>0</v>
      </c>
      <c r="AU14" s="196">
        <v>0</v>
      </c>
      <c r="AV14" s="196">
        <v>0</v>
      </c>
      <c r="AW14" s="196">
        <v>1</v>
      </c>
    </row>
    <row r="15" spans="1:49" x14ac:dyDescent="0.3">
      <c r="A15" s="196" t="s">
        <v>144</v>
      </c>
      <c r="B15" s="219">
        <v>12</v>
      </c>
      <c r="C15" s="196">
        <v>39</v>
      </c>
      <c r="D15" s="196">
        <v>3</v>
      </c>
      <c r="E15" s="196">
        <v>2</v>
      </c>
      <c r="F15" s="196">
        <v>2414.5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1583.5</v>
      </c>
      <c r="AF15" s="196">
        <v>176</v>
      </c>
      <c r="AG15" s="196">
        <v>0</v>
      </c>
      <c r="AH15" s="196">
        <v>0</v>
      </c>
      <c r="AI15" s="196">
        <v>0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 s="196">
        <v>0</v>
      </c>
      <c r="AP15" s="196">
        <v>0</v>
      </c>
      <c r="AQ15" s="196">
        <v>0</v>
      </c>
      <c r="AR15" s="196">
        <v>0</v>
      </c>
      <c r="AS15" s="196">
        <v>479</v>
      </c>
      <c r="AT15" s="196">
        <v>0</v>
      </c>
      <c r="AU15" s="196">
        <v>0</v>
      </c>
      <c r="AV15" s="196">
        <v>0</v>
      </c>
      <c r="AW15" s="196">
        <v>176</v>
      </c>
    </row>
    <row r="16" spans="1:49" x14ac:dyDescent="0.3">
      <c r="A16" s="196" t="s">
        <v>132</v>
      </c>
      <c r="B16" s="219">
        <v>2016</v>
      </c>
      <c r="C16" s="196">
        <v>39</v>
      </c>
      <c r="D16" s="196">
        <v>3</v>
      </c>
      <c r="E16" s="196">
        <v>6</v>
      </c>
      <c r="F16" s="196">
        <v>443170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294344</v>
      </c>
      <c r="AF16" s="196">
        <v>54263</v>
      </c>
      <c r="AG16" s="196">
        <v>0</v>
      </c>
      <c r="AH16" s="196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0</v>
      </c>
      <c r="AS16" s="196">
        <v>74320</v>
      </c>
      <c r="AT16" s="196">
        <v>0</v>
      </c>
      <c r="AU16" s="196">
        <v>0</v>
      </c>
      <c r="AV16" s="196">
        <v>0</v>
      </c>
      <c r="AW16" s="196">
        <v>20243</v>
      </c>
    </row>
    <row r="17" spans="3:49" x14ac:dyDescent="0.3">
      <c r="C17" s="196">
        <v>39</v>
      </c>
      <c r="D17" s="196">
        <v>3</v>
      </c>
      <c r="E17" s="196">
        <v>10</v>
      </c>
      <c r="F17" s="196">
        <v>1100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1100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0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 s="196">
        <v>0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</row>
    <row r="18" spans="3:49" x14ac:dyDescent="0.3">
      <c r="C18" s="196">
        <v>39</v>
      </c>
      <c r="D18" s="196">
        <v>3</v>
      </c>
      <c r="E18" s="196">
        <v>11</v>
      </c>
      <c r="F18" s="196">
        <v>2500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2500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0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 s="196">
        <v>0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</row>
    <row r="19" spans="3:49" x14ac:dyDescent="0.3">
      <c r="C19" s="196">
        <v>39</v>
      </c>
      <c r="D19" s="196">
        <v>4</v>
      </c>
      <c r="E19" s="196">
        <v>1</v>
      </c>
      <c r="F19" s="196">
        <v>13.6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9</v>
      </c>
      <c r="AF19" s="196">
        <v>1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2.6</v>
      </c>
      <c r="AT19" s="196">
        <v>0</v>
      </c>
      <c r="AU19" s="196">
        <v>0</v>
      </c>
      <c r="AV19" s="196">
        <v>0</v>
      </c>
      <c r="AW19" s="196">
        <v>1</v>
      </c>
    </row>
    <row r="20" spans="3:49" x14ac:dyDescent="0.3">
      <c r="C20" s="196">
        <v>39</v>
      </c>
      <c r="D20" s="196">
        <v>4</v>
      </c>
      <c r="E20" s="196">
        <v>2</v>
      </c>
      <c r="F20" s="196">
        <v>1838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1276</v>
      </c>
      <c r="AF20" s="196">
        <v>140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254</v>
      </c>
      <c r="AT20" s="196">
        <v>0</v>
      </c>
      <c r="AU20" s="196">
        <v>0</v>
      </c>
      <c r="AV20" s="196">
        <v>0</v>
      </c>
      <c r="AW20" s="196">
        <v>168</v>
      </c>
    </row>
    <row r="21" spans="3:49" x14ac:dyDescent="0.3">
      <c r="C21" s="196">
        <v>39</v>
      </c>
      <c r="D21" s="196">
        <v>4</v>
      </c>
      <c r="E21" s="196">
        <v>6</v>
      </c>
      <c r="F21" s="196">
        <v>427120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299513</v>
      </c>
      <c r="AF21" s="196">
        <v>54553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52384</v>
      </c>
      <c r="AT21" s="196">
        <v>0</v>
      </c>
      <c r="AU21" s="196">
        <v>0</v>
      </c>
      <c r="AV21" s="196">
        <v>0</v>
      </c>
      <c r="AW21" s="196">
        <v>20670</v>
      </c>
    </row>
    <row r="22" spans="3:49" x14ac:dyDescent="0.3">
      <c r="C22" s="196">
        <v>39</v>
      </c>
      <c r="D22" s="196">
        <v>4</v>
      </c>
      <c r="E22" s="196">
        <v>9</v>
      </c>
      <c r="F22" s="196">
        <v>10744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10744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</row>
    <row r="23" spans="3:49" x14ac:dyDescent="0.3">
      <c r="C23" s="196">
        <v>39</v>
      </c>
      <c r="D23" s="196">
        <v>4</v>
      </c>
      <c r="E23" s="196">
        <v>10</v>
      </c>
      <c r="F23" s="196">
        <v>14600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14600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</row>
    <row r="24" spans="3:49" x14ac:dyDescent="0.3">
      <c r="C24" s="196">
        <v>39</v>
      </c>
      <c r="D24" s="196">
        <v>4</v>
      </c>
      <c r="E24" s="196">
        <v>11</v>
      </c>
      <c r="F24" s="196">
        <v>2500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2500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</row>
    <row r="25" spans="3:49" x14ac:dyDescent="0.3">
      <c r="C25" s="196">
        <v>39</v>
      </c>
      <c r="D25" s="196">
        <v>5</v>
      </c>
      <c r="E25" s="196">
        <v>1</v>
      </c>
      <c r="F25" s="196">
        <v>13.6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9</v>
      </c>
      <c r="AF25" s="196">
        <v>1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2.6</v>
      </c>
      <c r="AT25" s="196">
        <v>0</v>
      </c>
      <c r="AU25" s="196">
        <v>0</v>
      </c>
      <c r="AV25" s="196">
        <v>0</v>
      </c>
      <c r="AW25" s="196">
        <v>1</v>
      </c>
    </row>
    <row r="26" spans="3:49" x14ac:dyDescent="0.3">
      <c r="C26" s="196">
        <v>39</v>
      </c>
      <c r="D26" s="196">
        <v>5</v>
      </c>
      <c r="E26" s="196">
        <v>2</v>
      </c>
      <c r="F26" s="196">
        <v>2083.5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1353.5</v>
      </c>
      <c r="AF26" s="196">
        <v>176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378</v>
      </c>
      <c r="AT26" s="196">
        <v>0</v>
      </c>
      <c r="AU26" s="196">
        <v>0</v>
      </c>
      <c r="AV26" s="196">
        <v>0</v>
      </c>
      <c r="AW26" s="196">
        <v>176</v>
      </c>
    </row>
    <row r="27" spans="3:49" x14ac:dyDescent="0.3">
      <c r="C27" s="196">
        <v>39</v>
      </c>
      <c r="D27" s="196">
        <v>5</v>
      </c>
      <c r="E27" s="196">
        <v>6</v>
      </c>
      <c r="F27" s="196">
        <v>440692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283332</v>
      </c>
      <c r="AF27" s="196">
        <v>57684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79006</v>
      </c>
      <c r="AT27" s="196">
        <v>0</v>
      </c>
      <c r="AU27" s="196">
        <v>0</v>
      </c>
      <c r="AV27" s="196">
        <v>0</v>
      </c>
      <c r="AW27" s="196">
        <v>20670</v>
      </c>
    </row>
    <row r="28" spans="3:49" x14ac:dyDescent="0.3">
      <c r="C28" s="196">
        <v>39</v>
      </c>
      <c r="D28" s="196">
        <v>5</v>
      </c>
      <c r="E28" s="196">
        <v>9</v>
      </c>
      <c r="F28" s="196">
        <v>11652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7768</v>
      </c>
      <c r="AF28" s="196">
        <v>3884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</row>
    <row r="29" spans="3:49" x14ac:dyDescent="0.3">
      <c r="C29" s="196">
        <v>39</v>
      </c>
      <c r="D29" s="196">
        <v>5</v>
      </c>
      <c r="E29" s="196">
        <v>10</v>
      </c>
      <c r="F29" s="196">
        <v>12000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12000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</row>
    <row r="30" spans="3:49" x14ac:dyDescent="0.3">
      <c r="C30" s="196">
        <v>39</v>
      </c>
      <c r="D30" s="196">
        <v>5</v>
      </c>
      <c r="E30" s="196">
        <v>11</v>
      </c>
      <c r="F30" s="196">
        <v>2500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2500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</row>
    <row r="31" spans="3:49" x14ac:dyDescent="0.3">
      <c r="C31" s="196">
        <v>39</v>
      </c>
      <c r="D31" s="196">
        <v>6</v>
      </c>
      <c r="E31" s="196">
        <v>1</v>
      </c>
      <c r="F31" s="196">
        <v>13.6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9</v>
      </c>
      <c r="AF31" s="196">
        <v>1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2.6</v>
      </c>
      <c r="AT31" s="196">
        <v>0</v>
      </c>
      <c r="AU31" s="196">
        <v>0</v>
      </c>
      <c r="AV31" s="196">
        <v>0</v>
      </c>
      <c r="AW31" s="196">
        <v>1</v>
      </c>
    </row>
    <row r="32" spans="3:49" x14ac:dyDescent="0.3">
      <c r="C32" s="196">
        <v>39</v>
      </c>
      <c r="D32" s="196">
        <v>6</v>
      </c>
      <c r="E32" s="196">
        <v>2</v>
      </c>
      <c r="F32" s="196">
        <v>1949.5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1223.5</v>
      </c>
      <c r="AF32" s="196">
        <v>112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438</v>
      </c>
      <c r="AT32" s="196">
        <v>0</v>
      </c>
      <c r="AU32" s="196">
        <v>0</v>
      </c>
      <c r="AV32" s="196">
        <v>0</v>
      </c>
      <c r="AW32" s="196">
        <v>176</v>
      </c>
    </row>
    <row r="33" spans="3:49" x14ac:dyDescent="0.3">
      <c r="C33" s="196">
        <v>39</v>
      </c>
      <c r="D33" s="196">
        <v>6</v>
      </c>
      <c r="E33" s="196">
        <v>6</v>
      </c>
      <c r="F33" s="196">
        <v>424632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264898</v>
      </c>
      <c r="AF33" s="196">
        <v>60335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78729</v>
      </c>
      <c r="AT33" s="196">
        <v>0</v>
      </c>
      <c r="AU33" s="196">
        <v>0</v>
      </c>
      <c r="AV33" s="196">
        <v>0</v>
      </c>
      <c r="AW33" s="196">
        <v>20670</v>
      </c>
    </row>
    <row r="34" spans="3:49" x14ac:dyDescent="0.3">
      <c r="C34" s="196">
        <v>39</v>
      </c>
      <c r="D34" s="196">
        <v>6</v>
      </c>
      <c r="E34" s="196">
        <v>9</v>
      </c>
      <c r="F34" s="196">
        <v>11652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7768</v>
      </c>
      <c r="AF34" s="196">
        <v>3884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</row>
    <row r="35" spans="3:49" x14ac:dyDescent="0.3">
      <c r="C35" s="196">
        <v>39</v>
      </c>
      <c r="D35" s="196">
        <v>6</v>
      </c>
      <c r="E35" s="196">
        <v>11</v>
      </c>
      <c r="F35" s="196">
        <v>2500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2500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</row>
    <row r="36" spans="3:49" x14ac:dyDescent="0.3">
      <c r="C36" s="196">
        <v>39</v>
      </c>
      <c r="D36" s="196">
        <v>7</v>
      </c>
      <c r="E36" s="196">
        <v>1</v>
      </c>
      <c r="F36" s="196">
        <v>13.6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9</v>
      </c>
      <c r="AF36" s="196">
        <v>1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2.6</v>
      </c>
      <c r="AT36" s="196">
        <v>0</v>
      </c>
      <c r="AU36" s="196">
        <v>0</v>
      </c>
      <c r="AV36" s="196">
        <v>0</v>
      </c>
      <c r="AW36" s="196">
        <v>1</v>
      </c>
    </row>
    <row r="37" spans="3:49" x14ac:dyDescent="0.3">
      <c r="C37" s="196">
        <v>39</v>
      </c>
      <c r="D37" s="196">
        <v>7</v>
      </c>
      <c r="E37" s="196">
        <v>2</v>
      </c>
      <c r="F37" s="196">
        <v>1570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907</v>
      </c>
      <c r="AF37" s="196">
        <v>132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427</v>
      </c>
      <c r="AT37" s="196">
        <v>0</v>
      </c>
      <c r="AU37" s="196">
        <v>0</v>
      </c>
      <c r="AV37" s="196">
        <v>0</v>
      </c>
      <c r="AW37" s="196">
        <v>104</v>
      </c>
    </row>
    <row r="38" spans="3:49" x14ac:dyDescent="0.3">
      <c r="C38" s="196">
        <v>39</v>
      </c>
      <c r="D38" s="196">
        <v>7</v>
      </c>
      <c r="E38" s="196">
        <v>6</v>
      </c>
      <c r="F38" s="196">
        <v>595547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381571</v>
      </c>
      <c r="AF38" s="196">
        <v>84990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101876</v>
      </c>
      <c r="AT38" s="196">
        <v>0</v>
      </c>
      <c r="AU38" s="196">
        <v>0</v>
      </c>
      <c r="AV38" s="196">
        <v>0</v>
      </c>
      <c r="AW38" s="196">
        <v>27110</v>
      </c>
    </row>
    <row r="39" spans="3:49" x14ac:dyDescent="0.3">
      <c r="C39" s="196">
        <v>39</v>
      </c>
      <c r="D39" s="196">
        <v>7</v>
      </c>
      <c r="E39" s="196">
        <v>9</v>
      </c>
      <c r="F39" s="196">
        <v>153657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92774</v>
      </c>
      <c r="AF39" s="196">
        <v>30889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23312</v>
      </c>
      <c r="AT39" s="196">
        <v>0</v>
      </c>
      <c r="AU39" s="196">
        <v>0</v>
      </c>
      <c r="AV39" s="196">
        <v>0</v>
      </c>
      <c r="AW39" s="196">
        <v>6682</v>
      </c>
    </row>
    <row r="40" spans="3:49" x14ac:dyDescent="0.3">
      <c r="C40" s="196">
        <v>39</v>
      </c>
      <c r="D40" s="196">
        <v>7</v>
      </c>
      <c r="E40" s="196">
        <v>10</v>
      </c>
      <c r="F40" s="196">
        <v>7700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7700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</row>
    <row r="41" spans="3:49" x14ac:dyDescent="0.3">
      <c r="C41" s="196">
        <v>39</v>
      </c>
      <c r="D41" s="196">
        <v>7</v>
      </c>
      <c r="E41" s="196">
        <v>11</v>
      </c>
      <c r="F41" s="196">
        <v>2500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2500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</row>
    <row r="42" spans="3:49" x14ac:dyDescent="0.3">
      <c r="C42" s="196">
        <v>39</v>
      </c>
      <c r="D42" s="196">
        <v>8</v>
      </c>
      <c r="E42" s="196">
        <v>1</v>
      </c>
      <c r="F42" s="196">
        <v>13.6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9</v>
      </c>
      <c r="AF42" s="196">
        <v>1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2.6</v>
      </c>
      <c r="AT42" s="196">
        <v>0</v>
      </c>
      <c r="AU42" s="196">
        <v>0</v>
      </c>
      <c r="AV42" s="196">
        <v>0</v>
      </c>
      <c r="AW42" s="196">
        <v>1</v>
      </c>
    </row>
    <row r="43" spans="3:49" x14ac:dyDescent="0.3">
      <c r="C43" s="196">
        <v>39</v>
      </c>
      <c r="D43" s="196">
        <v>8</v>
      </c>
      <c r="E43" s="196">
        <v>2</v>
      </c>
      <c r="F43" s="196">
        <v>1527.5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910.5</v>
      </c>
      <c r="AF43" s="196">
        <v>184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321</v>
      </c>
      <c r="AT43" s="196">
        <v>0</v>
      </c>
      <c r="AU43" s="196">
        <v>0</v>
      </c>
      <c r="AV43" s="196">
        <v>0</v>
      </c>
      <c r="AW43" s="196">
        <v>112</v>
      </c>
    </row>
    <row r="44" spans="3:49" x14ac:dyDescent="0.3">
      <c r="C44" s="196">
        <v>39</v>
      </c>
      <c r="D44" s="196">
        <v>8</v>
      </c>
      <c r="E44" s="196">
        <v>6</v>
      </c>
      <c r="F44" s="196">
        <v>444327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289009</v>
      </c>
      <c r="AF44" s="196">
        <v>53800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80350</v>
      </c>
      <c r="AT44" s="196">
        <v>0</v>
      </c>
      <c r="AU44" s="196">
        <v>0</v>
      </c>
      <c r="AV44" s="196">
        <v>0</v>
      </c>
      <c r="AW44" s="196">
        <v>21168</v>
      </c>
    </row>
    <row r="45" spans="3:49" x14ac:dyDescent="0.3">
      <c r="C45" s="196">
        <v>39</v>
      </c>
      <c r="D45" s="196">
        <v>8</v>
      </c>
      <c r="E45" s="196">
        <v>11</v>
      </c>
      <c r="F45" s="196">
        <v>2500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2500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</row>
    <row r="46" spans="3:49" x14ac:dyDescent="0.3">
      <c r="C46" s="196">
        <v>39</v>
      </c>
      <c r="D46" s="196">
        <v>9</v>
      </c>
      <c r="E46" s="196">
        <v>1</v>
      </c>
      <c r="F46" s="196">
        <v>14.1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9.5</v>
      </c>
      <c r="AF46" s="196">
        <v>1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2.6</v>
      </c>
      <c r="AT46" s="196">
        <v>0</v>
      </c>
      <c r="AU46" s="196">
        <v>0</v>
      </c>
      <c r="AV46" s="196">
        <v>0</v>
      </c>
      <c r="AW46" s="196">
        <v>1</v>
      </c>
    </row>
    <row r="47" spans="3:49" x14ac:dyDescent="0.3">
      <c r="C47" s="196">
        <v>39</v>
      </c>
      <c r="D47" s="196">
        <v>9</v>
      </c>
      <c r="E47" s="196">
        <v>2</v>
      </c>
      <c r="F47" s="196">
        <v>1934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1273</v>
      </c>
      <c r="AF47" s="196">
        <v>116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369</v>
      </c>
      <c r="AT47" s="196">
        <v>0</v>
      </c>
      <c r="AU47" s="196">
        <v>0</v>
      </c>
      <c r="AV47" s="196">
        <v>0</v>
      </c>
      <c r="AW47" s="196">
        <v>176</v>
      </c>
    </row>
    <row r="48" spans="3:49" x14ac:dyDescent="0.3">
      <c r="C48" s="196">
        <v>39</v>
      </c>
      <c r="D48" s="196">
        <v>9</v>
      </c>
      <c r="E48" s="196">
        <v>6</v>
      </c>
      <c r="F48" s="196">
        <v>450193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291103</v>
      </c>
      <c r="AF48" s="196">
        <v>59060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79360</v>
      </c>
      <c r="AT48" s="196">
        <v>0</v>
      </c>
      <c r="AU48" s="196">
        <v>0</v>
      </c>
      <c r="AV48" s="196">
        <v>0</v>
      </c>
      <c r="AW48" s="196">
        <v>20670</v>
      </c>
    </row>
    <row r="49" spans="3:49" x14ac:dyDescent="0.3">
      <c r="C49" s="196">
        <v>39</v>
      </c>
      <c r="D49" s="196">
        <v>9</v>
      </c>
      <c r="E49" s="196">
        <v>9</v>
      </c>
      <c r="F49" s="196">
        <v>11652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7768</v>
      </c>
      <c r="AF49" s="196">
        <v>3884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</row>
    <row r="50" spans="3:49" x14ac:dyDescent="0.3">
      <c r="C50" s="196">
        <v>39</v>
      </c>
      <c r="D50" s="196">
        <v>9</v>
      </c>
      <c r="E50" s="196">
        <v>11</v>
      </c>
      <c r="F50" s="196">
        <v>2500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2500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</row>
    <row r="51" spans="3:49" x14ac:dyDescent="0.3">
      <c r="C51" s="196">
        <v>39</v>
      </c>
      <c r="D51" s="196">
        <v>10</v>
      </c>
      <c r="E51" s="196">
        <v>1</v>
      </c>
      <c r="F51" s="196">
        <v>13.1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8.5</v>
      </c>
      <c r="AF51" s="196">
        <v>1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2.6</v>
      </c>
      <c r="AT51" s="196">
        <v>0</v>
      </c>
      <c r="AU51" s="196">
        <v>0</v>
      </c>
      <c r="AV51" s="196">
        <v>0</v>
      </c>
      <c r="AW51" s="196">
        <v>1</v>
      </c>
    </row>
    <row r="52" spans="3:49" x14ac:dyDescent="0.3">
      <c r="C52" s="196">
        <v>39</v>
      </c>
      <c r="D52" s="196">
        <v>10</v>
      </c>
      <c r="E52" s="196">
        <v>2</v>
      </c>
      <c r="F52" s="196">
        <v>2169.75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1396.75</v>
      </c>
      <c r="AF52" s="196">
        <v>168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437</v>
      </c>
      <c r="AT52" s="196">
        <v>0</v>
      </c>
      <c r="AU52" s="196">
        <v>0</v>
      </c>
      <c r="AV52" s="196">
        <v>0</v>
      </c>
      <c r="AW52" s="196">
        <v>168</v>
      </c>
    </row>
    <row r="53" spans="3:49" x14ac:dyDescent="0.3">
      <c r="C53" s="196">
        <v>39</v>
      </c>
      <c r="D53" s="196">
        <v>10</v>
      </c>
      <c r="E53" s="196">
        <v>6</v>
      </c>
      <c r="F53" s="196">
        <v>444450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290862</v>
      </c>
      <c r="AF53" s="196">
        <v>53800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79118</v>
      </c>
      <c r="AT53" s="196">
        <v>0</v>
      </c>
      <c r="AU53" s="196">
        <v>0</v>
      </c>
      <c r="AV53" s="196">
        <v>0</v>
      </c>
      <c r="AW53" s="196">
        <v>20670</v>
      </c>
    </row>
    <row r="54" spans="3:49" x14ac:dyDescent="0.3">
      <c r="C54" s="196">
        <v>39</v>
      </c>
      <c r="D54" s="196">
        <v>10</v>
      </c>
      <c r="E54" s="196">
        <v>11</v>
      </c>
      <c r="F54" s="196">
        <v>2500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2500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 s="196">
        <v>0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</row>
    <row r="55" spans="3:49" x14ac:dyDescent="0.3">
      <c r="C55" s="196">
        <v>39</v>
      </c>
      <c r="D55" s="196">
        <v>11</v>
      </c>
      <c r="E55" s="196">
        <v>1</v>
      </c>
      <c r="F55" s="196">
        <v>13.1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  <c r="AE55" s="196">
        <v>8.5</v>
      </c>
      <c r="AF55" s="196">
        <v>1</v>
      </c>
      <c r="AG55" s="196">
        <v>0</v>
      </c>
      <c r="AH55" s="196">
        <v>0</v>
      </c>
      <c r="AI55" s="196">
        <v>0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 s="196">
        <v>0</v>
      </c>
      <c r="AP55" s="196">
        <v>0</v>
      </c>
      <c r="AQ55" s="196">
        <v>0</v>
      </c>
      <c r="AR55" s="196">
        <v>0</v>
      </c>
      <c r="AS55" s="196">
        <v>2.6</v>
      </c>
      <c r="AT55" s="196">
        <v>0</v>
      </c>
      <c r="AU55" s="196">
        <v>0</v>
      </c>
      <c r="AV55" s="196">
        <v>0</v>
      </c>
      <c r="AW55" s="196">
        <v>1</v>
      </c>
    </row>
    <row r="56" spans="3:49" x14ac:dyDescent="0.3">
      <c r="C56" s="196">
        <v>39</v>
      </c>
      <c r="D56" s="196">
        <v>11</v>
      </c>
      <c r="E56" s="196">
        <v>2</v>
      </c>
      <c r="F56" s="196">
        <v>2220.5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1426.5</v>
      </c>
      <c r="AF56" s="196">
        <v>172</v>
      </c>
      <c r="AG56" s="196">
        <v>0</v>
      </c>
      <c r="AH56" s="196">
        <v>0</v>
      </c>
      <c r="AI56" s="196">
        <v>0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 s="196">
        <v>0</v>
      </c>
      <c r="AP56" s="196">
        <v>0</v>
      </c>
      <c r="AQ56" s="196">
        <v>0</v>
      </c>
      <c r="AR56" s="196">
        <v>0</v>
      </c>
      <c r="AS56" s="196">
        <v>446</v>
      </c>
      <c r="AT56" s="196">
        <v>0</v>
      </c>
      <c r="AU56" s="196">
        <v>0</v>
      </c>
      <c r="AV56" s="196">
        <v>0</v>
      </c>
      <c r="AW56" s="196">
        <v>176</v>
      </c>
    </row>
    <row r="57" spans="3:49" x14ac:dyDescent="0.3">
      <c r="C57" s="196">
        <v>39</v>
      </c>
      <c r="D57" s="196">
        <v>11</v>
      </c>
      <c r="E57" s="196">
        <v>6</v>
      </c>
      <c r="F57" s="196">
        <v>564882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380268</v>
      </c>
      <c r="AF57" s="196">
        <v>53987</v>
      </c>
      <c r="AG57" s="196">
        <v>0</v>
      </c>
      <c r="AH57" s="196">
        <v>0</v>
      </c>
      <c r="AI57" s="196">
        <v>0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 s="196">
        <v>0</v>
      </c>
      <c r="AP57" s="196">
        <v>0</v>
      </c>
      <c r="AQ57" s="196">
        <v>0</v>
      </c>
      <c r="AR57" s="196">
        <v>0</v>
      </c>
      <c r="AS57" s="196">
        <v>103776</v>
      </c>
      <c r="AT57" s="196">
        <v>0</v>
      </c>
      <c r="AU57" s="196">
        <v>0</v>
      </c>
      <c r="AV57" s="196">
        <v>0</v>
      </c>
      <c r="AW57" s="196">
        <v>26851</v>
      </c>
    </row>
    <row r="58" spans="3:49" x14ac:dyDescent="0.3">
      <c r="C58" s="196">
        <v>39</v>
      </c>
      <c r="D58" s="196">
        <v>11</v>
      </c>
      <c r="E58" s="196">
        <v>9</v>
      </c>
      <c r="F58" s="196">
        <v>119611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88880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 s="196">
        <v>0</v>
      </c>
      <c r="AP58" s="196">
        <v>0</v>
      </c>
      <c r="AQ58" s="196">
        <v>0</v>
      </c>
      <c r="AR58" s="196">
        <v>0</v>
      </c>
      <c r="AS58" s="196">
        <v>24550</v>
      </c>
      <c r="AT58" s="196">
        <v>0</v>
      </c>
      <c r="AU58" s="196">
        <v>0</v>
      </c>
      <c r="AV58" s="196">
        <v>0</v>
      </c>
      <c r="AW58" s="196">
        <v>6181</v>
      </c>
    </row>
    <row r="59" spans="3:49" x14ac:dyDescent="0.3">
      <c r="C59" s="196">
        <v>39</v>
      </c>
      <c r="D59" s="196">
        <v>11</v>
      </c>
      <c r="E59" s="196">
        <v>11</v>
      </c>
      <c r="F59" s="196">
        <v>2500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2500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0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 s="196">
        <v>0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</row>
    <row r="60" spans="3:49" x14ac:dyDescent="0.3">
      <c r="C60" s="196">
        <v>39</v>
      </c>
      <c r="D60" s="196">
        <v>12</v>
      </c>
      <c r="E60" s="196">
        <v>1</v>
      </c>
      <c r="F60" s="196">
        <v>13.1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8.5</v>
      </c>
      <c r="AF60" s="196">
        <v>1</v>
      </c>
      <c r="AG60" s="196">
        <v>0</v>
      </c>
      <c r="AH60" s="196">
        <v>0</v>
      </c>
      <c r="AI60" s="196">
        <v>0</v>
      </c>
      <c r="AJ60" s="196">
        <v>0</v>
      </c>
      <c r="AK60" s="196">
        <v>0</v>
      </c>
      <c r="AL60" s="196">
        <v>0</v>
      </c>
      <c r="AM60" s="196">
        <v>0</v>
      </c>
      <c r="AN60" s="196">
        <v>0</v>
      </c>
      <c r="AO60" s="196">
        <v>0</v>
      </c>
      <c r="AP60" s="196">
        <v>0</v>
      </c>
      <c r="AQ60" s="196">
        <v>0</v>
      </c>
      <c r="AR60" s="196">
        <v>0</v>
      </c>
      <c r="AS60" s="196">
        <v>2.6</v>
      </c>
      <c r="AT60" s="196">
        <v>0</v>
      </c>
      <c r="AU60" s="196">
        <v>0</v>
      </c>
      <c r="AV60" s="196">
        <v>0</v>
      </c>
      <c r="AW60" s="196">
        <v>1</v>
      </c>
    </row>
    <row r="61" spans="3:49" x14ac:dyDescent="0.3">
      <c r="C61" s="196">
        <v>39</v>
      </c>
      <c r="D61" s="196">
        <v>12</v>
      </c>
      <c r="E61" s="196">
        <v>2</v>
      </c>
      <c r="F61" s="196">
        <v>1726.75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  <c r="AE61" s="196">
        <v>1149.75</v>
      </c>
      <c r="AF61" s="196">
        <v>144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0</v>
      </c>
      <c r="AM61" s="196">
        <v>0</v>
      </c>
      <c r="AN61" s="196">
        <v>0</v>
      </c>
      <c r="AO61" s="196">
        <v>0</v>
      </c>
      <c r="AP61" s="196">
        <v>0</v>
      </c>
      <c r="AQ61" s="196">
        <v>0</v>
      </c>
      <c r="AR61" s="196">
        <v>0</v>
      </c>
      <c r="AS61" s="196">
        <v>293</v>
      </c>
      <c r="AT61" s="196">
        <v>0</v>
      </c>
      <c r="AU61" s="196">
        <v>0</v>
      </c>
      <c r="AV61" s="196">
        <v>0</v>
      </c>
      <c r="AW61" s="196">
        <v>140</v>
      </c>
    </row>
    <row r="62" spans="3:49" x14ac:dyDescent="0.3">
      <c r="C62" s="196">
        <v>39</v>
      </c>
      <c r="D62" s="196">
        <v>12</v>
      </c>
      <c r="E62" s="196">
        <v>6</v>
      </c>
      <c r="F62" s="196">
        <v>544518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  <c r="AE62" s="196">
        <v>341508</v>
      </c>
      <c r="AF62" s="196">
        <v>94098</v>
      </c>
      <c r="AG62" s="196">
        <v>0</v>
      </c>
      <c r="AH62" s="196">
        <v>0</v>
      </c>
      <c r="AI62" s="196">
        <v>0</v>
      </c>
      <c r="AJ62" s="196">
        <v>0</v>
      </c>
      <c r="AK62" s="196">
        <v>0</v>
      </c>
      <c r="AL62" s="196">
        <v>0</v>
      </c>
      <c r="AM62" s="196">
        <v>0</v>
      </c>
      <c r="AN62" s="196">
        <v>0</v>
      </c>
      <c r="AO62" s="196">
        <v>0</v>
      </c>
      <c r="AP62" s="196">
        <v>0</v>
      </c>
      <c r="AQ62" s="196">
        <v>0</v>
      </c>
      <c r="AR62" s="196">
        <v>0</v>
      </c>
      <c r="AS62" s="196">
        <v>82013</v>
      </c>
      <c r="AT62" s="196">
        <v>0</v>
      </c>
      <c r="AU62" s="196">
        <v>0</v>
      </c>
      <c r="AV62" s="196">
        <v>0</v>
      </c>
      <c r="AW62" s="196">
        <v>26899</v>
      </c>
    </row>
    <row r="63" spans="3:49" x14ac:dyDescent="0.3">
      <c r="C63" s="196">
        <v>39</v>
      </c>
      <c r="D63" s="196">
        <v>12</v>
      </c>
      <c r="E63" s="196">
        <v>9</v>
      </c>
      <c r="F63" s="196">
        <v>114714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196">
        <v>54307</v>
      </c>
      <c r="AF63" s="196">
        <v>38807</v>
      </c>
      <c r="AG63" s="196">
        <v>0</v>
      </c>
      <c r="AH63" s="196">
        <v>0</v>
      </c>
      <c r="AI63" s="196">
        <v>0</v>
      </c>
      <c r="AJ63" s="196">
        <v>0</v>
      </c>
      <c r="AK63" s="196">
        <v>0</v>
      </c>
      <c r="AL63" s="196">
        <v>0</v>
      </c>
      <c r="AM63" s="196">
        <v>0</v>
      </c>
      <c r="AN63" s="196">
        <v>0</v>
      </c>
      <c r="AO63" s="196">
        <v>0</v>
      </c>
      <c r="AP63" s="196">
        <v>0</v>
      </c>
      <c r="AQ63" s="196">
        <v>0</v>
      </c>
      <c r="AR63" s="196">
        <v>0</v>
      </c>
      <c r="AS63" s="196">
        <v>15600</v>
      </c>
      <c r="AT63" s="196">
        <v>0</v>
      </c>
      <c r="AU63" s="196">
        <v>0</v>
      </c>
      <c r="AV63" s="196">
        <v>0</v>
      </c>
      <c r="AW63" s="196">
        <v>6000</v>
      </c>
    </row>
    <row r="64" spans="3:49" x14ac:dyDescent="0.3">
      <c r="C64" s="196">
        <v>39</v>
      </c>
      <c r="D64" s="196">
        <v>12</v>
      </c>
      <c r="E64" s="196">
        <v>11</v>
      </c>
      <c r="F64" s="196">
        <v>2500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2500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0</v>
      </c>
      <c r="AJ64" s="196">
        <v>0</v>
      </c>
      <c r="AK64" s="196">
        <v>0</v>
      </c>
      <c r="AL64" s="196">
        <v>0</v>
      </c>
      <c r="AM64" s="196">
        <v>0</v>
      </c>
      <c r="AN64" s="196">
        <v>0</v>
      </c>
      <c r="AO64" s="196">
        <v>0</v>
      </c>
      <c r="AP64" s="196">
        <v>0</v>
      </c>
      <c r="AQ64" s="196">
        <v>0</v>
      </c>
      <c r="AR64" s="196">
        <v>0</v>
      </c>
      <c r="AS64" s="196">
        <v>0</v>
      </c>
      <c r="AT64" s="196">
        <v>0</v>
      </c>
      <c r="AU64" s="196">
        <v>0</v>
      </c>
      <c r="AV64" s="196">
        <v>0</v>
      </c>
      <c r="AW64" s="19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08" t="s">
        <v>338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6" t="s">
        <v>111</v>
      </c>
      <c r="B3" s="187">
        <f>SUBTOTAL(9,B6:B1048576)/2</f>
        <v>4068478</v>
      </c>
      <c r="C3" s="188">
        <f t="shared" ref="C3:R3" si="0">SUBTOTAL(9,C6:C1048576)</f>
        <v>2</v>
      </c>
      <c r="D3" s="188">
        <f>SUBTOTAL(9,D6:D1048576)/2</f>
        <v>4082938.0199999996</v>
      </c>
      <c r="E3" s="188">
        <f t="shared" si="0"/>
        <v>2.0071083191306429</v>
      </c>
      <c r="F3" s="188">
        <f>SUBTOTAL(9,F6:F1048576)/2</f>
        <v>4703999.6500000004</v>
      </c>
      <c r="G3" s="189">
        <f>IF(B3&lt;&gt;0,F3/B3,"")</f>
        <v>1.1562062397781185</v>
      </c>
      <c r="H3" s="190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91" t="str">
        <f>IF(H3&lt;&gt;0,L3/H3,"")</f>
        <v/>
      </c>
      <c r="N3" s="187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175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thickBot="1" x14ac:dyDescent="0.35">
      <c r="A6" s="414" t="s">
        <v>337</v>
      </c>
      <c r="B6" s="412">
        <v>4068478</v>
      </c>
      <c r="C6" s="413">
        <v>1</v>
      </c>
      <c r="D6" s="412">
        <v>4082938.0199999996</v>
      </c>
      <c r="E6" s="413">
        <v>1.0035541595653215</v>
      </c>
      <c r="F6" s="412">
        <v>4703999.6500000004</v>
      </c>
      <c r="G6" s="254">
        <v>1.1562062397781185</v>
      </c>
      <c r="H6" s="412"/>
      <c r="I6" s="413"/>
      <c r="J6" s="412"/>
      <c r="K6" s="413"/>
      <c r="L6" s="412"/>
      <c r="M6" s="254"/>
      <c r="N6" s="412"/>
      <c r="O6" s="413"/>
      <c r="P6" s="412"/>
      <c r="Q6" s="413"/>
      <c r="R6" s="412"/>
      <c r="S6" s="255"/>
    </row>
    <row r="7" spans="1:19" ht="14.4" customHeight="1" thickBot="1" x14ac:dyDescent="0.35"/>
    <row r="8" spans="1:19" ht="14.4" customHeight="1" thickBot="1" x14ac:dyDescent="0.35">
      <c r="A8" s="414" t="s">
        <v>318</v>
      </c>
      <c r="B8" s="412">
        <v>4068478</v>
      </c>
      <c r="C8" s="413">
        <v>1</v>
      </c>
      <c r="D8" s="412">
        <v>4082938.0199999996</v>
      </c>
      <c r="E8" s="413">
        <v>1.0035541595653215</v>
      </c>
      <c r="F8" s="412">
        <v>4703999.6500000004</v>
      </c>
      <c r="G8" s="254">
        <v>1.1562062397781185</v>
      </c>
      <c r="H8" s="412"/>
      <c r="I8" s="413"/>
      <c r="J8" s="412"/>
      <c r="K8" s="413"/>
      <c r="L8" s="412"/>
      <c r="M8" s="254"/>
      <c r="N8" s="412"/>
      <c r="O8" s="413"/>
      <c r="P8" s="412"/>
      <c r="Q8" s="413"/>
      <c r="R8" s="412"/>
      <c r="S8" s="255"/>
    </row>
    <row r="9" spans="1:19" ht="14.4" customHeight="1" x14ac:dyDescent="0.3">
      <c r="A9" s="415" t="s">
        <v>339</v>
      </c>
    </row>
    <row r="10" spans="1:19" ht="14.4" customHeight="1" x14ac:dyDescent="0.3">
      <c r="A10" s="416" t="s">
        <v>340</v>
      </c>
    </row>
    <row r="11" spans="1:19" ht="14.4" customHeight="1" x14ac:dyDescent="0.3">
      <c r="A11" s="415" t="s">
        <v>341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79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08" t="s">
        <v>359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6" t="s">
        <v>111</v>
      </c>
      <c r="B3" s="258">
        <f t="shared" ref="B3:G3" si="0">SUBTOTAL(9,B6:B1048576)</f>
        <v>11629</v>
      </c>
      <c r="C3" s="259">
        <f t="shared" si="0"/>
        <v>11093</v>
      </c>
      <c r="D3" s="259">
        <f t="shared" si="0"/>
        <v>12599</v>
      </c>
      <c r="E3" s="190">
        <f t="shared" si="0"/>
        <v>4068478</v>
      </c>
      <c r="F3" s="188">
        <f t="shared" si="0"/>
        <v>4082938.02</v>
      </c>
      <c r="G3" s="260">
        <f t="shared" si="0"/>
        <v>4703999.6500000004</v>
      </c>
    </row>
    <row r="4" spans="1:7" ht="14.4" customHeight="1" x14ac:dyDescent="0.3">
      <c r="A4" s="309" t="s">
        <v>112</v>
      </c>
      <c r="B4" s="310" t="s">
        <v>172</v>
      </c>
      <c r="C4" s="311"/>
      <c r="D4" s="311"/>
      <c r="E4" s="313" t="s">
        <v>85</v>
      </c>
      <c r="F4" s="314"/>
      <c r="G4" s="315"/>
    </row>
    <row r="5" spans="1:7" ht="14.4" customHeight="1" thickBot="1" x14ac:dyDescent="0.35">
      <c r="A5" s="408"/>
      <c r="B5" s="409">
        <v>2014</v>
      </c>
      <c r="C5" s="410">
        <v>2015</v>
      </c>
      <c r="D5" s="410">
        <v>2016</v>
      </c>
      <c r="E5" s="409">
        <v>2014</v>
      </c>
      <c r="F5" s="410">
        <v>2015</v>
      </c>
      <c r="G5" s="410">
        <v>2016</v>
      </c>
    </row>
    <row r="6" spans="1:7" ht="14.4" customHeight="1" x14ac:dyDescent="0.3">
      <c r="A6" s="425" t="s">
        <v>342</v>
      </c>
      <c r="B6" s="371">
        <v>762</v>
      </c>
      <c r="C6" s="371">
        <v>645</v>
      </c>
      <c r="D6" s="371">
        <v>511</v>
      </c>
      <c r="E6" s="417">
        <v>254356</v>
      </c>
      <c r="F6" s="417">
        <v>224769</v>
      </c>
      <c r="G6" s="418">
        <v>193199.33000000002</v>
      </c>
    </row>
    <row r="7" spans="1:7" ht="14.4" customHeight="1" x14ac:dyDescent="0.3">
      <c r="A7" s="426" t="s">
        <v>343</v>
      </c>
      <c r="B7" s="420">
        <v>695</v>
      </c>
      <c r="C7" s="420">
        <v>512</v>
      </c>
      <c r="D7" s="420">
        <v>855</v>
      </c>
      <c r="E7" s="421">
        <v>247624</v>
      </c>
      <c r="F7" s="421">
        <v>174296</v>
      </c>
      <c r="G7" s="422">
        <v>296318.99</v>
      </c>
    </row>
    <row r="8" spans="1:7" ht="14.4" customHeight="1" x14ac:dyDescent="0.3">
      <c r="A8" s="426" t="s">
        <v>344</v>
      </c>
      <c r="B8" s="420">
        <v>1533</v>
      </c>
      <c r="C8" s="420">
        <v>1441</v>
      </c>
      <c r="D8" s="420">
        <v>1278</v>
      </c>
      <c r="E8" s="421">
        <v>571061</v>
      </c>
      <c r="F8" s="421">
        <v>558706</v>
      </c>
      <c r="G8" s="422">
        <v>536386</v>
      </c>
    </row>
    <row r="9" spans="1:7" ht="14.4" customHeight="1" x14ac:dyDescent="0.3">
      <c r="A9" s="426" t="s">
        <v>345</v>
      </c>
      <c r="B9" s="420">
        <v>1043</v>
      </c>
      <c r="C9" s="420">
        <v>1063</v>
      </c>
      <c r="D9" s="420">
        <v>331</v>
      </c>
      <c r="E9" s="421">
        <v>395415</v>
      </c>
      <c r="F9" s="421">
        <v>479425</v>
      </c>
      <c r="G9" s="422">
        <v>157457</v>
      </c>
    </row>
    <row r="10" spans="1:7" ht="14.4" customHeight="1" x14ac:dyDescent="0.3">
      <c r="A10" s="426" t="s">
        <v>346</v>
      </c>
      <c r="B10" s="420">
        <v>1361</v>
      </c>
      <c r="C10" s="420">
        <v>1429</v>
      </c>
      <c r="D10" s="420">
        <v>1742</v>
      </c>
      <c r="E10" s="421">
        <v>453682</v>
      </c>
      <c r="F10" s="421">
        <v>488933.66000000003</v>
      </c>
      <c r="G10" s="422">
        <v>619485.97</v>
      </c>
    </row>
    <row r="11" spans="1:7" ht="14.4" customHeight="1" x14ac:dyDescent="0.3">
      <c r="A11" s="426" t="s">
        <v>347</v>
      </c>
      <c r="B11" s="420">
        <v>20</v>
      </c>
      <c r="C11" s="420"/>
      <c r="D11" s="420"/>
      <c r="E11" s="421">
        <v>6440</v>
      </c>
      <c r="F11" s="421"/>
      <c r="G11" s="422"/>
    </row>
    <row r="12" spans="1:7" ht="14.4" customHeight="1" x14ac:dyDescent="0.3">
      <c r="A12" s="426" t="s">
        <v>348</v>
      </c>
      <c r="B12" s="420"/>
      <c r="C12" s="420"/>
      <c r="D12" s="420">
        <v>126</v>
      </c>
      <c r="E12" s="421"/>
      <c r="F12" s="421"/>
      <c r="G12" s="422">
        <v>55346</v>
      </c>
    </row>
    <row r="13" spans="1:7" ht="14.4" customHeight="1" x14ac:dyDescent="0.3">
      <c r="A13" s="426" t="s">
        <v>349</v>
      </c>
      <c r="B13" s="420">
        <v>1557</v>
      </c>
      <c r="C13" s="420">
        <v>1518</v>
      </c>
      <c r="D13" s="420">
        <v>1524</v>
      </c>
      <c r="E13" s="421">
        <v>520217</v>
      </c>
      <c r="F13" s="421">
        <v>533978</v>
      </c>
      <c r="G13" s="422">
        <v>583173</v>
      </c>
    </row>
    <row r="14" spans="1:7" ht="14.4" customHeight="1" x14ac:dyDescent="0.3">
      <c r="A14" s="426" t="s">
        <v>350</v>
      </c>
      <c r="B14" s="420">
        <v>332</v>
      </c>
      <c r="C14" s="420">
        <v>632</v>
      </c>
      <c r="D14" s="420">
        <v>704</v>
      </c>
      <c r="E14" s="421">
        <v>109318</v>
      </c>
      <c r="F14" s="421">
        <v>224002.99</v>
      </c>
      <c r="G14" s="422">
        <v>251063.97</v>
      </c>
    </row>
    <row r="15" spans="1:7" ht="14.4" customHeight="1" x14ac:dyDescent="0.3">
      <c r="A15" s="426" t="s">
        <v>351</v>
      </c>
      <c r="B15" s="420">
        <v>427</v>
      </c>
      <c r="C15" s="420">
        <v>589</v>
      </c>
      <c r="D15" s="420">
        <v>682</v>
      </c>
      <c r="E15" s="421">
        <v>147504</v>
      </c>
      <c r="F15" s="421">
        <v>193909.34000000003</v>
      </c>
      <c r="G15" s="422">
        <v>234436.02</v>
      </c>
    </row>
    <row r="16" spans="1:7" ht="14.4" customHeight="1" x14ac:dyDescent="0.3">
      <c r="A16" s="426" t="s">
        <v>352</v>
      </c>
      <c r="B16" s="420">
        <v>1304</v>
      </c>
      <c r="C16" s="420">
        <v>375</v>
      </c>
      <c r="D16" s="420"/>
      <c r="E16" s="421">
        <v>420314</v>
      </c>
      <c r="F16" s="421">
        <v>120113</v>
      </c>
      <c r="G16" s="422"/>
    </row>
    <row r="17" spans="1:7" ht="14.4" customHeight="1" x14ac:dyDescent="0.3">
      <c r="A17" s="426" t="s">
        <v>353</v>
      </c>
      <c r="B17" s="420"/>
      <c r="C17" s="420">
        <v>391</v>
      </c>
      <c r="D17" s="420">
        <v>1458</v>
      </c>
      <c r="E17" s="421"/>
      <c r="F17" s="421">
        <v>121262.01</v>
      </c>
      <c r="G17" s="422">
        <v>457062</v>
      </c>
    </row>
    <row r="18" spans="1:7" ht="14.4" customHeight="1" x14ac:dyDescent="0.3">
      <c r="A18" s="426" t="s">
        <v>354</v>
      </c>
      <c r="B18" s="420">
        <v>171</v>
      </c>
      <c r="C18" s="420">
        <v>154</v>
      </c>
      <c r="D18" s="420">
        <v>202</v>
      </c>
      <c r="E18" s="421">
        <v>52180</v>
      </c>
      <c r="F18" s="421">
        <v>49742</v>
      </c>
      <c r="G18" s="422">
        <v>69892</v>
      </c>
    </row>
    <row r="19" spans="1:7" ht="14.4" customHeight="1" x14ac:dyDescent="0.3">
      <c r="A19" s="426" t="s">
        <v>355</v>
      </c>
      <c r="B19" s="420">
        <v>1071</v>
      </c>
      <c r="C19" s="420">
        <v>1176</v>
      </c>
      <c r="D19" s="420">
        <v>1368</v>
      </c>
      <c r="E19" s="421">
        <v>386271</v>
      </c>
      <c r="F19" s="421">
        <v>454846.34</v>
      </c>
      <c r="G19" s="422">
        <v>526448.69999999995</v>
      </c>
    </row>
    <row r="20" spans="1:7" ht="14.4" customHeight="1" x14ac:dyDescent="0.3">
      <c r="A20" s="426" t="s">
        <v>356</v>
      </c>
      <c r="B20" s="420">
        <v>871</v>
      </c>
      <c r="C20" s="420">
        <v>740</v>
      </c>
      <c r="D20" s="420">
        <v>1332</v>
      </c>
      <c r="E20" s="421">
        <v>339496</v>
      </c>
      <c r="F20" s="421">
        <v>290940.01000000007</v>
      </c>
      <c r="G20" s="422">
        <v>513514.67</v>
      </c>
    </row>
    <row r="21" spans="1:7" ht="14.4" customHeight="1" x14ac:dyDescent="0.3">
      <c r="A21" s="426" t="s">
        <v>357</v>
      </c>
      <c r="B21" s="420">
        <v>436</v>
      </c>
      <c r="C21" s="420">
        <v>132</v>
      </c>
      <c r="D21" s="420"/>
      <c r="E21" s="421">
        <v>140020</v>
      </c>
      <c r="F21" s="421">
        <v>42859</v>
      </c>
      <c r="G21" s="422"/>
    </row>
    <row r="22" spans="1:7" ht="14.4" customHeight="1" thickBot="1" x14ac:dyDescent="0.35">
      <c r="A22" s="427" t="s">
        <v>358</v>
      </c>
      <c r="B22" s="377">
        <v>46</v>
      </c>
      <c r="C22" s="377">
        <v>296</v>
      </c>
      <c r="D22" s="377">
        <v>486</v>
      </c>
      <c r="E22" s="423">
        <v>24580</v>
      </c>
      <c r="F22" s="423">
        <v>125155.67</v>
      </c>
      <c r="G22" s="424">
        <v>210215.99999999997</v>
      </c>
    </row>
    <row r="23" spans="1:7" ht="14.4" customHeight="1" x14ac:dyDescent="0.3">
      <c r="A23" s="415" t="s">
        <v>339</v>
      </c>
    </row>
    <row r="24" spans="1:7" ht="14.4" customHeight="1" x14ac:dyDescent="0.3">
      <c r="A24" s="416" t="s">
        <v>340</v>
      </c>
    </row>
    <row r="25" spans="1:7" ht="14.4" customHeight="1" x14ac:dyDescent="0.3">
      <c r="A25" s="415" t="s">
        <v>341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79" customWidth="1"/>
    <col min="8" max="9" width="9.33203125" style="105" hidden="1" customWidth="1"/>
    <col min="10" max="11" width="11.109375" style="179" customWidth="1"/>
    <col min="12" max="13" width="9.33203125" style="105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390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263"/>
      <c r="C2" s="106"/>
      <c r="D2" s="257"/>
      <c r="E2" s="106"/>
      <c r="F2" s="194"/>
      <c r="G2" s="194"/>
      <c r="H2" s="106"/>
      <c r="I2" s="106"/>
      <c r="J2" s="194"/>
      <c r="K2" s="194"/>
      <c r="L2" s="106"/>
      <c r="M2" s="106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11629</v>
      </c>
      <c r="G3" s="78">
        <f t="shared" si="0"/>
        <v>4068478</v>
      </c>
      <c r="H3" s="58"/>
      <c r="I3" s="58"/>
      <c r="J3" s="78">
        <f t="shared" si="0"/>
        <v>11093</v>
      </c>
      <c r="K3" s="78">
        <f t="shared" si="0"/>
        <v>4082938.02</v>
      </c>
      <c r="L3" s="58"/>
      <c r="M3" s="58"/>
      <c r="N3" s="78">
        <f t="shared" si="0"/>
        <v>12599</v>
      </c>
      <c r="O3" s="78">
        <f t="shared" si="0"/>
        <v>4703999.6500000004</v>
      </c>
      <c r="P3" s="59">
        <f>IF(G3=0,0,O3/G3)</f>
        <v>1.1562062397781185</v>
      </c>
      <c r="Q3" s="79">
        <f>IF(N3=0,0,O3/N3)</f>
        <v>373.36293753472501</v>
      </c>
    </row>
    <row r="4" spans="1:17" ht="14.4" customHeight="1" x14ac:dyDescent="0.3">
      <c r="A4" s="317" t="s">
        <v>81</v>
      </c>
      <c r="B4" s="324" t="s">
        <v>0</v>
      </c>
      <c r="C4" s="318" t="s">
        <v>82</v>
      </c>
      <c r="D4" s="323" t="s">
        <v>57</v>
      </c>
      <c r="E4" s="319" t="s">
        <v>56</v>
      </c>
      <c r="F4" s="320">
        <v>2014</v>
      </c>
      <c r="G4" s="321"/>
      <c r="H4" s="76"/>
      <c r="I4" s="76"/>
      <c r="J4" s="320">
        <v>2015</v>
      </c>
      <c r="K4" s="321"/>
      <c r="L4" s="76"/>
      <c r="M4" s="76"/>
      <c r="N4" s="320">
        <v>2016</v>
      </c>
      <c r="O4" s="321"/>
      <c r="P4" s="322" t="s">
        <v>2</v>
      </c>
      <c r="Q4" s="316" t="s">
        <v>84</v>
      </c>
    </row>
    <row r="5" spans="1:17" ht="14.4" customHeight="1" thickBot="1" x14ac:dyDescent="0.35">
      <c r="A5" s="428"/>
      <c r="B5" s="429"/>
      <c r="C5" s="430"/>
      <c r="D5" s="431"/>
      <c r="E5" s="432"/>
      <c r="F5" s="433" t="s">
        <v>58</v>
      </c>
      <c r="G5" s="434" t="s">
        <v>14</v>
      </c>
      <c r="H5" s="435"/>
      <c r="I5" s="435"/>
      <c r="J5" s="433" t="s">
        <v>58</v>
      </c>
      <c r="K5" s="434" t="s">
        <v>14</v>
      </c>
      <c r="L5" s="435"/>
      <c r="M5" s="435"/>
      <c r="N5" s="433" t="s">
        <v>58</v>
      </c>
      <c r="O5" s="434" t="s">
        <v>14</v>
      </c>
      <c r="P5" s="436"/>
      <c r="Q5" s="437"/>
    </row>
    <row r="6" spans="1:17" ht="14.4" customHeight="1" x14ac:dyDescent="0.3">
      <c r="A6" s="367" t="s">
        <v>360</v>
      </c>
      <c r="B6" s="368" t="s">
        <v>318</v>
      </c>
      <c r="C6" s="368" t="s">
        <v>361</v>
      </c>
      <c r="D6" s="368" t="s">
        <v>362</v>
      </c>
      <c r="E6" s="368" t="s">
        <v>363</v>
      </c>
      <c r="F6" s="371">
        <v>1</v>
      </c>
      <c r="G6" s="371">
        <v>34</v>
      </c>
      <c r="H6" s="368">
        <v>1</v>
      </c>
      <c r="I6" s="368">
        <v>34</v>
      </c>
      <c r="J6" s="371"/>
      <c r="K6" s="371"/>
      <c r="L6" s="368"/>
      <c r="M6" s="368"/>
      <c r="N6" s="371"/>
      <c r="O6" s="371"/>
      <c r="P6" s="438"/>
      <c r="Q6" s="372"/>
    </row>
    <row r="7" spans="1:17" ht="14.4" customHeight="1" x14ac:dyDescent="0.3">
      <c r="A7" s="419" t="s">
        <v>360</v>
      </c>
      <c r="B7" s="439" t="s">
        <v>318</v>
      </c>
      <c r="C7" s="439" t="s">
        <v>361</v>
      </c>
      <c r="D7" s="439" t="s">
        <v>364</v>
      </c>
      <c r="E7" s="439" t="s">
        <v>365</v>
      </c>
      <c r="F7" s="420">
        <v>79</v>
      </c>
      <c r="G7" s="420">
        <v>5510</v>
      </c>
      <c r="H7" s="439">
        <v>1</v>
      </c>
      <c r="I7" s="439">
        <v>69.74683544303798</v>
      </c>
      <c r="J7" s="420">
        <v>100</v>
      </c>
      <c r="K7" s="420">
        <v>7000</v>
      </c>
      <c r="L7" s="439">
        <v>1.2704174228675136</v>
      </c>
      <c r="M7" s="439">
        <v>70</v>
      </c>
      <c r="N7" s="420">
        <v>253</v>
      </c>
      <c r="O7" s="420">
        <v>18722</v>
      </c>
      <c r="P7" s="440">
        <v>3.3978221415607988</v>
      </c>
      <c r="Q7" s="441">
        <v>74</v>
      </c>
    </row>
    <row r="8" spans="1:17" ht="14.4" customHeight="1" x14ac:dyDescent="0.3">
      <c r="A8" s="419" t="s">
        <v>360</v>
      </c>
      <c r="B8" s="439" t="s">
        <v>318</v>
      </c>
      <c r="C8" s="439" t="s">
        <v>361</v>
      </c>
      <c r="D8" s="439" t="s">
        <v>366</v>
      </c>
      <c r="E8" s="439" t="s">
        <v>367</v>
      </c>
      <c r="F8" s="420">
        <v>6680</v>
      </c>
      <c r="G8" s="420">
        <v>2145401</v>
      </c>
      <c r="H8" s="439">
        <v>1</v>
      </c>
      <c r="I8" s="439">
        <v>321.16781437125746</v>
      </c>
      <c r="J8" s="420">
        <v>6394</v>
      </c>
      <c r="K8" s="420">
        <v>2065262</v>
      </c>
      <c r="L8" s="439">
        <v>0.96264614400757709</v>
      </c>
      <c r="M8" s="439">
        <v>323</v>
      </c>
      <c r="N8" s="420">
        <v>8366</v>
      </c>
      <c r="O8" s="420">
        <v>2894636</v>
      </c>
      <c r="P8" s="440">
        <v>1.3492284193024986</v>
      </c>
      <c r="Q8" s="441">
        <v>346</v>
      </c>
    </row>
    <row r="9" spans="1:17" ht="14.4" customHeight="1" x14ac:dyDescent="0.3">
      <c r="A9" s="419" t="s">
        <v>360</v>
      </c>
      <c r="B9" s="439" t="s">
        <v>318</v>
      </c>
      <c r="C9" s="439" t="s">
        <v>361</v>
      </c>
      <c r="D9" s="439" t="s">
        <v>368</v>
      </c>
      <c r="E9" s="439" t="s">
        <v>369</v>
      </c>
      <c r="F9" s="420"/>
      <c r="G9" s="420"/>
      <c r="H9" s="439"/>
      <c r="I9" s="439"/>
      <c r="J9" s="420">
        <v>92</v>
      </c>
      <c r="K9" s="420">
        <v>19780</v>
      </c>
      <c r="L9" s="439"/>
      <c r="M9" s="439">
        <v>215</v>
      </c>
      <c r="N9" s="420"/>
      <c r="O9" s="420"/>
      <c r="P9" s="440"/>
      <c r="Q9" s="441"/>
    </row>
    <row r="10" spans="1:17" ht="14.4" customHeight="1" x14ac:dyDescent="0.3">
      <c r="A10" s="419" t="s">
        <v>360</v>
      </c>
      <c r="B10" s="439" t="s">
        <v>318</v>
      </c>
      <c r="C10" s="439" t="s">
        <v>361</v>
      </c>
      <c r="D10" s="439" t="s">
        <v>370</v>
      </c>
      <c r="E10" s="439" t="s">
        <v>371</v>
      </c>
      <c r="F10" s="420">
        <v>1536</v>
      </c>
      <c r="G10" s="420">
        <v>493578</v>
      </c>
      <c r="H10" s="439">
        <v>1</v>
      </c>
      <c r="I10" s="439">
        <v>321.33984375</v>
      </c>
      <c r="J10" s="420">
        <v>1207</v>
      </c>
      <c r="K10" s="420">
        <v>389861</v>
      </c>
      <c r="L10" s="439">
        <v>0.78986705242129918</v>
      </c>
      <c r="M10" s="439">
        <v>323</v>
      </c>
      <c r="N10" s="420">
        <v>1107</v>
      </c>
      <c r="O10" s="420">
        <v>383022</v>
      </c>
      <c r="P10" s="440">
        <v>0.77601108639363992</v>
      </c>
      <c r="Q10" s="441">
        <v>346</v>
      </c>
    </row>
    <row r="11" spans="1:17" ht="14.4" customHeight="1" x14ac:dyDescent="0.3">
      <c r="A11" s="419" t="s">
        <v>360</v>
      </c>
      <c r="B11" s="439" t="s">
        <v>318</v>
      </c>
      <c r="C11" s="439" t="s">
        <v>361</v>
      </c>
      <c r="D11" s="439" t="s">
        <v>372</v>
      </c>
      <c r="E11" s="439" t="s">
        <v>373</v>
      </c>
      <c r="F11" s="420">
        <v>585</v>
      </c>
      <c r="G11" s="420">
        <v>187959</v>
      </c>
      <c r="H11" s="439">
        <v>1</v>
      </c>
      <c r="I11" s="439">
        <v>321.29743589743589</v>
      </c>
      <c r="J11" s="420">
        <v>434</v>
      </c>
      <c r="K11" s="420">
        <v>140182</v>
      </c>
      <c r="L11" s="439">
        <v>0.74581158656941138</v>
      </c>
      <c r="M11" s="439">
        <v>323</v>
      </c>
      <c r="N11" s="420">
        <v>161</v>
      </c>
      <c r="O11" s="420">
        <v>55706</v>
      </c>
      <c r="P11" s="440">
        <v>0.29637314520719943</v>
      </c>
      <c r="Q11" s="441">
        <v>346</v>
      </c>
    </row>
    <row r="12" spans="1:17" ht="14.4" customHeight="1" x14ac:dyDescent="0.3">
      <c r="A12" s="419" t="s">
        <v>360</v>
      </c>
      <c r="B12" s="439" t="s">
        <v>318</v>
      </c>
      <c r="C12" s="439" t="s">
        <v>361</v>
      </c>
      <c r="D12" s="439" t="s">
        <v>374</v>
      </c>
      <c r="E12" s="439" t="s">
        <v>375</v>
      </c>
      <c r="F12" s="420">
        <v>2</v>
      </c>
      <c r="G12" s="420">
        <v>0</v>
      </c>
      <c r="H12" s="439"/>
      <c r="I12" s="439">
        <v>0</v>
      </c>
      <c r="J12" s="420"/>
      <c r="K12" s="420"/>
      <c r="L12" s="439"/>
      <c r="M12" s="439"/>
      <c r="N12" s="420"/>
      <c r="O12" s="420"/>
      <c r="P12" s="440"/>
      <c r="Q12" s="441"/>
    </row>
    <row r="13" spans="1:17" ht="14.4" customHeight="1" x14ac:dyDescent="0.3">
      <c r="A13" s="419" t="s">
        <v>360</v>
      </c>
      <c r="B13" s="439" t="s">
        <v>318</v>
      </c>
      <c r="C13" s="439" t="s">
        <v>361</v>
      </c>
      <c r="D13" s="439" t="s">
        <v>376</v>
      </c>
      <c r="E13" s="439" t="s">
        <v>377</v>
      </c>
      <c r="F13" s="420">
        <v>457</v>
      </c>
      <c r="G13" s="420">
        <v>0</v>
      </c>
      <c r="H13" s="439"/>
      <c r="I13" s="439">
        <v>0</v>
      </c>
      <c r="J13" s="420">
        <v>201</v>
      </c>
      <c r="K13" s="420">
        <v>6600.02</v>
      </c>
      <c r="L13" s="439"/>
      <c r="M13" s="439">
        <v>32.835920398009954</v>
      </c>
      <c r="N13" s="420">
        <v>404</v>
      </c>
      <c r="O13" s="420">
        <v>13466.65</v>
      </c>
      <c r="P13" s="440"/>
      <c r="Q13" s="441">
        <v>33.333292079207922</v>
      </c>
    </row>
    <row r="14" spans="1:17" ht="14.4" customHeight="1" x14ac:dyDescent="0.3">
      <c r="A14" s="419" t="s">
        <v>360</v>
      </c>
      <c r="B14" s="439" t="s">
        <v>318</v>
      </c>
      <c r="C14" s="439" t="s">
        <v>361</v>
      </c>
      <c r="D14" s="439" t="s">
        <v>378</v>
      </c>
      <c r="E14" s="439" t="s">
        <v>379</v>
      </c>
      <c r="F14" s="420">
        <v>638</v>
      </c>
      <c r="G14" s="420">
        <v>346124</v>
      </c>
      <c r="H14" s="439">
        <v>1</v>
      </c>
      <c r="I14" s="439">
        <v>542.51410658307213</v>
      </c>
      <c r="J14" s="420">
        <v>1065</v>
      </c>
      <c r="K14" s="420">
        <v>581490</v>
      </c>
      <c r="L14" s="439">
        <v>1.6800048537518346</v>
      </c>
      <c r="M14" s="439">
        <v>546</v>
      </c>
      <c r="N14" s="420">
        <v>1181</v>
      </c>
      <c r="O14" s="420">
        <v>684980</v>
      </c>
      <c r="P14" s="440">
        <v>1.97900174503935</v>
      </c>
      <c r="Q14" s="441">
        <v>580</v>
      </c>
    </row>
    <row r="15" spans="1:17" ht="14.4" customHeight="1" x14ac:dyDescent="0.3">
      <c r="A15" s="419" t="s">
        <v>360</v>
      </c>
      <c r="B15" s="439" t="s">
        <v>318</v>
      </c>
      <c r="C15" s="439" t="s">
        <v>361</v>
      </c>
      <c r="D15" s="439" t="s">
        <v>380</v>
      </c>
      <c r="E15" s="439" t="s">
        <v>381</v>
      </c>
      <c r="F15" s="420">
        <v>930</v>
      </c>
      <c r="G15" s="420">
        <v>505032</v>
      </c>
      <c r="H15" s="439">
        <v>1</v>
      </c>
      <c r="I15" s="439">
        <v>543.04516129032254</v>
      </c>
      <c r="J15" s="420">
        <v>754</v>
      </c>
      <c r="K15" s="420">
        <v>412438</v>
      </c>
      <c r="L15" s="439">
        <v>0.81665716231842733</v>
      </c>
      <c r="M15" s="439">
        <v>547</v>
      </c>
      <c r="N15" s="420">
        <v>602</v>
      </c>
      <c r="O15" s="420">
        <v>349762</v>
      </c>
      <c r="P15" s="440">
        <v>0.69255413518351316</v>
      </c>
      <c r="Q15" s="441">
        <v>581</v>
      </c>
    </row>
    <row r="16" spans="1:17" ht="14.4" customHeight="1" x14ac:dyDescent="0.3">
      <c r="A16" s="419" t="s">
        <v>360</v>
      </c>
      <c r="B16" s="439" t="s">
        <v>318</v>
      </c>
      <c r="C16" s="439" t="s">
        <v>361</v>
      </c>
      <c r="D16" s="439" t="s">
        <v>382</v>
      </c>
      <c r="E16" s="439" t="s">
        <v>383</v>
      </c>
      <c r="F16" s="420">
        <v>17</v>
      </c>
      <c r="G16" s="420">
        <v>4624</v>
      </c>
      <c r="H16" s="439">
        <v>1</v>
      </c>
      <c r="I16" s="439">
        <v>272</v>
      </c>
      <c r="J16" s="420">
        <v>8</v>
      </c>
      <c r="K16" s="420">
        <v>2184</v>
      </c>
      <c r="L16" s="439">
        <v>0.47231833910034604</v>
      </c>
      <c r="M16" s="439">
        <v>273</v>
      </c>
      <c r="N16" s="420">
        <v>4</v>
      </c>
      <c r="O16" s="420">
        <v>1160</v>
      </c>
      <c r="P16" s="440">
        <v>0.2508650519031142</v>
      </c>
      <c r="Q16" s="441">
        <v>290</v>
      </c>
    </row>
    <row r="17" spans="1:17" ht="14.4" customHeight="1" x14ac:dyDescent="0.3">
      <c r="A17" s="419" t="s">
        <v>360</v>
      </c>
      <c r="B17" s="439" t="s">
        <v>318</v>
      </c>
      <c r="C17" s="439" t="s">
        <v>361</v>
      </c>
      <c r="D17" s="439" t="s">
        <v>384</v>
      </c>
      <c r="E17" s="439" t="s">
        <v>385</v>
      </c>
      <c r="F17" s="420">
        <v>382</v>
      </c>
      <c r="G17" s="420">
        <v>207560</v>
      </c>
      <c r="H17" s="439">
        <v>1</v>
      </c>
      <c r="I17" s="439">
        <v>543.35078534031413</v>
      </c>
      <c r="J17" s="420">
        <v>593</v>
      </c>
      <c r="K17" s="420">
        <v>324371</v>
      </c>
      <c r="L17" s="439">
        <v>1.5627818462131431</v>
      </c>
      <c r="M17" s="439">
        <v>547</v>
      </c>
      <c r="N17" s="420">
        <v>365</v>
      </c>
      <c r="O17" s="420">
        <v>212065</v>
      </c>
      <c r="P17" s="440">
        <v>1.0217045673540182</v>
      </c>
      <c r="Q17" s="441">
        <v>581</v>
      </c>
    </row>
    <row r="18" spans="1:17" ht="14.4" customHeight="1" x14ac:dyDescent="0.3">
      <c r="A18" s="419" t="s">
        <v>360</v>
      </c>
      <c r="B18" s="439" t="s">
        <v>318</v>
      </c>
      <c r="C18" s="439" t="s">
        <v>361</v>
      </c>
      <c r="D18" s="439" t="s">
        <v>386</v>
      </c>
      <c r="E18" s="439" t="s">
        <v>387</v>
      </c>
      <c r="F18" s="420">
        <v>314</v>
      </c>
      <c r="G18" s="420">
        <v>170492</v>
      </c>
      <c r="H18" s="439">
        <v>1</v>
      </c>
      <c r="I18" s="439">
        <v>542.96815286624201</v>
      </c>
      <c r="J18" s="420">
        <v>245</v>
      </c>
      <c r="K18" s="420">
        <v>133770</v>
      </c>
      <c r="L18" s="439">
        <v>0.78461159467892927</v>
      </c>
      <c r="M18" s="439">
        <v>546</v>
      </c>
      <c r="N18" s="420">
        <v>156</v>
      </c>
      <c r="O18" s="420">
        <v>90480</v>
      </c>
      <c r="P18" s="440">
        <v>0.53069938765455271</v>
      </c>
      <c r="Q18" s="441">
        <v>580</v>
      </c>
    </row>
    <row r="19" spans="1:17" ht="14.4" customHeight="1" thickBot="1" x14ac:dyDescent="0.35">
      <c r="A19" s="373" t="s">
        <v>360</v>
      </c>
      <c r="B19" s="374" t="s">
        <v>318</v>
      </c>
      <c r="C19" s="374" t="s">
        <v>361</v>
      </c>
      <c r="D19" s="374" t="s">
        <v>388</v>
      </c>
      <c r="E19" s="374" t="s">
        <v>389</v>
      </c>
      <c r="F19" s="377">
        <v>8</v>
      </c>
      <c r="G19" s="377">
        <v>2164</v>
      </c>
      <c r="H19" s="374">
        <v>1</v>
      </c>
      <c r="I19" s="374">
        <v>270.5</v>
      </c>
      <c r="J19" s="377"/>
      <c r="K19" s="377"/>
      <c r="L19" s="374"/>
      <c r="M19" s="374"/>
      <c r="N19" s="377"/>
      <c r="O19" s="377"/>
      <c r="P19" s="442"/>
      <c r="Q19" s="37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277" t="s">
        <v>110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" customHeight="1" thickBot="1" x14ac:dyDescent="0.35">
      <c r="A3" s="186" t="s">
        <v>111</v>
      </c>
      <c r="B3" s="187">
        <f>SUBTOTAL(9,B6:B1048576)</f>
        <v>3758105</v>
      </c>
      <c r="C3" s="188">
        <f t="shared" ref="C3:R3" si="0">SUBTOTAL(9,C6:C1048576)</f>
        <v>25</v>
      </c>
      <c r="D3" s="188">
        <f t="shared" si="0"/>
        <v>4498511</v>
      </c>
      <c r="E3" s="188">
        <f t="shared" si="0"/>
        <v>49.311603615853038</v>
      </c>
      <c r="F3" s="188">
        <f t="shared" si="0"/>
        <v>4876519</v>
      </c>
      <c r="G3" s="191">
        <f>IF(B3&lt;&gt;0,F3/B3,"")</f>
        <v>1.2976005194107136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IF(H3&lt;&gt;0,L3/H3,"")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91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x14ac:dyDescent="0.3">
      <c r="A6" s="425" t="s">
        <v>391</v>
      </c>
      <c r="B6" s="417">
        <v>41456</v>
      </c>
      <c r="C6" s="368">
        <v>1</v>
      </c>
      <c r="D6" s="417">
        <v>39590</v>
      </c>
      <c r="E6" s="368">
        <v>0.95498842145889618</v>
      </c>
      <c r="F6" s="417">
        <v>62972</v>
      </c>
      <c r="G6" s="438">
        <v>1.5190081049787727</v>
      </c>
      <c r="H6" s="417"/>
      <c r="I6" s="368"/>
      <c r="J6" s="417"/>
      <c r="K6" s="368"/>
      <c r="L6" s="417"/>
      <c r="M6" s="438"/>
      <c r="N6" s="417"/>
      <c r="O6" s="368"/>
      <c r="P6" s="417"/>
      <c r="Q6" s="368"/>
      <c r="R6" s="417"/>
      <c r="S6" s="443"/>
    </row>
    <row r="7" spans="1:19" ht="14.4" customHeight="1" x14ac:dyDescent="0.3">
      <c r="A7" s="426" t="s">
        <v>392</v>
      </c>
      <c r="B7" s="421">
        <v>16082</v>
      </c>
      <c r="C7" s="439">
        <v>1</v>
      </c>
      <c r="D7" s="421">
        <v>20166</v>
      </c>
      <c r="E7" s="439">
        <v>1.2539485138664346</v>
      </c>
      <c r="F7" s="421">
        <v>18684</v>
      </c>
      <c r="G7" s="440">
        <v>1.1617957965427186</v>
      </c>
      <c r="H7" s="421"/>
      <c r="I7" s="439"/>
      <c r="J7" s="421"/>
      <c r="K7" s="439"/>
      <c r="L7" s="421"/>
      <c r="M7" s="440"/>
      <c r="N7" s="421"/>
      <c r="O7" s="439"/>
      <c r="P7" s="421"/>
      <c r="Q7" s="439"/>
      <c r="R7" s="421"/>
      <c r="S7" s="444"/>
    </row>
    <row r="8" spans="1:19" ht="14.4" customHeight="1" x14ac:dyDescent="0.3">
      <c r="A8" s="426" t="s">
        <v>393</v>
      </c>
      <c r="B8" s="421">
        <v>129148</v>
      </c>
      <c r="C8" s="439">
        <v>1</v>
      </c>
      <c r="D8" s="421">
        <v>189589</v>
      </c>
      <c r="E8" s="439">
        <v>1.4679979558336171</v>
      </c>
      <c r="F8" s="421">
        <v>220388</v>
      </c>
      <c r="G8" s="440">
        <v>1.7064762907671818</v>
      </c>
      <c r="H8" s="421"/>
      <c r="I8" s="439"/>
      <c r="J8" s="421"/>
      <c r="K8" s="439"/>
      <c r="L8" s="421"/>
      <c r="M8" s="440"/>
      <c r="N8" s="421"/>
      <c r="O8" s="439"/>
      <c r="P8" s="421"/>
      <c r="Q8" s="439"/>
      <c r="R8" s="421"/>
      <c r="S8" s="444"/>
    </row>
    <row r="9" spans="1:19" ht="14.4" customHeight="1" x14ac:dyDescent="0.3">
      <c r="A9" s="426" t="s">
        <v>394</v>
      </c>
      <c r="B9" s="421">
        <v>75860</v>
      </c>
      <c r="C9" s="439">
        <v>1</v>
      </c>
      <c r="D9" s="421">
        <v>81396</v>
      </c>
      <c r="E9" s="439">
        <v>1.0729765357237016</v>
      </c>
      <c r="F9" s="421">
        <v>86746</v>
      </c>
      <c r="G9" s="440">
        <v>1.1435011863959925</v>
      </c>
      <c r="H9" s="421"/>
      <c r="I9" s="439"/>
      <c r="J9" s="421"/>
      <c r="K9" s="439"/>
      <c r="L9" s="421"/>
      <c r="M9" s="440"/>
      <c r="N9" s="421"/>
      <c r="O9" s="439"/>
      <c r="P9" s="421"/>
      <c r="Q9" s="439"/>
      <c r="R9" s="421"/>
      <c r="S9" s="444"/>
    </row>
    <row r="10" spans="1:19" ht="14.4" customHeight="1" x14ac:dyDescent="0.3">
      <c r="A10" s="426" t="s">
        <v>395</v>
      </c>
      <c r="B10" s="421">
        <v>23440</v>
      </c>
      <c r="C10" s="439">
        <v>1</v>
      </c>
      <c r="D10" s="421">
        <v>15181</v>
      </c>
      <c r="E10" s="439">
        <v>0.64765358361774739</v>
      </c>
      <c r="F10" s="421">
        <v>20760</v>
      </c>
      <c r="G10" s="440">
        <v>0.88566552901023887</v>
      </c>
      <c r="H10" s="421"/>
      <c r="I10" s="439"/>
      <c r="J10" s="421"/>
      <c r="K10" s="439"/>
      <c r="L10" s="421"/>
      <c r="M10" s="440"/>
      <c r="N10" s="421"/>
      <c r="O10" s="439"/>
      <c r="P10" s="421"/>
      <c r="Q10" s="439"/>
      <c r="R10" s="421"/>
      <c r="S10" s="444"/>
    </row>
    <row r="11" spans="1:19" ht="14.4" customHeight="1" x14ac:dyDescent="0.3">
      <c r="A11" s="426" t="s">
        <v>396</v>
      </c>
      <c r="B11" s="421">
        <v>8216</v>
      </c>
      <c r="C11" s="439">
        <v>1</v>
      </c>
      <c r="D11" s="421">
        <v>3476</v>
      </c>
      <c r="E11" s="439">
        <v>0.42307692307692307</v>
      </c>
      <c r="F11" s="421">
        <v>5312</v>
      </c>
      <c r="G11" s="440">
        <v>0.64654333008763387</v>
      </c>
      <c r="H11" s="421"/>
      <c r="I11" s="439"/>
      <c r="J11" s="421"/>
      <c r="K11" s="439"/>
      <c r="L11" s="421"/>
      <c r="M11" s="440"/>
      <c r="N11" s="421"/>
      <c r="O11" s="439"/>
      <c r="P11" s="421"/>
      <c r="Q11" s="439"/>
      <c r="R11" s="421"/>
      <c r="S11" s="444"/>
    </row>
    <row r="12" spans="1:19" ht="14.4" customHeight="1" x14ac:dyDescent="0.3">
      <c r="A12" s="426" t="s">
        <v>397</v>
      </c>
      <c r="B12" s="421">
        <v>1288</v>
      </c>
      <c r="C12" s="439">
        <v>1</v>
      </c>
      <c r="D12" s="421">
        <v>2584</v>
      </c>
      <c r="E12" s="439">
        <v>2.0062111801242235</v>
      </c>
      <c r="F12" s="421">
        <v>23182</v>
      </c>
      <c r="G12" s="440">
        <v>17.998447204968944</v>
      </c>
      <c r="H12" s="421"/>
      <c r="I12" s="439"/>
      <c r="J12" s="421"/>
      <c r="K12" s="439"/>
      <c r="L12" s="421"/>
      <c r="M12" s="440"/>
      <c r="N12" s="421"/>
      <c r="O12" s="439"/>
      <c r="P12" s="421"/>
      <c r="Q12" s="439"/>
      <c r="R12" s="421"/>
      <c r="S12" s="444"/>
    </row>
    <row r="13" spans="1:19" ht="14.4" customHeight="1" x14ac:dyDescent="0.3">
      <c r="A13" s="426" t="s">
        <v>398</v>
      </c>
      <c r="B13" s="421">
        <v>478785</v>
      </c>
      <c r="C13" s="439">
        <v>1</v>
      </c>
      <c r="D13" s="421">
        <v>569772</v>
      </c>
      <c r="E13" s="439">
        <v>1.1900372818697327</v>
      </c>
      <c r="F13" s="421">
        <v>597344</v>
      </c>
      <c r="G13" s="440">
        <v>1.2476247167308918</v>
      </c>
      <c r="H13" s="421"/>
      <c r="I13" s="439"/>
      <c r="J13" s="421"/>
      <c r="K13" s="439"/>
      <c r="L13" s="421"/>
      <c r="M13" s="440"/>
      <c r="N13" s="421"/>
      <c r="O13" s="439"/>
      <c r="P13" s="421"/>
      <c r="Q13" s="439"/>
      <c r="R13" s="421"/>
      <c r="S13" s="444"/>
    </row>
    <row r="14" spans="1:19" ht="14.4" customHeight="1" x14ac:dyDescent="0.3">
      <c r="A14" s="426" t="s">
        <v>399</v>
      </c>
      <c r="B14" s="421">
        <v>5128</v>
      </c>
      <c r="C14" s="439">
        <v>1</v>
      </c>
      <c r="D14" s="421">
        <v>1292</v>
      </c>
      <c r="E14" s="439">
        <v>0.25195007800312014</v>
      </c>
      <c r="F14" s="421">
        <v>2768</v>
      </c>
      <c r="G14" s="440">
        <v>0.53978159126365055</v>
      </c>
      <c r="H14" s="421"/>
      <c r="I14" s="439"/>
      <c r="J14" s="421"/>
      <c r="K14" s="439"/>
      <c r="L14" s="421"/>
      <c r="M14" s="440"/>
      <c r="N14" s="421"/>
      <c r="O14" s="439"/>
      <c r="P14" s="421"/>
      <c r="Q14" s="439"/>
      <c r="R14" s="421"/>
      <c r="S14" s="444"/>
    </row>
    <row r="15" spans="1:19" ht="14.4" customHeight="1" x14ac:dyDescent="0.3">
      <c r="A15" s="426" t="s">
        <v>400</v>
      </c>
      <c r="B15" s="421">
        <v>543227</v>
      </c>
      <c r="C15" s="439">
        <v>1</v>
      </c>
      <c r="D15" s="421">
        <v>573660</v>
      </c>
      <c r="E15" s="439">
        <v>1.0560226203778531</v>
      </c>
      <c r="F15" s="421">
        <v>593319</v>
      </c>
      <c r="G15" s="440">
        <v>1.0922119114108835</v>
      </c>
      <c r="H15" s="421"/>
      <c r="I15" s="439"/>
      <c r="J15" s="421"/>
      <c r="K15" s="439"/>
      <c r="L15" s="421"/>
      <c r="M15" s="440"/>
      <c r="N15" s="421"/>
      <c r="O15" s="439"/>
      <c r="P15" s="421"/>
      <c r="Q15" s="439"/>
      <c r="R15" s="421"/>
      <c r="S15" s="444"/>
    </row>
    <row r="16" spans="1:19" ht="14.4" customHeight="1" x14ac:dyDescent="0.3">
      <c r="A16" s="426" t="s">
        <v>401</v>
      </c>
      <c r="B16" s="421"/>
      <c r="C16" s="439"/>
      <c r="D16" s="421">
        <v>15504</v>
      </c>
      <c r="E16" s="439"/>
      <c r="F16" s="421">
        <v>4152</v>
      </c>
      <c r="G16" s="440"/>
      <c r="H16" s="421"/>
      <c r="I16" s="439"/>
      <c r="J16" s="421"/>
      <c r="K16" s="439"/>
      <c r="L16" s="421"/>
      <c r="M16" s="440"/>
      <c r="N16" s="421"/>
      <c r="O16" s="439"/>
      <c r="P16" s="421"/>
      <c r="Q16" s="439"/>
      <c r="R16" s="421"/>
      <c r="S16" s="444"/>
    </row>
    <row r="17" spans="1:19" ht="14.4" customHeight="1" x14ac:dyDescent="0.3">
      <c r="A17" s="426" t="s">
        <v>402</v>
      </c>
      <c r="B17" s="421">
        <v>8050</v>
      </c>
      <c r="C17" s="439">
        <v>1</v>
      </c>
      <c r="D17" s="421">
        <v>41344</v>
      </c>
      <c r="E17" s="439">
        <v>5.1359006211180125</v>
      </c>
      <c r="F17" s="421">
        <v>17300</v>
      </c>
      <c r="G17" s="440">
        <v>2.1490683229813663</v>
      </c>
      <c r="H17" s="421"/>
      <c r="I17" s="439"/>
      <c r="J17" s="421"/>
      <c r="K17" s="439"/>
      <c r="L17" s="421"/>
      <c r="M17" s="440"/>
      <c r="N17" s="421"/>
      <c r="O17" s="439"/>
      <c r="P17" s="421"/>
      <c r="Q17" s="439"/>
      <c r="R17" s="421"/>
      <c r="S17" s="444"/>
    </row>
    <row r="18" spans="1:19" ht="14.4" customHeight="1" x14ac:dyDescent="0.3">
      <c r="A18" s="426" t="s">
        <v>403</v>
      </c>
      <c r="B18" s="421">
        <v>10304</v>
      </c>
      <c r="C18" s="439">
        <v>1</v>
      </c>
      <c r="D18" s="421">
        <v>42636</v>
      </c>
      <c r="E18" s="439">
        <v>4.1378105590062111</v>
      </c>
      <c r="F18" s="421">
        <v>26296</v>
      </c>
      <c r="G18" s="440">
        <v>2.5520186335403725</v>
      </c>
      <c r="H18" s="421"/>
      <c r="I18" s="439"/>
      <c r="J18" s="421"/>
      <c r="K18" s="439"/>
      <c r="L18" s="421"/>
      <c r="M18" s="440"/>
      <c r="N18" s="421"/>
      <c r="O18" s="439"/>
      <c r="P18" s="421"/>
      <c r="Q18" s="439"/>
      <c r="R18" s="421"/>
      <c r="S18" s="444"/>
    </row>
    <row r="19" spans="1:19" ht="14.4" customHeight="1" x14ac:dyDescent="0.3">
      <c r="A19" s="426" t="s">
        <v>404</v>
      </c>
      <c r="B19" s="421">
        <v>966</v>
      </c>
      <c r="C19" s="439">
        <v>1</v>
      </c>
      <c r="D19" s="421">
        <v>11628</v>
      </c>
      <c r="E19" s="439">
        <v>12.037267080745341</v>
      </c>
      <c r="F19" s="421"/>
      <c r="G19" s="440"/>
      <c r="H19" s="421"/>
      <c r="I19" s="439"/>
      <c r="J19" s="421"/>
      <c r="K19" s="439"/>
      <c r="L19" s="421"/>
      <c r="M19" s="440"/>
      <c r="N19" s="421"/>
      <c r="O19" s="439"/>
      <c r="P19" s="421"/>
      <c r="Q19" s="439"/>
      <c r="R19" s="421"/>
      <c r="S19" s="444"/>
    </row>
    <row r="20" spans="1:19" ht="14.4" customHeight="1" x14ac:dyDescent="0.3">
      <c r="A20" s="426" t="s">
        <v>405</v>
      </c>
      <c r="B20" s="421">
        <v>646833</v>
      </c>
      <c r="C20" s="439">
        <v>1</v>
      </c>
      <c r="D20" s="421">
        <v>577770</v>
      </c>
      <c r="E20" s="439">
        <v>0.8932290096516412</v>
      </c>
      <c r="F20" s="421">
        <v>399704</v>
      </c>
      <c r="G20" s="440">
        <v>0.61794002470498566</v>
      </c>
      <c r="H20" s="421"/>
      <c r="I20" s="439"/>
      <c r="J20" s="421"/>
      <c r="K20" s="439"/>
      <c r="L20" s="421"/>
      <c r="M20" s="440"/>
      <c r="N20" s="421"/>
      <c r="O20" s="439"/>
      <c r="P20" s="421"/>
      <c r="Q20" s="439"/>
      <c r="R20" s="421"/>
      <c r="S20" s="444"/>
    </row>
    <row r="21" spans="1:19" ht="14.4" customHeight="1" x14ac:dyDescent="0.3">
      <c r="A21" s="426" t="s">
        <v>406</v>
      </c>
      <c r="B21" s="421">
        <v>752204</v>
      </c>
      <c r="C21" s="439">
        <v>1</v>
      </c>
      <c r="D21" s="421">
        <v>933262</v>
      </c>
      <c r="E21" s="439">
        <v>1.2407033198440849</v>
      </c>
      <c r="F21" s="421">
        <v>895482</v>
      </c>
      <c r="G21" s="440">
        <v>1.1904775832088104</v>
      </c>
      <c r="H21" s="421"/>
      <c r="I21" s="439"/>
      <c r="J21" s="421"/>
      <c r="K21" s="439"/>
      <c r="L21" s="421"/>
      <c r="M21" s="440"/>
      <c r="N21" s="421"/>
      <c r="O21" s="439"/>
      <c r="P21" s="421"/>
      <c r="Q21" s="439"/>
      <c r="R21" s="421"/>
      <c r="S21" s="444"/>
    </row>
    <row r="22" spans="1:19" ht="14.4" customHeight="1" x14ac:dyDescent="0.3">
      <c r="A22" s="426" t="s">
        <v>407</v>
      </c>
      <c r="B22" s="421">
        <v>16520</v>
      </c>
      <c r="C22" s="439">
        <v>1</v>
      </c>
      <c r="D22" s="421">
        <v>21488</v>
      </c>
      <c r="E22" s="439">
        <v>1.300726392251816</v>
      </c>
      <c r="F22" s="421">
        <v>2768</v>
      </c>
      <c r="G22" s="440">
        <v>0.16755447941888621</v>
      </c>
      <c r="H22" s="421"/>
      <c r="I22" s="439"/>
      <c r="J22" s="421"/>
      <c r="K22" s="439"/>
      <c r="L22" s="421"/>
      <c r="M22" s="440"/>
      <c r="N22" s="421"/>
      <c r="O22" s="439"/>
      <c r="P22" s="421"/>
      <c r="Q22" s="439"/>
      <c r="R22" s="421"/>
      <c r="S22" s="444"/>
    </row>
    <row r="23" spans="1:19" ht="14.4" customHeight="1" x14ac:dyDescent="0.3">
      <c r="A23" s="426" t="s">
        <v>408</v>
      </c>
      <c r="B23" s="421">
        <v>12444</v>
      </c>
      <c r="C23" s="439">
        <v>1</v>
      </c>
      <c r="D23" s="421">
        <v>26486</v>
      </c>
      <c r="E23" s="439">
        <v>2.1284153005464481</v>
      </c>
      <c r="F23" s="421">
        <v>30474</v>
      </c>
      <c r="G23" s="440">
        <v>2.4488910318225652</v>
      </c>
      <c r="H23" s="421"/>
      <c r="I23" s="439"/>
      <c r="J23" s="421"/>
      <c r="K23" s="439"/>
      <c r="L23" s="421"/>
      <c r="M23" s="440"/>
      <c r="N23" s="421"/>
      <c r="O23" s="439"/>
      <c r="P23" s="421"/>
      <c r="Q23" s="439"/>
      <c r="R23" s="421"/>
      <c r="S23" s="444"/>
    </row>
    <row r="24" spans="1:19" ht="14.4" customHeight="1" x14ac:dyDescent="0.3">
      <c r="A24" s="426" t="s">
        <v>409</v>
      </c>
      <c r="B24" s="421">
        <v>242248</v>
      </c>
      <c r="C24" s="439">
        <v>1</v>
      </c>
      <c r="D24" s="421">
        <v>330150</v>
      </c>
      <c r="E24" s="439">
        <v>1.3628595488920445</v>
      </c>
      <c r="F24" s="421">
        <v>480278</v>
      </c>
      <c r="G24" s="440">
        <v>1.9825880915425513</v>
      </c>
      <c r="H24" s="421"/>
      <c r="I24" s="439"/>
      <c r="J24" s="421"/>
      <c r="K24" s="439"/>
      <c r="L24" s="421"/>
      <c r="M24" s="440"/>
      <c r="N24" s="421"/>
      <c r="O24" s="439"/>
      <c r="P24" s="421"/>
      <c r="Q24" s="439"/>
      <c r="R24" s="421"/>
      <c r="S24" s="444"/>
    </row>
    <row r="25" spans="1:19" ht="14.4" customHeight="1" x14ac:dyDescent="0.3">
      <c r="A25" s="426" t="s">
        <v>410</v>
      </c>
      <c r="B25" s="421">
        <v>11544</v>
      </c>
      <c r="C25" s="439">
        <v>1</v>
      </c>
      <c r="D25" s="421">
        <v>19380</v>
      </c>
      <c r="E25" s="439">
        <v>1.6787941787941787</v>
      </c>
      <c r="F25" s="421">
        <v>15224</v>
      </c>
      <c r="G25" s="440">
        <v>1.3187803187803189</v>
      </c>
      <c r="H25" s="421"/>
      <c r="I25" s="439"/>
      <c r="J25" s="421"/>
      <c r="K25" s="439"/>
      <c r="L25" s="421"/>
      <c r="M25" s="440"/>
      <c r="N25" s="421"/>
      <c r="O25" s="439"/>
      <c r="P25" s="421"/>
      <c r="Q25" s="439"/>
      <c r="R25" s="421"/>
      <c r="S25" s="444"/>
    </row>
    <row r="26" spans="1:19" ht="14.4" customHeight="1" x14ac:dyDescent="0.3">
      <c r="A26" s="426" t="s">
        <v>411</v>
      </c>
      <c r="B26" s="421">
        <v>99856</v>
      </c>
      <c r="C26" s="439">
        <v>1</v>
      </c>
      <c r="D26" s="421">
        <v>150609</v>
      </c>
      <c r="E26" s="439">
        <v>1.50826189713187</v>
      </c>
      <c r="F26" s="421">
        <v>290700</v>
      </c>
      <c r="G26" s="440">
        <v>2.9111921166479733</v>
      </c>
      <c r="H26" s="421"/>
      <c r="I26" s="439"/>
      <c r="J26" s="421"/>
      <c r="K26" s="439"/>
      <c r="L26" s="421"/>
      <c r="M26" s="440"/>
      <c r="N26" s="421"/>
      <c r="O26" s="439"/>
      <c r="P26" s="421"/>
      <c r="Q26" s="439"/>
      <c r="R26" s="421"/>
      <c r="S26" s="444"/>
    </row>
    <row r="27" spans="1:19" ht="14.4" customHeight="1" x14ac:dyDescent="0.3">
      <c r="A27" s="426" t="s">
        <v>412</v>
      </c>
      <c r="B27" s="421">
        <v>37642</v>
      </c>
      <c r="C27" s="439">
        <v>1</v>
      </c>
      <c r="D27" s="421">
        <v>140256</v>
      </c>
      <c r="E27" s="439">
        <v>3.7260506880612083</v>
      </c>
      <c r="F27" s="421">
        <v>116842</v>
      </c>
      <c r="G27" s="440">
        <v>3.1040327293980128</v>
      </c>
      <c r="H27" s="421"/>
      <c r="I27" s="439"/>
      <c r="J27" s="421"/>
      <c r="K27" s="439"/>
      <c r="L27" s="421"/>
      <c r="M27" s="440"/>
      <c r="N27" s="421"/>
      <c r="O27" s="439"/>
      <c r="P27" s="421"/>
      <c r="Q27" s="439"/>
      <c r="R27" s="421"/>
      <c r="S27" s="444"/>
    </row>
    <row r="28" spans="1:19" ht="14.4" customHeight="1" x14ac:dyDescent="0.3">
      <c r="A28" s="426" t="s">
        <v>413</v>
      </c>
      <c r="B28" s="421">
        <v>72592</v>
      </c>
      <c r="C28" s="439">
        <v>1</v>
      </c>
      <c r="D28" s="421">
        <v>132756</v>
      </c>
      <c r="E28" s="439">
        <v>1.8287965616045845</v>
      </c>
      <c r="F28" s="421">
        <v>214668</v>
      </c>
      <c r="G28" s="440">
        <v>2.9571853647784878</v>
      </c>
      <c r="H28" s="421"/>
      <c r="I28" s="439"/>
      <c r="J28" s="421"/>
      <c r="K28" s="439"/>
      <c r="L28" s="421"/>
      <c r="M28" s="440"/>
      <c r="N28" s="421"/>
      <c r="O28" s="439"/>
      <c r="P28" s="421"/>
      <c r="Q28" s="439"/>
      <c r="R28" s="421"/>
      <c r="S28" s="444"/>
    </row>
    <row r="29" spans="1:19" ht="14.4" customHeight="1" x14ac:dyDescent="0.3">
      <c r="A29" s="426" t="s">
        <v>414</v>
      </c>
      <c r="B29" s="421">
        <v>476088</v>
      </c>
      <c r="C29" s="439">
        <v>1</v>
      </c>
      <c r="D29" s="421">
        <v>527528</v>
      </c>
      <c r="E29" s="439">
        <v>1.1080472517685807</v>
      </c>
      <c r="F29" s="421">
        <v>680968</v>
      </c>
      <c r="G29" s="440">
        <v>1.4303406092991211</v>
      </c>
      <c r="H29" s="421"/>
      <c r="I29" s="439"/>
      <c r="J29" s="421"/>
      <c r="K29" s="439"/>
      <c r="L29" s="421"/>
      <c r="M29" s="440"/>
      <c r="N29" s="421"/>
      <c r="O29" s="439"/>
      <c r="P29" s="421"/>
      <c r="Q29" s="439"/>
      <c r="R29" s="421"/>
      <c r="S29" s="444"/>
    </row>
    <row r="30" spans="1:19" ht="14.4" customHeight="1" x14ac:dyDescent="0.3">
      <c r="A30" s="426" t="s">
        <v>415</v>
      </c>
      <c r="B30" s="421">
        <v>13726</v>
      </c>
      <c r="C30" s="439">
        <v>1</v>
      </c>
      <c r="D30" s="421"/>
      <c r="E30" s="439"/>
      <c r="F30" s="421">
        <v>11764</v>
      </c>
      <c r="G30" s="440">
        <v>0.85705959492933115</v>
      </c>
      <c r="H30" s="421"/>
      <c r="I30" s="439"/>
      <c r="J30" s="421"/>
      <c r="K30" s="439"/>
      <c r="L30" s="421"/>
      <c r="M30" s="440"/>
      <c r="N30" s="421"/>
      <c r="O30" s="439"/>
      <c r="P30" s="421"/>
      <c r="Q30" s="439"/>
      <c r="R30" s="421"/>
      <c r="S30" s="444"/>
    </row>
    <row r="31" spans="1:19" ht="14.4" customHeight="1" thickBot="1" x14ac:dyDescent="0.35">
      <c r="A31" s="427" t="s">
        <v>416</v>
      </c>
      <c r="B31" s="423">
        <v>34458</v>
      </c>
      <c r="C31" s="374">
        <v>1</v>
      </c>
      <c r="D31" s="423">
        <v>31008</v>
      </c>
      <c r="E31" s="374">
        <v>0.89987811248476401</v>
      </c>
      <c r="F31" s="423">
        <v>58424</v>
      </c>
      <c r="G31" s="442">
        <v>1.695513378605839</v>
      </c>
      <c r="H31" s="423"/>
      <c r="I31" s="374"/>
      <c r="J31" s="423"/>
      <c r="K31" s="374"/>
      <c r="L31" s="423"/>
      <c r="M31" s="442"/>
      <c r="N31" s="423"/>
      <c r="O31" s="374"/>
      <c r="P31" s="423"/>
      <c r="Q31" s="374"/>
      <c r="R31" s="423"/>
      <c r="S31" s="44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79" customWidth="1"/>
    <col min="8" max="9" width="9.33203125" style="179" hidden="1" customWidth="1"/>
    <col min="10" max="11" width="11.109375" style="179" customWidth="1"/>
    <col min="12" max="13" width="9.33203125" style="179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445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106"/>
      <c r="C2" s="106"/>
      <c r="D2" s="106"/>
      <c r="E2" s="106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10519</v>
      </c>
      <c r="G3" s="78">
        <f t="shared" si="0"/>
        <v>3758105</v>
      </c>
      <c r="H3" s="78"/>
      <c r="I3" s="78"/>
      <c r="J3" s="78">
        <f t="shared" si="0"/>
        <v>12322</v>
      </c>
      <c r="K3" s="78">
        <f t="shared" si="0"/>
        <v>4498511</v>
      </c>
      <c r="L3" s="78"/>
      <c r="M3" s="78"/>
      <c r="N3" s="78">
        <f t="shared" si="0"/>
        <v>12710</v>
      </c>
      <c r="O3" s="78">
        <f t="shared" si="0"/>
        <v>4876519</v>
      </c>
      <c r="P3" s="59">
        <f>IF(G3=0,0,O3/G3)</f>
        <v>1.2976005194107136</v>
      </c>
      <c r="Q3" s="79">
        <f>IF(N3=0,0,O3/N3)</f>
        <v>383.67576711250985</v>
      </c>
    </row>
    <row r="4" spans="1:17" ht="14.4" customHeight="1" x14ac:dyDescent="0.3">
      <c r="A4" s="318" t="s">
        <v>55</v>
      </c>
      <c r="B4" s="317" t="s">
        <v>81</v>
      </c>
      <c r="C4" s="318" t="s">
        <v>82</v>
      </c>
      <c r="D4" s="327" t="s">
        <v>83</v>
      </c>
      <c r="E4" s="319" t="s">
        <v>56</v>
      </c>
      <c r="F4" s="325">
        <v>2014</v>
      </c>
      <c r="G4" s="326"/>
      <c r="H4" s="80"/>
      <c r="I4" s="80"/>
      <c r="J4" s="325">
        <v>2015</v>
      </c>
      <c r="K4" s="326"/>
      <c r="L4" s="80"/>
      <c r="M4" s="80"/>
      <c r="N4" s="325">
        <v>2016</v>
      </c>
      <c r="O4" s="326"/>
      <c r="P4" s="328" t="s">
        <v>2</v>
      </c>
      <c r="Q4" s="316" t="s">
        <v>84</v>
      </c>
    </row>
    <row r="5" spans="1:17" ht="14.4" customHeight="1" thickBot="1" x14ac:dyDescent="0.35">
      <c r="A5" s="430"/>
      <c r="B5" s="428"/>
      <c r="C5" s="430"/>
      <c r="D5" s="446"/>
      <c r="E5" s="432"/>
      <c r="F5" s="447" t="s">
        <v>58</v>
      </c>
      <c r="G5" s="448" t="s">
        <v>14</v>
      </c>
      <c r="H5" s="449"/>
      <c r="I5" s="449"/>
      <c r="J5" s="447" t="s">
        <v>58</v>
      </c>
      <c r="K5" s="448" t="s">
        <v>14</v>
      </c>
      <c r="L5" s="449"/>
      <c r="M5" s="449"/>
      <c r="N5" s="447" t="s">
        <v>58</v>
      </c>
      <c r="O5" s="448" t="s">
        <v>14</v>
      </c>
      <c r="P5" s="450"/>
      <c r="Q5" s="437"/>
    </row>
    <row r="6" spans="1:17" ht="14.4" customHeight="1" x14ac:dyDescent="0.3">
      <c r="A6" s="367" t="s">
        <v>417</v>
      </c>
      <c r="B6" s="368" t="s">
        <v>360</v>
      </c>
      <c r="C6" s="368" t="s">
        <v>361</v>
      </c>
      <c r="D6" s="368" t="s">
        <v>366</v>
      </c>
      <c r="E6" s="368" t="s">
        <v>367</v>
      </c>
      <c r="F6" s="371">
        <v>119</v>
      </c>
      <c r="G6" s="371">
        <v>38192</v>
      </c>
      <c r="H6" s="371">
        <v>1</v>
      </c>
      <c r="I6" s="371">
        <v>320.94117647058823</v>
      </c>
      <c r="J6" s="371">
        <v>82</v>
      </c>
      <c r="K6" s="371">
        <v>26486</v>
      </c>
      <c r="L6" s="371">
        <v>0.69349602010892331</v>
      </c>
      <c r="M6" s="371">
        <v>323</v>
      </c>
      <c r="N6" s="371">
        <v>182</v>
      </c>
      <c r="O6" s="371">
        <v>62972</v>
      </c>
      <c r="P6" s="438">
        <v>1.6488269794721409</v>
      </c>
      <c r="Q6" s="372">
        <v>346</v>
      </c>
    </row>
    <row r="7" spans="1:17" ht="14.4" customHeight="1" x14ac:dyDescent="0.3">
      <c r="A7" s="419" t="s">
        <v>417</v>
      </c>
      <c r="B7" s="439" t="s">
        <v>360</v>
      </c>
      <c r="C7" s="439" t="s">
        <v>361</v>
      </c>
      <c r="D7" s="439" t="s">
        <v>378</v>
      </c>
      <c r="E7" s="439" t="s">
        <v>379</v>
      </c>
      <c r="F7" s="420">
        <v>6</v>
      </c>
      <c r="G7" s="420">
        <v>3264</v>
      </c>
      <c r="H7" s="420">
        <v>1</v>
      </c>
      <c r="I7" s="420">
        <v>544</v>
      </c>
      <c r="J7" s="420">
        <v>24</v>
      </c>
      <c r="K7" s="420">
        <v>13104</v>
      </c>
      <c r="L7" s="420">
        <v>4.0147058823529411</v>
      </c>
      <c r="M7" s="420">
        <v>546</v>
      </c>
      <c r="N7" s="420"/>
      <c r="O7" s="420"/>
      <c r="P7" s="440"/>
      <c r="Q7" s="441"/>
    </row>
    <row r="8" spans="1:17" ht="14.4" customHeight="1" x14ac:dyDescent="0.3">
      <c r="A8" s="419" t="s">
        <v>418</v>
      </c>
      <c r="B8" s="439" t="s">
        <v>360</v>
      </c>
      <c r="C8" s="439" t="s">
        <v>361</v>
      </c>
      <c r="D8" s="439" t="s">
        <v>364</v>
      </c>
      <c r="E8" s="439" t="s">
        <v>365</v>
      </c>
      <c r="F8" s="420"/>
      <c r="G8" s="420"/>
      <c r="H8" s="420"/>
      <c r="I8" s="420"/>
      <c r="J8" s="420">
        <v>2</v>
      </c>
      <c r="K8" s="420">
        <v>140</v>
      </c>
      <c r="L8" s="420"/>
      <c r="M8" s="420">
        <v>70</v>
      </c>
      <c r="N8" s="420"/>
      <c r="O8" s="420"/>
      <c r="P8" s="440"/>
      <c r="Q8" s="441"/>
    </row>
    <row r="9" spans="1:17" ht="14.4" customHeight="1" x14ac:dyDescent="0.3">
      <c r="A9" s="419" t="s">
        <v>418</v>
      </c>
      <c r="B9" s="439" t="s">
        <v>360</v>
      </c>
      <c r="C9" s="439" t="s">
        <v>361</v>
      </c>
      <c r="D9" s="439" t="s">
        <v>366</v>
      </c>
      <c r="E9" s="439" t="s">
        <v>367</v>
      </c>
      <c r="F9" s="420">
        <v>34</v>
      </c>
      <c r="G9" s="420">
        <v>10930</v>
      </c>
      <c r="H9" s="420">
        <v>1</v>
      </c>
      <c r="I9" s="420">
        <v>321.47058823529414</v>
      </c>
      <c r="J9" s="420">
        <v>58</v>
      </c>
      <c r="K9" s="420">
        <v>18734</v>
      </c>
      <c r="L9" s="420">
        <v>1.7139981701738334</v>
      </c>
      <c r="M9" s="420">
        <v>323</v>
      </c>
      <c r="N9" s="420">
        <v>54</v>
      </c>
      <c r="O9" s="420">
        <v>18684</v>
      </c>
      <c r="P9" s="440">
        <v>1.709423604757548</v>
      </c>
      <c r="Q9" s="441">
        <v>346</v>
      </c>
    </row>
    <row r="10" spans="1:17" ht="14.4" customHeight="1" x14ac:dyDescent="0.3">
      <c r="A10" s="419" t="s">
        <v>418</v>
      </c>
      <c r="B10" s="439" t="s">
        <v>360</v>
      </c>
      <c r="C10" s="439" t="s">
        <v>361</v>
      </c>
      <c r="D10" s="439" t="s">
        <v>372</v>
      </c>
      <c r="E10" s="439" t="s">
        <v>373</v>
      </c>
      <c r="F10" s="420">
        <v>16</v>
      </c>
      <c r="G10" s="420">
        <v>5152</v>
      </c>
      <c r="H10" s="420">
        <v>1</v>
      </c>
      <c r="I10" s="420">
        <v>322</v>
      </c>
      <c r="J10" s="420">
        <v>4</v>
      </c>
      <c r="K10" s="420">
        <v>1292</v>
      </c>
      <c r="L10" s="420">
        <v>0.25077639751552794</v>
      </c>
      <c r="M10" s="420">
        <v>323</v>
      </c>
      <c r="N10" s="420"/>
      <c r="O10" s="420"/>
      <c r="P10" s="440"/>
      <c r="Q10" s="441"/>
    </row>
    <row r="11" spans="1:17" ht="14.4" customHeight="1" x14ac:dyDescent="0.3">
      <c r="A11" s="419" t="s">
        <v>419</v>
      </c>
      <c r="B11" s="439" t="s">
        <v>360</v>
      </c>
      <c r="C11" s="439" t="s">
        <v>361</v>
      </c>
      <c r="D11" s="439" t="s">
        <v>364</v>
      </c>
      <c r="E11" s="439" t="s">
        <v>365</v>
      </c>
      <c r="F11" s="420"/>
      <c r="G11" s="420"/>
      <c r="H11" s="420"/>
      <c r="I11" s="420"/>
      <c r="J11" s="420"/>
      <c r="K11" s="420"/>
      <c r="L11" s="420"/>
      <c r="M11" s="420"/>
      <c r="N11" s="420">
        <v>2</v>
      </c>
      <c r="O11" s="420">
        <v>148</v>
      </c>
      <c r="P11" s="440"/>
      <c r="Q11" s="441">
        <v>74</v>
      </c>
    </row>
    <row r="12" spans="1:17" ht="14.4" customHeight="1" x14ac:dyDescent="0.3">
      <c r="A12" s="419" t="s">
        <v>419</v>
      </c>
      <c r="B12" s="439" t="s">
        <v>360</v>
      </c>
      <c r="C12" s="439" t="s">
        <v>361</v>
      </c>
      <c r="D12" s="439" t="s">
        <v>366</v>
      </c>
      <c r="E12" s="439" t="s">
        <v>367</v>
      </c>
      <c r="F12" s="420">
        <v>301</v>
      </c>
      <c r="G12" s="420">
        <v>96586</v>
      </c>
      <c r="H12" s="420">
        <v>1</v>
      </c>
      <c r="I12" s="420">
        <v>320.88372093023258</v>
      </c>
      <c r="J12" s="420">
        <v>277</v>
      </c>
      <c r="K12" s="420">
        <v>89471</v>
      </c>
      <c r="L12" s="420">
        <v>0.92633507961816408</v>
      </c>
      <c r="M12" s="420">
        <v>323</v>
      </c>
      <c r="N12" s="420">
        <v>370</v>
      </c>
      <c r="O12" s="420">
        <v>128020</v>
      </c>
      <c r="P12" s="440">
        <v>1.3254508935042346</v>
      </c>
      <c r="Q12" s="441">
        <v>346</v>
      </c>
    </row>
    <row r="13" spans="1:17" ht="14.4" customHeight="1" x14ac:dyDescent="0.3">
      <c r="A13" s="419" t="s">
        <v>419</v>
      </c>
      <c r="B13" s="439" t="s">
        <v>360</v>
      </c>
      <c r="C13" s="439" t="s">
        <v>361</v>
      </c>
      <c r="D13" s="439" t="s">
        <v>370</v>
      </c>
      <c r="E13" s="439" t="s">
        <v>371</v>
      </c>
      <c r="F13" s="420"/>
      <c r="G13" s="420"/>
      <c r="H13" s="420"/>
      <c r="I13" s="420"/>
      <c r="J13" s="420">
        <v>4</v>
      </c>
      <c r="K13" s="420">
        <v>1292</v>
      </c>
      <c r="L13" s="420"/>
      <c r="M13" s="420">
        <v>323</v>
      </c>
      <c r="N13" s="420"/>
      <c r="O13" s="420"/>
      <c r="P13" s="440"/>
      <c r="Q13" s="441"/>
    </row>
    <row r="14" spans="1:17" ht="14.4" customHeight="1" x14ac:dyDescent="0.3">
      <c r="A14" s="419" t="s">
        <v>419</v>
      </c>
      <c r="B14" s="439" t="s">
        <v>360</v>
      </c>
      <c r="C14" s="439" t="s">
        <v>361</v>
      </c>
      <c r="D14" s="439" t="s">
        <v>378</v>
      </c>
      <c r="E14" s="439" t="s">
        <v>379</v>
      </c>
      <c r="F14" s="420">
        <v>60</v>
      </c>
      <c r="G14" s="420">
        <v>32562</v>
      </c>
      <c r="H14" s="420">
        <v>1</v>
      </c>
      <c r="I14" s="420">
        <v>542.70000000000005</v>
      </c>
      <c r="J14" s="420">
        <v>181</v>
      </c>
      <c r="K14" s="420">
        <v>98826</v>
      </c>
      <c r="L14" s="420">
        <v>3.0350101345126221</v>
      </c>
      <c r="M14" s="420">
        <v>546</v>
      </c>
      <c r="N14" s="420">
        <v>153</v>
      </c>
      <c r="O14" s="420">
        <v>88740</v>
      </c>
      <c r="P14" s="440">
        <v>2.7252625760088445</v>
      </c>
      <c r="Q14" s="441">
        <v>580</v>
      </c>
    </row>
    <row r="15" spans="1:17" ht="14.4" customHeight="1" x14ac:dyDescent="0.3">
      <c r="A15" s="419" t="s">
        <v>419</v>
      </c>
      <c r="B15" s="439" t="s">
        <v>360</v>
      </c>
      <c r="C15" s="439" t="s">
        <v>361</v>
      </c>
      <c r="D15" s="439" t="s">
        <v>386</v>
      </c>
      <c r="E15" s="439" t="s">
        <v>387</v>
      </c>
      <c r="F15" s="420"/>
      <c r="G15" s="420"/>
      <c r="H15" s="420"/>
      <c r="I15" s="420"/>
      <c r="J15" s="420"/>
      <c r="K15" s="420"/>
      <c r="L15" s="420"/>
      <c r="M15" s="420"/>
      <c r="N15" s="420">
        <v>6</v>
      </c>
      <c r="O15" s="420">
        <v>3480</v>
      </c>
      <c r="P15" s="440"/>
      <c r="Q15" s="441">
        <v>580</v>
      </c>
    </row>
    <row r="16" spans="1:17" ht="14.4" customHeight="1" x14ac:dyDescent="0.3">
      <c r="A16" s="419" t="s">
        <v>420</v>
      </c>
      <c r="B16" s="439" t="s">
        <v>360</v>
      </c>
      <c r="C16" s="439" t="s">
        <v>361</v>
      </c>
      <c r="D16" s="439" t="s">
        <v>364</v>
      </c>
      <c r="E16" s="439" t="s">
        <v>365</v>
      </c>
      <c r="F16" s="420"/>
      <c r="G16" s="420"/>
      <c r="H16" s="420"/>
      <c r="I16" s="420"/>
      <c r="J16" s="420"/>
      <c r="K16" s="420"/>
      <c r="L16" s="420"/>
      <c r="M16" s="420"/>
      <c r="N16" s="420">
        <v>8</v>
      </c>
      <c r="O16" s="420">
        <v>592</v>
      </c>
      <c r="P16" s="440"/>
      <c r="Q16" s="441">
        <v>74</v>
      </c>
    </row>
    <row r="17" spans="1:17" ht="14.4" customHeight="1" x14ac:dyDescent="0.3">
      <c r="A17" s="419" t="s">
        <v>420</v>
      </c>
      <c r="B17" s="439" t="s">
        <v>360</v>
      </c>
      <c r="C17" s="439" t="s">
        <v>361</v>
      </c>
      <c r="D17" s="439" t="s">
        <v>366</v>
      </c>
      <c r="E17" s="439" t="s">
        <v>367</v>
      </c>
      <c r="F17" s="420">
        <v>236</v>
      </c>
      <c r="G17" s="420">
        <v>75860</v>
      </c>
      <c r="H17" s="420">
        <v>1</v>
      </c>
      <c r="I17" s="420">
        <v>321.4406779661017</v>
      </c>
      <c r="J17" s="420">
        <v>252</v>
      </c>
      <c r="K17" s="420">
        <v>81396</v>
      </c>
      <c r="L17" s="420">
        <v>1.0729765357237016</v>
      </c>
      <c r="M17" s="420">
        <v>323</v>
      </c>
      <c r="N17" s="420">
        <v>245</v>
      </c>
      <c r="O17" s="420">
        <v>84770</v>
      </c>
      <c r="P17" s="440">
        <v>1.11745320326918</v>
      </c>
      <c r="Q17" s="441">
        <v>346</v>
      </c>
    </row>
    <row r="18" spans="1:17" ht="14.4" customHeight="1" x14ac:dyDescent="0.3">
      <c r="A18" s="419" t="s">
        <v>420</v>
      </c>
      <c r="B18" s="439" t="s">
        <v>360</v>
      </c>
      <c r="C18" s="439" t="s">
        <v>361</v>
      </c>
      <c r="D18" s="439" t="s">
        <v>372</v>
      </c>
      <c r="E18" s="439" t="s">
        <v>373</v>
      </c>
      <c r="F18" s="420"/>
      <c r="G18" s="420"/>
      <c r="H18" s="420"/>
      <c r="I18" s="420"/>
      <c r="J18" s="420"/>
      <c r="K18" s="420"/>
      <c r="L18" s="420"/>
      <c r="M18" s="420"/>
      <c r="N18" s="420">
        <v>4</v>
      </c>
      <c r="O18" s="420">
        <v>1384</v>
      </c>
      <c r="P18" s="440"/>
      <c r="Q18" s="441">
        <v>346</v>
      </c>
    </row>
    <row r="19" spans="1:17" ht="14.4" customHeight="1" x14ac:dyDescent="0.3">
      <c r="A19" s="419" t="s">
        <v>421</v>
      </c>
      <c r="B19" s="439" t="s">
        <v>360</v>
      </c>
      <c r="C19" s="439" t="s">
        <v>361</v>
      </c>
      <c r="D19" s="439" t="s">
        <v>366</v>
      </c>
      <c r="E19" s="439" t="s">
        <v>367</v>
      </c>
      <c r="F19" s="420">
        <v>69</v>
      </c>
      <c r="G19" s="420">
        <v>22152</v>
      </c>
      <c r="H19" s="420">
        <v>1</v>
      </c>
      <c r="I19" s="420">
        <v>321.04347826086956</v>
      </c>
      <c r="J19" s="420">
        <v>47</v>
      </c>
      <c r="K19" s="420">
        <v>15181</v>
      </c>
      <c r="L19" s="420">
        <v>0.68531058143734203</v>
      </c>
      <c r="M19" s="420">
        <v>323</v>
      </c>
      <c r="N19" s="420">
        <v>60</v>
      </c>
      <c r="O19" s="420">
        <v>20760</v>
      </c>
      <c r="P19" s="440">
        <v>0.93716143011917663</v>
      </c>
      <c r="Q19" s="441">
        <v>346</v>
      </c>
    </row>
    <row r="20" spans="1:17" ht="14.4" customHeight="1" x14ac:dyDescent="0.3">
      <c r="A20" s="419" t="s">
        <v>421</v>
      </c>
      <c r="B20" s="439" t="s">
        <v>360</v>
      </c>
      <c r="C20" s="439" t="s">
        <v>361</v>
      </c>
      <c r="D20" s="439" t="s">
        <v>372</v>
      </c>
      <c r="E20" s="439" t="s">
        <v>373</v>
      </c>
      <c r="F20" s="420">
        <v>4</v>
      </c>
      <c r="G20" s="420">
        <v>1288</v>
      </c>
      <c r="H20" s="420">
        <v>1</v>
      </c>
      <c r="I20" s="420">
        <v>322</v>
      </c>
      <c r="J20" s="420"/>
      <c r="K20" s="420"/>
      <c r="L20" s="420"/>
      <c r="M20" s="420"/>
      <c r="N20" s="420"/>
      <c r="O20" s="420"/>
      <c r="P20" s="440"/>
      <c r="Q20" s="441"/>
    </row>
    <row r="21" spans="1:17" ht="14.4" customHeight="1" x14ac:dyDescent="0.3">
      <c r="A21" s="419" t="s">
        <v>422</v>
      </c>
      <c r="B21" s="439" t="s">
        <v>360</v>
      </c>
      <c r="C21" s="439" t="s">
        <v>361</v>
      </c>
      <c r="D21" s="439" t="s">
        <v>366</v>
      </c>
      <c r="E21" s="439" t="s">
        <v>367</v>
      </c>
      <c r="F21" s="420">
        <v>12</v>
      </c>
      <c r="G21" s="420">
        <v>3864</v>
      </c>
      <c r="H21" s="420">
        <v>1</v>
      </c>
      <c r="I21" s="420">
        <v>322</v>
      </c>
      <c r="J21" s="420">
        <v>4</v>
      </c>
      <c r="K21" s="420">
        <v>1292</v>
      </c>
      <c r="L21" s="420">
        <v>0.33436853002070394</v>
      </c>
      <c r="M21" s="420">
        <v>323</v>
      </c>
      <c r="N21" s="420">
        <v>12</v>
      </c>
      <c r="O21" s="420">
        <v>4152</v>
      </c>
      <c r="P21" s="440">
        <v>1.0745341614906831</v>
      </c>
      <c r="Q21" s="441">
        <v>346</v>
      </c>
    </row>
    <row r="22" spans="1:17" ht="14.4" customHeight="1" x14ac:dyDescent="0.3">
      <c r="A22" s="419" t="s">
        <v>422</v>
      </c>
      <c r="B22" s="439" t="s">
        <v>360</v>
      </c>
      <c r="C22" s="439" t="s">
        <v>361</v>
      </c>
      <c r="D22" s="439" t="s">
        <v>378</v>
      </c>
      <c r="E22" s="439" t="s">
        <v>379</v>
      </c>
      <c r="F22" s="420">
        <v>8</v>
      </c>
      <c r="G22" s="420">
        <v>4352</v>
      </c>
      <c r="H22" s="420">
        <v>1</v>
      </c>
      <c r="I22" s="420">
        <v>544</v>
      </c>
      <c r="J22" s="420">
        <v>4</v>
      </c>
      <c r="K22" s="420">
        <v>2184</v>
      </c>
      <c r="L22" s="420">
        <v>0.50183823529411764</v>
      </c>
      <c r="M22" s="420">
        <v>546</v>
      </c>
      <c r="N22" s="420">
        <v>2</v>
      </c>
      <c r="O22" s="420">
        <v>1160</v>
      </c>
      <c r="P22" s="440">
        <v>0.26654411764705882</v>
      </c>
      <c r="Q22" s="441">
        <v>580</v>
      </c>
    </row>
    <row r="23" spans="1:17" ht="14.4" customHeight="1" x14ac:dyDescent="0.3">
      <c r="A23" s="419" t="s">
        <v>423</v>
      </c>
      <c r="B23" s="439" t="s">
        <v>360</v>
      </c>
      <c r="C23" s="439" t="s">
        <v>361</v>
      </c>
      <c r="D23" s="439" t="s">
        <v>366</v>
      </c>
      <c r="E23" s="439" t="s">
        <v>367</v>
      </c>
      <c r="F23" s="420">
        <v>4</v>
      </c>
      <c r="G23" s="420">
        <v>1288</v>
      </c>
      <c r="H23" s="420">
        <v>1</v>
      </c>
      <c r="I23" s="420">
        <v>322</v>
      </c>
      <c r="J23" s="420">
        <v>4</v>
      </c>
      <c r="K23" s="420">
        <v>1292</v>
      </c>
      <c r="L23" s="420">
        <v>1.0031055900621118</v>
      </c>
      <c r="M23" s="420">
        <v>323</v>
      </c>
      <c r="N23" s="420">
        <v>59</v>
      </c>
      <c r="O23" s="420">
        <v>20414</v>
      </c>
      <c r="P23" s="440">
        <v>15.849378881987578</v>
      </c>
      <c r="Q23" s="441">
        <v>346</v>
      </c>
    </row>
    <row r="24" spans="1:17" ht="14.4" customHeight="1" x14ac:dyDescent="0.3">
      <c r="A24" s="419" t="s">
        <v>423</v>
      </c>
      <c r="B24" s="439" t="s">
        <v>360</v>
      </c>
      <c r="C24" s="439" t="s">
        <v>361</v>
      </c>
      <c r="D24" s="439" t="s">
        <v>372</v>
      </c>
      <c r="E24" s="439" t="s">
        <v>373</v>
      </c>
      <c r="F24" s="420"/>
      <c r="G24" s="420"/>
      <c r="H24" s="420"/>
      <c r="I24" s="420"/>
      <c r="J24" s="420">
        <v>4</v>
      </c>
      <c r="K24" s="420">
        <v>1292</v>
      </c>
      <c r="L24" s="420"/>
      <c r="M24" s="420">
        <v>323</v>
      </c>
      <c r="N24" s="420">
        <v>8</v>
      </c>
      <c r="O24" s="420">
        <v>2768</v>
      </c>
      <c r="P24" s="440"/>
      <c r="Q24" s="441">
        <v>346</v>
      </c>
    </row>
    <row r="25" spans="1:17" ht="14.4" customHeight="1" x14ac:dyDescent="0.3">
      <c r="A25" s="419" t="s">
        <v>424</v>
      </c>
      <c r="B25" s="439" t="s">
        <v>360</v>
      </c>
      <c r="C25" s="439" t="s">
        <v>361</v>
      </c>
      <c r="D25" s="439" t="s">
        <v>364</v>
      </c>
      <c r="E25" s="439" t="s">
        <v>365</v>
      </c>
      <c r="F25" s="420"/>
      <c r="G25" s="420"/>
      <c r="H25" s="420"/>
      <c r="I25" s="420"/>
      <c r="J25" s="420"/>
      <c r="K25" s="420"/>
      <c r="L25" s="420"/>
      <c r="M25" s="420"/>
      <c r="N25" s="420">
        <v>2</v>
      </c>
      <c r="O25" s="420">
        <v>148</v>
      </c>
      <c r="P25" s="440"/>
      <c r="Q25" s="441">
        <v>74</v>
      </c>
    </row>
    <row r="26" spans="1:17" ht="14.4" customHeight="1" x14ac:dyDescent="0.3">
      <c r="A26" s="419" t="s">
        <v>424</v>
      </c>
      <c r="B26" s="439" t="s">
        <v>360</v>
      </c>
      <c r="C26" s="439" t="s">
        <v>361</v>
      </c>
      <c r="D26" s="439" t="s">
        <v>366</v>
      </c>
      <c r="E26" s="439" t="s">
        <v>367</v>
      </c>
      <c r="F26" s="420">
        <v>626</v>
      </c>
      <c r="G26" s="420">
        <v>201146</v>
      </c>
      <c r="H26" s="420">
        <v>1</v>
      </c>
      <c r="I26" s="420">
        <v>321.3194888178914</v>
      </c>
      <c r="J26" s="420">
        <v>894</v>
      </c>
      <c r="K26" s="420">
        <v>288762</v>
      </c>
      <c r="L26" s="420">
        <v>1.4355841030892984</v>
      </c>
      <c r="M26" s="420">
        <v>323</v>
      </c>
      <c r="N26" s="420">
        <v>1018</v>
      </c>
      <c r="O26" s="420">
        <v>352228</v>
      </c>
      <c r="P26" s="440">
        <v>1.7511061616934962</v>
      </c>
      <c r="Q26" s="441">
        <v>346</v>
      </c>
    </row>
    <row r="27" spans="1:17" ht="14.4" customHeight="1" x14ac:dyDescent="0.3">
      <c r="A27" s="419" t="s">
        <v>424</v>
      </c>
      <c r="B27" s="439" t="s">
        <v>360</v>
      </c>
      <c r="C27" s="439" t="s">
        <v>361</v>
      </c>
      <c r="D27" s="439" t="s">
        <v>372</v>
      </c>
      <c r="E27" s="439" t="s">
        <v>373</v>
      </c>
      <c r="F27" s="420">
        <v>865</v>
      </c>
      <c r="G27" s="420">
        <v>277639</v>
      </c>
      <c r="H27" s="420">
        <v>1</v>
      </c>
      <c r="I27" s="420">
        <v>320.9699421965318</v>
      </c>
      <c r="J27" s="420">
        <v>870</v>
      </c>
      <c r="K27" s="420">
        <v>281010</v>
      </c>
      <c r="L27" s="420">
        <v>1.0121416659763218</v>
      </c>
      <c r="M27" s="420">
        <v>323</v>
      </c>
      <c r="N27" s="420">
        <v>708</v>
      </c>
      <c r="O27" s="420">
        <v>244968</v>
      </c>
      <c r="P27" s="440">
        <v>0.88232560987469344</v>
      </c>
      <c r="Q27" s="441">
        <v>346</v>
      </c>
    </row>
    <row r="28" spans="1:17" ht="14.4" customHeight="1" x14ac:dyDescent="0.3">
      <c r="A28" s="419" t="s">
        <v>425</v>
      </c>
      <c r="B28" s="439" t="s">
        <v>360</v>
      </c>
      <c r="C28" s="439" t="s">
        <v>361</v>
      </c>
      <c r="D28" s="439" t="s">
        <v>366</v>
      </c>
      <c r="E28" s="439" t="s">
        <v>367</v>
      </c>
      <c r="F28" s="420">
        <v>8</v>
      </c>
      <c r="G28" s="420">
        <v>2576</v>
      </c>
      <c r="H28" s="420">
        <v>1</v>
      </c>
      <c r="I28" s="420">
        <v>322</v>
      </c>
      <c r="J28" s="420">
        <v>4</v>
      </c>
      <c r="K28" s="420">
        <v>1292</v>
      </c>
      <c r="L28" s="420">
        <v>0.50155279503105588</v>
      </c>
      <c r="M28" s="420">
        <v>323</v>
      </c>
      <c r="N28" s="420">
        <v>8</v>
      </c>
      <c r="O28" s="420">
        <v>2768</v>
      </c>
      <c r="P28" s="440">
        <v>1.0745341614906831</v>
      </c>
      <c r="Q28" s="441">
        <v>346</v>
      </c>
    </row>
    <row r="29" spans="1:17" ht="14.4" customHeight="1" x14ac:dyDescent="0.3">
      <c r="A29" s="419" t="s">
        <v>425</v>
      </c>
      <c r="B29" s="439" t="s">
        <v>360</v>
      </c>
      <c r="C29" s="439" t="s">
        <v>361</v>
      </c>
      <c r="D29" s="439" t="s">
        <v>372</v>
      </c>
      <c r="E29" s="439" t="s">
        <v>373</v>
      </c>
      <c r="F29" s="420">
        <v>8</v>
      </c>
      <c r="G29" s="420">
        <v>2552</v>
      </c>
      <c r="H29" s="420">
        <v>1</v>
      </c>
      <c r="I29" s="420">
        <v>319</v>
      </c>
      <c r="J29" s="420"/>
      <c r="K29" s="420"/>
      <c r="L29" s="420"/>
      <c r="M29" s="420"/>
      <c r="N29" s="420"/>
      <c r="O29" s="420"/>
      <c r="P29" s="440"/>
      <c r="Q29" s="441"/>
    </row>
    <row r="30" spans="1:17" ht="14.4" customHeight="1" x14ac:dyDescent="0.3">
      <c r="A30" s="419" t="s">
        <v>426</v>
      </c>
      <c r="B30" s="439" t="s">
        <v>360</v>
      </c>
      <c r="C30" s="439" t="s">
        <v>361</v>
      </c>
      <c r="D30" s="439" t="s">
        <v>364</v>
      </c>
      <c r="E30" s="439" t="s">
        <v>365</v>
      </c>
      <c r="F30" s="420">
        <v>2</v>
      </c>
      <c r="G30" s="420">
        <v>140</v>
      </c>
      <c r="H30" s="420">
        <v>1</v>
      </c>
      <c r="I30" s="420">
        <v>70</v>
      </c>
      <c r="J30" s="420">
        <v>2</v>
      </c>
      <c r="K30" s="420">
        <v>140</v>
      </c>
      <c r="L30" s="420">
        <v>1</v>
      </c>
      <c r="M30" s="420">
        <v>70</v>
      </c>
      <c r="N30" s="420">
        <v>6</v>
      </c>
      <c r="O30" s="420">
        <v>444</v>
      </c>
      <c r="P30" s="440">
        <v>3.1714285714285713</v>
      </c>
      <c r="Q30" s="441">
        <v>74</v>
      </c>
    </row>
    <row r="31" spans="1:17" ht="14.4" customHeight="1" x14ac:dyDescent="0.3">
      <c r="A31" s="419" t="s">
        <v>426</v>
      </c>
      <c r="B31" s="439" t="s">
        <v>360</v>
      </c>
      <c r="C31" s="439" t="s">
        <v>361</v>
      </c>
      <c r="D31" s="439" t="s">
        <v>366</v>
      </c>
      <c r="E31" s="439" t="s">
        <v>367</v>
      </c>
      <c r="F31" s="420">
        <v>790</v>
      </c>
      <c r="G31" s="420">
        <v>253582</v>
      </c>
      <c r="H31" s="420">
        <v>1</v>
      </c>
      <c r="I31" s="420">
        <v>320.98987341772153</v>
      </c>
      <c r="J31" s="420">
        <v>776</v>
      </c>
      <c r="K31" s="420">
        <v>250648</v>
      </c>
      <c r="L31" s="420">
        <v>0.98842977813882693</v>
      </c>
      <c r="M31" s="420">
        <v>323</v>
      </c>
      <c r="N31" s="420">
        <v>946</v>
      </c>
      <c r="O31" s="420">
        <v>327316</v>
      </c>
      <c r="P31" s="440">
        <v>1.2907698495950028</v>
      </c>
      <c r="Q31" s="441">
        <v>346</v>
      </c>
    </row>
    <row r="32" spans="1:17" ht="14.4" customHeight="1" x14ac:dyDescent="0.3">
      <c r="A32" s="419" t="s">
        <v>426</v>
      </c>
      <c r="B32" s="439" t="s">
        <v>360</v>
      </c>
      <c r="C32" s="439" t="s">
        <v>361</v>
      </c>
      <c r="D32" s="439" t="s">
        <v>370</v>
      </c>
      <c r="E32" s="439" t="s">
        <v>371</v>
      </c>
      <c r="F32" s="420">
        <v>311</v>
      </c>
      <c r="G32" s="420">
        <v>99938</v>
      </c>
      <c r="H32" s="420">
        <v>1</v>
      </c>
      <c r="I32" s="420">
        <v>321.34405144694534</v>
      </c>
      <c r="J32" s="420">
        <v>355</v>
      </c>
      <c r="K32" s="420">
        <v>114665</v>
      </c>
      <c r="L32" s="420">
        <v>1.1473613640457083</v>
      </c>
      <c r="M32" s="420">
        <v>323</v>
      </c>
      <c r="N32" s="420">
        <v>297</v>
      </c>
      <c r="O32" s="420">
        <v>102762</v>
      </c>
      <c r="P32" s="440">
        <v>1.0282575196621906</v>
      </c>
      <c r="Q32" s="441">
        <v>346</v>
      </c>
    </row>
    <row r="33" spans="1:17" ht="14.4" customHeight="1" x14ac:dyDescent="0.3">
      <c r="A33" s="419" t="s">
        <v>426</v>
      </c>
      <c r="B33" s="439" t="s">
        <v>360</v>
      </c>
      <c r="C33" s="439" t="s">
        <v>361</v>
      </c>
      <c r="D33" s="439" t="s">
        <v>372</v>
      </c>
      <c r="E33" s="439" t="s">
        <v>373</v>
      </c>
      <c r="F33" s="420">
        <v>264</v>
      </c>
      <c r="G33" s="420">
        <v>84774</v>
      </c>
      <c r="H33" s="420">
        <v>1</v>
      </c>
      <c r="I33" s="420">
        <v>321.11363636363637</v>
      </c>
      <c r="J33" s="420">
        <v>333</v>
      </c>
      <c r="K33" s="420">
        <v>107559</v>
      </c>
      <c r="L33" s="420">
        <v>1.2687734446882299</v>
      </c>
      <c r="M33" s="420">
        <v>323</v>
      </c>
      <c r="N33" s="420">
        <v>175</v>
      </c>
      <c r="O33" s="420">
        <v>60550</v>
      </c>
      <c r="P33" s="440">
        <v>0.71425201122985826</v>
      </c>
      <c r="Q33" s="441">
        <v>346</v>
      </c>
    </row>
    <row r="34" spans="1:17" ht="14.4" customHeight="1" x14ac:dyDescent="0.3">
      <c r="A34" s="419" t="s">
        <v>426</v>
      </c>
      <c r="B34" s="439" t="s">
        <v>360</v>
      </c>
      <c r="C34" s="439" t="s">
        <v>361</v>
      </c>
      <c r="D34" s="439" t="s">
        <v>378</v>
      </c>
      <c r="E34" s="439" t="s">
        <v>379</v>
      </c>
      <c r="F34" s="420"/>
      <c r="G34" s="420"/>
      <c r="H34" s="420"/>
      <c r="I34" s="420"/>
      <c r="J34" s="420"/>
      <c r="K34" s="420"/>
      <c r="L34" s="420"/>
      <c r="M34" s="420"/>
      <c r="N34" s="420">
        <v>9</v>
      </c>
      <c r="O34" s="420">
        <v>5220</v>
      </c>
      <c r="P34" s="440"/>
      <c r="Q34" s="441">
        <v>580</v>
      </c>
    </row>
    <row r="35" spans="1:17" ht="14.4" customHeight="1" x14ac:dyDescent="0.3">
      <c r="A35" s="419" t="s">
        <v>426</v>
      </c>
      <c r="B35" s="439" t="s">
        <v>360</v>
      </c>
      <c r="C35" s="439" t="s">
        <v>361</v>
      </c>
      <c r="D35" s="439" t="s">
        <v>380</v>
      </c>
      <c r="E35" s="439" t="s">
        <v>381</v>
      </c>
      <c r="F35" s="420">
        <v>127</v>
      </c>
      <c r="G35" s="420">
        <v>69041</v>
      </c>
      <c r="H35" s="420">
        <v>1</v>
      </c>
      <c r="I35" s="420">
        <v>543.62992125984249</v>
      </c>
      <c r="J35" s="420">
        <v>162</v>
      </c>
      <c r="K35" s="420">
        <v>88614</v>
      </c>
      <c r="L35" s="420">
        <v>1.283498211207833</v>
      </c>
      <c r="M35" s="420">
        <v>547</v>
      </c>
      <c r="N35" s="420">
        <v>154</v>
      </c>
      <c r="O35" s="420">
        <v>89474</v>
      </c>
      <c r="P35" s="440">
        <v>1.2959545777146912</v>
      </c>
      <c r="Q35" s="441">
        <v>581</v>
      </c>
    </row>
    <row r="36" spans="1:17" ht="14.4" customHeight="1" x14ac:dyDescent="0.3">
      <c r="A36" s="419" t="s">
        <v>426</v>
      </c>
      <c r="B36" s="439" t="s">
        <v>360</v>
      </c>
      <c r="C36" s="439" t="s">
        <v>361</v>
      </c>
      <c r="D36" s="439" t="s">
        <v>382</v>
      </c>
      <c r="E36" s="439" t="s">
        <v>383</v>
      </c>
      <c r="F36" s="420">
        <v>4</v>
      </c>
      <c r="G36" s="420">
        <v>1088</v>
      </c>
      <c r="H36" s="420">
        <v>1</v>
      </c>
      <c r="I36" s="420">
        <v>272</v>
      </c>
      <c r="J36" s="420"/>
      <c r="K36" s="420"/>
      <c r="L36" s="420"/>
      <c r="M36" s="420"/>
      <c r="N36" s="420"/>
      <c r="O36" s="420"/>
      <c r="P36" s="440"/>
      <c r="Q36" s="441"/>
    </row>
    <row r="37" spans="1:17" ht="14.4" customHeight="1" x14ac:dyDescent="0.3">
      <c r="A37" s="419" t="s">
        <v>426</v>
      </c>
      <c r="B37" s="439" t="s">
        <v>360</v>
      </c>
      <c r="C37" s="439" t="s">
        <v>361</v>
      </c>
      <c r="D37" s="439" t="s">
        <v>384</v>
      </c>
      <c r="E37" s="439" t="s">
        <v>385</v>
      </c>
      <c r="F37" s="420">
        <v>64</v>
      </c>
      <c r="G37" s="420">
        <v>34664</v>
      </c>
      <c r="H37" s="420">
        <v>1</v>
      </c>
      <c r="I37" s="420">
        <v>541.625</v>
      </c>
      <c r="J37" s="420">
        <v>22</v>
      </c>
      <c r="K37" s="420">
        <v>12034</v>
      </c>
      <c r="L37" s="420">
        <v>0.34716132010154627</v>
      </c>
      <c r="M37" s="420">
        <v>547</v>
      </c>
      <c r="N37" s="420">
        <v>13</v>
      </c>
      <c r="O37" s="420">
        <v>7553</v>
      </c>
      <c r="P37" s="440">
        <v>0.21789176090468498</v>
      </c>
      <c r="Q37" s="441">
        <v>581</v>
      </c>
    </row>
    <row r="38" spans="1:17" ht="14.4" customHeight="1" x14ac:dyDescent="0.3">
      <c r="A38" s="419" t="s">
        <v>427</v>
      </c>
      <c r="B38" s="439" t="s">
        <v>360</v>
      </c>
      <c r="C38" s="439" t="s">
        <v>361</v>
      </c>
      <c r="D38" s="439" t="s">
        <v>366</v>
      </c>
      <c r="E38" s="439" t="s">
        <v>367</v>
      </c>
      <c r="F38" s="420"/>
      <c r="G38" s="420"/>
      <c r="H38" s="420"/>
      <c r="I38" s="420"/>
      <c r="J38" s="420">
        <v>48</v>
      </c>
      <c r="K38" s="420">
        <v>15504</v>
      </c>
      <c r="L38" s="420"/>
      <c r="M38" s="420">
        <v>323</v>
      </c>
      <c r="N38" s="420">
        <v>12</v>
      </c>
      <c r="O38" s="420">
        <v>4152</v>
      </c>
      <c r="P38" s="440"/>
      <c r="Q38" s="441">
        <v>346</v>
      </c>
    </row>
    <row r="39" spans="1:17" ht="14.4" customHeight="1" x14ac:dyDescent="0.3">
      <c r="A39" s="419" t="s">
        <v>428</v>
      </c>
      <c r="B39" s="439" t="s">
        <v>360</v>
      </c>
      <c r="C39" s="439" t="s">
        <v>361</v>
      </c>
      <c r="D39" s="439" t="s">
        <v>366</v>
      </c>
      <c r="E39" s="439" t="s">
        <v>367</v>
      </c>
      <c r="F39" s="420">
        <v>25</v>
      </c>
      <c r="G39" s="420">
        <v>8050</v>
      </c>
      <c r="H39" s="420">
        <v>1</v>
      </c>
      <c r="I39" s="420">
        <v>322</v>
      </c>
      <c r="J39" s="420">
        <v>128</v>
      </c>
      <c r="K39" s="420">
        <v>41344</v>
      </c>
      <c r="L39" s="420">
        <v>5.1359006211180125</v>
      </c>
      <c r="M39" s="420">
        <v>323</v>
      </c>
      <c r="N39" s="420">
        <v>50</v>
      </c>
      <c r="O39" s="420">
        <v>17300</v>
      </c>
      <c r="P39" s="440">
        <v>2.1490683229813663</v>
      </c>
      <c r="Q39" s="441">
        <v>346</v>
      </c>
    </row>
    <row r="40" spans="1:17" ht="14.4" customHeight="1" x14ac:dyDescent="0.3">
      <c r="A40" s="419" t="s">
        <v>429</v>
      </c>
      <c r="B40" s="439" t="s">
        <v>360</v>
      </c>
      <c r="C40" s="439" t="s">
        <v>361</v>
      </c>
      <c r="D40" s="439" t="s">
        <v>366</v>
      </c>
      <c r="E40" s="439" t="s">
        <v>367</v>
      </c>
      <c r="F40" s="420">
        <v>32</v>
      </c>
      <c r="G40" s="420">
        <v>10304</v>
      </c>
      <c r="H40" s="420">
        <v>1</v>
      </c>
      <c r="I40" s="420">
        <v>322</v>
      </c>
      <c r="J40" s="420">
        <v>132</v>
      </c>
      <c r="K40" s="420">
        <v>42636</v>
      </c>
      <c r="L40" s="420">
        <v>4.1378105590062111</v>
      </c>
      <c r="M40" s="420">
        <v>323</v>
      </c>
      <c r="N40" s="420">
        <v>76</v>
      </c>
      <c r="O40" s="420">
        <v>26296</v>
      </c>
      <c r="P40" s="440">
        <v>2.5520186335403725</v>
      </c>
      <c r="Q40" s="441">
        <v>346</v>
      </c>
    </row>
    <row r="41" spans="1:17" ht="14.4" customHeight="1" x14ac:dyDescent="0.3">
      <c r="A41" s="419" t="s">
        <v>430</v>
      </c>
      <c r="B41" s="439" t="s">
        <v>360</v>
      </c>
      <c r="C41" s="439" t="s">
        <v>361</v>
      </c>
      <c r="D41" s="439" t="s">
        <v>366</v>
      </c>
      <c r="E41" s="439" t="s">
        <v>367</v>
      </c>
      <c r="F41" s="420">
        <v>3</v>
      </c>
      <c r="G41" s="420">
        <v>966</v>
      </c>
      <c r="H41" s="420">
        <v>1</v>
      </c>
      <c r="I41" s="420">
        <v>322</v>
      </c>
      <c r="J41" s="420">
        <v>36</v>
      </c>
      <c r="K41" s="420">
        <v>11628</v>
      </c>
      <c r="L41" s="420">
        <v>12.037267080745341</v>
      </c>
      <c r="M41" s="420">
        <v>323</v>
      </c>
      <c r="N41" s="420"/>
      <c r="O41" s="420"/>
      <c r="P41" s="440"/>
      <c r="Q41" s="441"/>
    </row>
    <row r="42" spans="1:17" ht="14.4" customHeight="1" x14ac:dyDescent="0.3">
      <c r="A42" s="419" t="s">
        <v>431</v>
      </c>
      <c r="B42" s="439" t="s">
        <v>360</v>
      </c>
      <c r="C42" s="439" t="s">
        <v>361</v>
      </c>
      <c r="D42" s="439" t="s">
        <v>366</v>
      </c>
      <c r="E42" s="439" t="s">
        <v>367</v>
      </c>
      <c r="F42" s="420">
        <v>1859</v>
      </c>
      <c r="G42" s="420">
        <v>596615</v>
      </c>
      <c r="H42" s="420">
        <v>1</v>
      </c>
      <c r="I42" s="420">
        <v>320.93329747175903</v>
      </c>
      <c r="J42" s="420">
        <v>1594</v>
      </c>
      <c r="K42" s="420">
        <v>514862</v>
      </c>
      <c r="L42" s="420">
        <v>0.86297193332383526</v>
      </c>
      <c r="M42" s="420">
        <v>323</v>
      </c>
      <c r="N42" s="420">
        <v>940</v>
      </c>
      <c r="O42" s="420">
        <v>325240</v>
      </c>
      <c r="P42" s="440">
        <v>0.54514217711589552</v>
      </c>
      <c r="Q42" s="441">
        <v>346</v>
      </c>
    </row>
    <row r="43" spans="1:17" ht="14.4" customHeight="1" x14ac:dyDescent="0.3">
      <c r="A43" s="419" t="s">
        <v>431</v>
      </c>
      <c r="B43" s="439" t="s">
        <v>360</v>
      </c>
      <c r="C43" s="439" t="s">
        <v>361</v>
      </c>
      <c r="D43" s="439" t="s">
        <v>368</v>
      </c>
      <c r="E43" s="439" t="s">
        <v>369</v>
      </c>
      <c r="F43" s="420"/>
      <c r="G43" s="420"/>
      <c r="H43" s="420"/>
      <c r="I43" s="420"/>
      <c r="J43" s="420">
        <v>4</v>
      </c>
      <c r="K43" s="420">
        <v>860</v>
      </c>
      <c r="L43" s="420"/>
      <c r="M43" s="420">
        <v>215</v>
      </c>
      <c r="N43" s="420"/>
      <c r="O43" s="420"/>
      <c r="P43" s="440"/>
      <c r="Q43" s="441"/>
    </row>
    <row r="44" spans="1:17" ht="14.4" customHeight="1" x14ac:dyDescent="0.3">
      <c r="A44" s="419" t="s">
        <v>431</v>
      </c>
      <c r="B44" s="439" t="s">
        <v>360</v>
      </c>
      <c r="C44" s="439" t="s">
        <v>361</v>
      </c>
      <c r="D44" s="439" t="s">
        <v>370</v>
      </c>
      <c r="E44" s="439" t="s">
        <v>371</v>
      </c>
      <c r="F44" s="420">
        <v>8</v>
      </c>
      <c r="G44" s="420">
        <v>2576</v>
      </c>
      <c r="H44" s="420">
        <v>1</v>
      </c>
      <c r="I44" s="420">
        <v>322</v>
      </c>
      <c r="J44" s="420">
        <v>2</v>
      </c>
      <c r="K44" s="420">
        <v>646</v>
      </c>
      <c r="L44" s="420">
        <v>0.25077639751552794</v>
      </c>
      <c r="M44" s="420">
        <v>323</v>
      </c>
      <c r="N44" s="420">
        <v>4</v>
      </c>
      <c r="O44" s="420">
        <v>1384</v>
      </c>
      <c r="P44" s="440">
        <v>0.53726708074534157</v>
      </c>
      <c r="Q44" s="441">
        <v>346</v>
      </c>
    </row>
    <row r="45" spans="1:17" ht="14.4" customHeight="1" x14ac:dyDescent="0.3">
      <c r="A45" s="419" t="s">
        <v>431</v>
      </c>
      <c r="B45" s="439" t="s">
        <v>360</v>
      </c>
      <c r="C45" s="439" t="s">
        <v>361</v>
      </c>
      <c r="D45" s="439" t="s">
        <v>372</v>
      </c>
      <c r="E45" s="439" t="s">
        <v>373</v>
      </c>
      <c r="F45" s="420">
        <v>3</v>
      </c>
      <c r="G45" s="420">
        <v>966</v>
      </c>
      <c r="H45" s="420">
        <v>1</v>
      </c>
      <c r="I45" s="420">
        <v>322</v>
      </c>
      <c r="J45" s="420">
        <v>8</v>
      </c>
      <c r="K45" s="420">
        <v>2584</v>
      </c>
      <c r="L45" s="420">
        <v>2.6749482401656315</v>
      </c>
      <c r="M45" s="420">
        <v>323</v>
      </c>
      <c r="N45" s="420"/>
      <c r="O45" s="420"/>
      <c r="P45" s="440"/>
      <c r="Q45" s="441"/>
    </row>
    <row r="46" spans="1:17" ht="14.4" customHeight="1" x14ac:dyDescent="0.3">
      <c r="A46" s="419" t="s">
        <v>431</v>
      </c>
      <c r="B46" s="439" t="s">
        <v>360</v>
      </c>
      <c r="C46" s="439" t="s">
        <v>361</v>
      </c>
      <c r="D46" s="439" t="s">
        <v>378</v>
      </c>
      <c r="E46" s="439" t="s">
        <v>379</v>
      </c>
      <c r="F46" s="420">
        <v>86</v>
      </c>
      <c r="G46" s="420">
        <v>46676</v>
      </c>
      <c r="H46" s="420">
        <v>1</v>
      </c>
      <c r="I46" s="420">
        <v>542.74418604651157</v>
      </c>
      <c r="J46" s="420">
        <v>103</v>
      </c>
      <c r="K46" s="420">
        <v>56238</v>
      </c>
      <c r="L46" s="420">
        <v>1.2048590281943612</v>
      </c>
      <c r="M46" s="420">
        <v>546</v>
      </c>
      <c r="N46" s="420">
        <v>122</v>
      </c>
      <c r="O46" s="420">
        <v>70760</v>
      </c>
      <c r="P46" s="440">
        <v>1.5159825177821578</v>
      </c>
      <c r="Q46" s="441">
        <v>580</v>
      </c>
    </row>
    <row r="47" spans="1:17" ht="14.4" customHeight="1" x14ac:dyDescent="0.3">
      <c r="A47" s="419" t="s">
        <v>431</v>
      </c>
      <c r="B47" s="439" t="s">
        <v>360</v>
      </c>
      <c r="C47" s="439" t="s">
        <v>361</v>
      </c>
      <c r="D47" s="439" t="s">
        <v>386</v>
      </c>
      <c r="E47" s="439" t="s">
        <v>387</v>
      </c>
      <c r="F47" s="420"/>
      <c r="G47" s="420"/>
      <c r="H47" s="420"/>
      <c r="I47" s="420"/>
      <c r="J47" s="420"/>
      <c r="K47" s="420"/>
      <c r="L47" s="420"/>
      <c r="M47" s="420"/>
      <c r="N47" s="420">
        <v>4</v>
      </c>
      <c r="O47" s="420">
        <v>2320</v>
      </c>
      <c r="P47" s="440"/>
      <c r="Q47" s="441">
        <v>580</v>
      </c>
    </row>
    <row r="48" spans="1:17" ht="14.4" customHeight="1" x14ac:dyDescent="0.3">
      <c r="A48" s="419" t="s">
        <v>431</v>
      </c>
      <c r="B48" s="439" t="s">
        <v>360</v>
      </c>
      <c r="C48" s="439" t="s">
        <v>361</v>
      </c>
      <c r="D48" s="439" t="s">
        <v>432</v>
      </c>
      <c r="E48" s="439" t="s">
        <v>433</v>
      </c>
      <c r="F48" s="420"/>
      <c r="G48" s="420"/>
      <c r="H48" s="420"/>
      <c r="I48" s="420"/>
      <c r="J48" s="420">
        <v>4</v>
      </c>
      <c r="K48" s="420">
        <v>2580</v>
      </c>
      <c r="L48" s="420"/>
      <c r="M48" s="420">
        <v>645</v>
      </c>
      <c r="N48" s="420"/>
      <c r="O48" s="420"/>
      <c r="P48" s="440"/>
      <c r="Q48" s="441"/>
    </row>
    <row r="49" spans="1:17" ht="14.4" customHeight="1" x14ac:dyDescent="0.3">
      <c r="A49" s="419" t="s">
        <v>434</v>
      </c>
      <c r="B49" s="439" t="s">
        <v>360</v>
      </c>
      <c r="C49" s="439" t="s">
        <v>361</v>
      </c>
      <c r="D49" s="439" t="s">
        <v>364</v>
      </c>
      <c r="E49" s="439" t="s">
        <v>365</v>
      </c>
      <c r="F49" s="420">
        <v>1</v>
      </c>
      <c r="G49" s="420">
        <v>70</v>
      </c>
      <c r="H49" s="420">
        <v>1</v>
      </c>
      <c r="I49" s="420">
        <v>70</v>
      </c>
      <c r="J49" s="420"/>
      <c r="K49" s="420"/>
      <c r="L49" s="420"/>
      <c r="M49" s="420"/>
      <c r="N49" s="420"/>
      <c r="O49" s="420"/>
      <c r="P49" s="440"/>
      <c r="Q49" s="441"/>
    </row>
    <row r="50" spans="1:17" ht="14.4" customHeight="1" x14ac:dyDescent="0.3">
      <c r="A50" s="419" t="s">
        <v>434</v>
      </c>
      <c r="B50" s="439" t="s">
        <v>360</v>
      </c>
      <c r="C50" s="439" t="s">
        <v>361</v>
      </c>
      <c r="D50" s="439" t="s">
        <v>366</v>
      </c>
      <c r="E50" s="439" t="s">
        <v>367</v>
      </c>
      <c r="F50" s="420">
        <v>192</v>
      </c>
      <c r="G50" s="420">
        <v>61572</v>
      </c>
      <c r="H50" s="420">
        <v>1</v>
      </c>
      <c r="I50" s="420">
        <v>320.6875</v>
      </c>
      <c r="J50" s="420">
        <v>134</v>
      </c>
      <c r="K50" s="420">
        <v>43282</v>
      </c>
      <c r="L50" s="420">
        <v>0.70294939258104339</v>
      </c>
      <c r="M50" s="420">
        <v>323</v>
      </c>
      <c r="N50" s="420">
        <v>77</v>
      </c>
      <c r="O50" s="420">
        <v>26642</v>
      </c>
      <c r="P50" s="440">
        <v>0.43269668030923147</v>
      </c>
      <c r="Q50" s="441">
        <v>346</v>
      </c>
    </row>
    <row r="51" spans="1:17" ht="14.4" customHeight="1" x14ac:dyDescent="0.3">
      <c r="A51" s="419" t="s">
        <v>434</v>
      </c>
      <c r="B51" s="439" t="s">
        <v>360</v>
      </c>
      <c r="C51" s="439" t="s">
        <v>361</v>
      </c>
      <c r="D51" s="439" t="s">
        <v>378</v>
      </c>
      <c r="E51" s="439" t="s">
        <v>379</v>
      </c>
      <c r="F51" s="420">
        <v>1079</v>
      </c>
      <c r="G51" s="420">
        <v>585266</v>
      </c>
      <c r="H51" s="420">
        <v>1</v>
      </c>
      <c r="I51" s="420">
        <v>542.41519925857278</v>
      </c>
      <c r="J51" s="420">
        <v>1408</v>
      </c>
      <c r="K51" s="420">
        <v>768768</v>
      </c>
      <c r="L51" s="420">
        <v>1.3135360673608241</v>
      </c>
      <c r="M51" s="420">
        <v>546</v>
      </c>
      <c r="N51" s="420">
        <v>1388</v>
      </c>
      <c r="O51" s="420">
        <v>805040</v>
      </c>
      <c r="P51" s="440">
        <v>1.3755113059702768</v>
      </c>
      <c r="Q51" s="441">
        <v>580</v>
      </c>
    </row>
    <row r="52" spans="1:17" ht="14.4" customHeight="1" x14ac:dyDescent="0.3">
      <c r="A52" s="419" t="s">
        <v>434</v>
      </c>
      <c r="B52" s="439" t="s">
        <v>360</v>
      </c>
      <c r="C52" s="439" t="s">
        <v>361</v>
      </c>
      <c r="D52" s="439" t="s">
        <v>386</v>
      </c>
      <c r="E52" s="439" t="s">
        <v>387</v>
      </c>
      <c r="F52" s="420">
        <v>188</v>
      </c>
      <c r="G52" s="420">
        <v>102032</v>
      </c>
      <c r="H52" s="420">
        <v>1</v>
      </c>
      <c r="I52" s="420">
        <v>542.72340425531911</v>
      </c>
      <c r="J52" s="420">
        <v>204</v>
      </c>
      <c r="K52" s="420">
        <v>111384</v>
      </c>
      <c r="L52" s="420">
        <v>1.0916575192096598</v>
      </c>
      <c r="M52" s="420">
        <v>546</v>
      </c>
      <c r="N52" s="420">
        <v>100</v>
      </c>
      <c r="O52" s="420">
        <v>58000</v>
      </c>
      <c r="P52" s="440">
        <v>0.56844911400344988</v>
      </c>
      <c r="Q52" s="441">
        <v>580</v>
      </c>
    </row>
    <row r="53" spans="1:17" ht="14.4" customHeight="1" x14ac:dyDescent="0.3">
      <c r="A53" s="419" t="s">
        <v>434</v>
      </c>
      <c r="B53" s="439" t="s">
        <v>360</v>
      </c>
      <c r="C53" s="439" t="s">
        <v>361</v>
      </c>
      <c r="D53" s="439" t="s">
        <v>388</v>
      </c>
      <c r="E53" s="439" t="s">
        <v>389</v>
      </c>
      <c r="F53" s="420">
        <v>12</v>
      </c>
      <c r="G53" s="420">
        <v>3264</v>
      </c>
      <c r="H53" s="420">
        <v>1</v>
      </c>
      <c r="I53" s="420">
        <v>272</v>
      </c>
      <c r="J53" s="420">
        <v>36</v>
      </c>
      <c r="K53" s="420">
        <v>9828</v>
      </c>
      <c r="L53" s="420">
        <v>3.0110294117647061</v>
      </c>
      <c r="M53" s="420">
        <v>273</v>
      </c>
      <c r="N53" s="420">
        <v>20</v>
      </c>
      <c r="O53" s="420">
        <v>5800</v>
      </c>
      <c r="P53" s="440">
        <v>1.7769607843137254</v>
      </c>
      <c r="Q53" s="441">
        <v>290</v>
      </c>
    </row>
    <row r="54" spans="1:17" ht="14.4" customHeight="1" x14ac:dyDescent="0.3">
      <c r="A54" s="419" t="s">
        <v>435</v>
      </c>
      <c r="B54" s="439" t="s">
        <v>360</v>
      </c>
      <c r="C54" s="439" t="s">
        <v>361</v>
      </c>
      <c r="D54" s="439" t="s">
        <v>364</v>
      </c>
      <c r="E54" s="439" t="s">
        <v>365</v>
      </c>
      <c r="F54" s="420"/>
      <c r="G54" s="420"/>
      <c r="H54" s="420"/>
      <c r="I54" s="420"/>
      <c r="J54" s="420">
        <v>2</v>
      </c>
      <c r="K54" s="420">
        <v>140</v>
      </c>
      <c r="L54" s="420"/>
      <c r="M54" s="420">
        <v>70</v>
      </c>
      <c r="N54" s="420"/>
      <c r="O54" s="420"/>
      <c r="P54" s="440"/>
      <c r="Q54" s="441"/>
    </row>
    <row r="55" spans="1:17" ht="14.4" customHeight="1" x14ac:dyDescent="0.3">
      <c r="A55" s="419" t="s">
        <v>435</v>
      </c>
      <c r="B55" s="439" t="s">
        <v>360</v>
      </c>
      <c r="C55" s="439" t="s">
        <v>361</v>
      </c>
      <c r="D55" s="439" t="s">
        <v>366</v>
      </c>
      <c r="E55" s="439" t="s">
        <v>367</v>
      </c>
      <c r="F55" s="420">
        <v>4</v>
      </c>
      <c r="G55" s="420">
        <v>1288</v>
      </c>
      <c r="H55" s="420">
        <v>1</v>
      </c>
      <c r="I55" s="420">
        <v>322</v>
      </c>
      <c r="J55" s="420">
        <v>9</v>
      </c>
      <c r="K55" s="420">
        <v>2907</v>
      </c>
      <c r="L55" s="420">
        <v>2.2569875776397517</v>
      </c>
      <c r="M55" s="420">
        <v>323</v>
      </c>
      <c r="N55" s="420">
        <v>4</v>
      </c>
      <c r="O55" s="420">
        <v>1384</v>
      </c>
      <c r="P55" s="440">
        <v>1.0745341614906831</v>
      </c>
      <c r="Q55" s="441">
        <v>346</v>
      </c>
    </row>
    <row r="56" spans="1:17" ht="14.4" customHeight="1" x14ac:dyDescent="0.3">
      <c r="A56" s="419" t="s">
        <v>435</v>
      </c>
      <c r="B56" s="439" t="s">
        <v>360</v>
      </c>
      <c r="C56" s="439" t="s">
        <v>361</v>
      </c>
      <c r="D56" s="439" t="s">
        <v>372</v>
      </c>
      <c r="E56" s="439" t="s">
        <v>373</v>
      </c>
      <c r="F56" s="420"/>
      <c r="G56" s="420"/>
      <c r="H56" s="420"/>
      <c r="I56" s="420"/>
      <c r="J56" s="420">
        <v>3</v>
      </c>
      <c r="K56" s="420">
        <v>969</v>
      </c>
      <c r="L56" s="420"/>
      <c r="M56" s="420">
        <v>323</v>
      </c>
      <c r="N56" s="420">
        <v>4</v>
      </c>
      <c r="O56" s="420">
        <v>1384</v>
      </c>
      <c r="P56" s="440"/>
      <c r="Q56" s="441">
        <v>346</v>
      </c>
    </row>
    <row r="57" spans="1:17" ht="14.4" customHeight="1" x14ac:dyDescent="0.3">
      <c r="A57" s="419" t="s">
        <v>435</v>
      </c>
      <c r="B57" s="439" t="s">
        <v>360</v>
      </c>
      <c r="C57" s="439" t="s">
        <v>361</v>
      </c>
      <c r="D57" s="439" t="s">
        <v>378</v>
      </c>
      <c r="E57" s="439" t="s">
        <v>379</v>
      </c>
      <c r="F57" s="420">
        <v>8</v>
      </c>
      <c r="G57" s="420">
        <v>4352</v>
      </c>
      <c r="H57" s="420">
        <v>1</v>
      </c>
      <c r="I57" s="420">
        <v>544</v>
      </c>
      <c r="J57" s="420"/>
      <c r="K57" s="420"/>
      <c r="L57" s="420"/>
      <c r="M57" s="420"/>
      <c r="N57" s="420"/>
      <c r="O57" s="420"/>
      <c r="P57" s="440"/>
      <c r="Q57" s="441"/>
    </row>
    <row r="58" spans="1:17" ht="14.4" customHeight="1" x14ac:dyDescent="0.3">
      <c r="A58" s="419" t="s">
        <v>435</v>
      </c>
      <c r="B58" s="439" t="s">
        <v>360</v>
      </c>
      <c r="C58" s="439" t="s">
        <v>361</v>
      </c>
      <c r="D58" s="439" t="s">
        <v>386</v>
      </c>
      <c r="E58" s="439" t="s">
        <v>387</v>
      </c>
      <c r="F58" s="420">
        <v>20</v>
      </c>
      <c r="G58" s="420">
        <v>10880</v>
      </c>
      <c r="H58" s="420">
        <v>1</v>
      </c>
      <c r="I58" s="420">
        <v>544</v>
      </c>
      <c r="J58" s="420">
        <v>32</v>
      </c>
      <c r="K58" s="420">
        <v>17472</v>
      </c>
      <c r="L58" s="420">
        <v>1.6058823529411765</v>
      </c>
      <c r="M58" s="420">
        <v>546</v>
      </c>
      <c r="N58" s="420"/>
      <c r="O58" s="420"/>
      <c r="P58" s="440"/>
      <c r="Q58" s="441"/>
    </row>
    <row r="59" spans="1:17" ht="14.4" customHeight="1" x14ac:dyDescent="0.3">
      <c r="A59" s="419" t="s">
        <v>436</v>
      </c>
      <c r="B59" s="439" t="s">
        <v>360</v>
      </c>
      <c r="C59" s="439" t="s">
        <v>361</v>
      </c>
      <c r="D59" s="439" t="s">
        <v>366</v>
      </c>
      <c r="E59" s="439" t="s">
        <v>367</v>
      </c>
      <c r="F59" s="420">
        <v>32</v>
      </c>
      <c r="G59" s="420">
        <v>10292</v>
      </c>
      <c r="H59" s="420">
        <v>1</v>
      </c>
      <c r="I59" s="420">
        <v>321.625</v>
      </c>
      <c r="J59" s="420">
        <v>82</v>
      </c>
      <c r="K59" s="420">
        <v>26486</v>
      </c>
      <c r="L59" s="420">
        <v>2.5734551107656434</v>
      </c>
      <c r="M59" s="420">
        <v>323</v>
      </c>
      <c r="N59" s="420">
        <v>78</v>
      </c>
      <c r="O59" s="420">
        <v>26988</v>
      </c>
      <c r="P59" s="440">
        <v>2.6222308589195493</v>
      </c>
      <c r="Q59" s="441">
        <v>346</v>
      </c>
    </row>
    <row r="60" spans="1:17" ht="14.4" customHeight="1" x14ac:dyDescent="0.3">
      <c r="A60" s="419" t="s">
        <v>436</v>
      </c>
      <c r="B60" s="439" t="s">
        <v>360</v>
      </c>
      <c r="C60" s="439" t="s">
        <v>361</v>
      </c>
      <c r="D60" s="439" t="s">
        <v>378</v>
      </c>
      <c r="E60" s="439" t="s">
        <v>379</v>
      </c>
      <c r="F60" s="420">
        <v>4</v>
      </c>
      <c r="G60" s="420">
        <v>2152</v>
      </c>
      <c r="H60" s="420">
        <v>1</v>
      </c>
      <c r="I60" s="420">
        <v>538</v>
      </c>
      <c r="J60" s="420"/>
      <c r="K60" s="420"/>
      <c r="L60" s="420"/>
      <c r="M60" s="420"/>
      <c r="N60" s="420"/>
      <c r="O60" s="420"/>
      <c r="P60" s="440"/>
      <c r="Q60" s="441"/>
    </row>
    <row r="61" spans="1:17" ht="14.4" customHeight="1" x14ac:dyDescent="0.3">
      <c r="A61" s="419" t="s">
        <v>436</v>
      </c>
      <c r="B61" s="439" t="s">
        <v>360</v>
      </c>
      <c r="C61" s="439" t="s">
        <v>361</v>
      </c>
      <c r="D61" s="439" t="s">
        <v>380</v>
      </c>
      <c r="E61" s="439" t="s">
        <v>381</v>
      </c>
      <c r="F61" s="420"/>
      <c r="G61" s="420"/>
      <c r="H61" s="420"/>
      <c r="I61" s="420"/>
      <c r="J61" s="420"/>
      <c r="K61" s="420"/>
      <c r="L61" s="420"/>
      <c r="M61" s="420"/>
      <c r="N61" s="420">
        <v>6</v>
      </c>
      <c r="O61" s="420">
        <v>3486</v>
      </c>
      <c r="P61" s="440"/>
      <c r="Q61" s="441">
        <v>581</v>
      </c>
    </row>
    <row r="62" spans="1:17" ht="14.4" customHeight="1" x14ac:dyDescent="0.3">
      <c r="A62" s="419" t="s">
        <v>437</v>
      </c>
      <c r="B62" s="439" t="s">
        <v>360</v>
      </c>
      <c r="C62" s="439" t="s">
        <v>361</v>
      </c>
      <c r="D62" s="439" t="s">
        <v>364</v>
      </c>
      <c r="E62" s="439" t="s">
        <v>365</v>
      </c>
      <c r="F62" s="420">
        <v>2</v>
      </c>
      <c r="G62" s="420">
        <v>138</v>
      </c>
      <c r="H62" s="420">
        <v>1</v>
      </c>
      <c r="I62" s="420">
        <v>69</v>
      </c>
      <c r="J62" s="420"/>
      <c r="K62" s="420"/>
      <c r="L62" s="420"/>
      <c r="M62" s="420"/>
      <c r="N62" s="420"/>
      <c r="O62" s="420"/>
      <c r="P62" s="440"/>
      <c r="Q62" s="441"/>
    </row>
    <row r="63" spans="1:17" ht="14.4" customHeight="1" x14ac:dyDescent="0.3">
      <c r="A63" s="419" t="s">
        <v>437</v>
      </c>
      <c r="B63" s="439" t="s">
        <v>360</v>
      </c>
      <c r="C63" s="439" t="s">
        <v>361</v>
      </c>
      <c r="D63" s="439" t="s">
        <v>366</v>
      </c>
      <c r="E63" s="439" t="s">
        <v>367</v>
      </c>
      <c r="F63" s="420">
        <v>704</v>
      </c>
      <c r="G63" s="420">
        <v>226034</v>
      </c>
      <c r="H63" s="420">
        <v>1</v>
      </c>
      <c r="I63" s="420">
        <v>321.07102272727275</v>
      </c>
      <c r="J63" s="420">
        <v>952</v>
      </c>
      <c r="K63" s="420">
        <v>307496</v>
      </c>
      <c r="L63" s="420">
        <v>1.3603971083996214</v>
      </c>
      <c r="M63" s="420">
        <v>323</v>
      </c>
      <c r="N63" s="420">
        <v>1287</v>
      </c>
      <c r="O63" s="420">
        <v>445302</v>
      </c>
      <c r="P63" s="440">
        <v>1.9700664501800613</v>
      </c>
      <c r="Q63" s="441">
        <v>346</v>
      </c>
    </row>
    <row r="64" spans="1:17" ht="14.4" customHeight="1" x14ac:dyDescent="0.3">
      <c r="A64" s="419" t="s">
        <v>437</v>
      </c>
      <c r="B64" s="439" t="s">
        <v>360</v>
      </c>
      <c r="C64" s="439" t="s">
        <v>361</v>
      </c>
      <c r="D64" s="439" t="s">
        <v>370</v>
      </c>
      <c r="E64" s="439" t="s">
        <v>371</v>
      </c>
      <c r="F64" s="420">
        <v>32</v>
      </c>
      <c r="G64" s="420">
        <v>10292</v>
      </c>
      <c r="H64" s="420">
        <v>1</v>
      </c>
      <c r="I64" s="420">
        <v>321.625</v>
      </c>
      <c r="J64" s="420">
        <v>29</v>
      </c>
      <c r="K64" s="420">
        <v>9367</v>
      </c>
      <c r="L64" s="420">
        <v>0.91012436844150801</v>
      </c>
      <c r="M64" s="420">
        <v>323</v>
      </c>
      <c r="N64" s="420">
        <v>54</v>
      </c>
      <c r="O64" s="420">
        <v>18684</v>
      </c>
      <c r="P64" s="440">
        <v>1.8153905946366109</v>
      </c>
      <c r="Q64" s="441">
        <v>346</v>
      </c>
    </row>
    <row r="65" spans="1:17" ht="14.4" customHeight="1" x14ac:dyDescent="0.3">
      <c r="A65" s="419" t="s">
        <v>437</v>
      </c>
      <c r="B65" s="439" t="s">
        <v>360</v>
      </c>
      <c r="C65" s="439" t="s">
        <v>361</v>
      </c>
      <c r="D65" s="439" t="s">
        <v>372</v>
      </c>
      <c r="E65" s="439" t="s">
        <v>373</v>
      </c>
      <c r="F65" s="420">
        <v>18</v>
      </c>
      <c r="G65" s="420">
        <v>5784</v>
      </c>
      <c r="H65" s="420">
        <v>1</v>
      </c>
      <c r="I65" s="420">
        <v>321.33333333333331</v>
      </c>
      <c r="J65" s="420">
        <v>27</v>
      </c>
      <c r="K65" s="420">
        <v>8721</v>
      </c>
      <c r="L65" s="420">
        <v>1.5077800829875518</v>
      </c>
      <c r="M65" s="420">
        <v>323</v>
      </c>
      <c r="N65" s="420">
        <v>32</v>
      </c>
      <c r="O65" s="420">
        <v>11072</v>
      </c>
      <c r="P65" s="440">
        <v>1.9142461964038728</v>
      </c>
      <c r="Q65" s="441">
        <v>346</v>
      </c>
    </row>
    <row r="66" spans="1:17" ht="14.4" customHeight="1" x14ac:dyDescent="0.3">
      <c r="A66" s="419" t="s">
        <v>437</v>
      </c>
      <c r="B66" s="439" t="s">
        <v>360</v>
      </c>
      <c r="C66" s="439" t="s">
        <v>361</v>
      </c>
      <c r="D66" s="439" t="s">
        <v>378</v>
      </c>
      <c r="E66" s="439" t="s">
        <v>379</v>
      </c>
      <c r="F66" s="420"/>
      <c r="G66" s="420"/>
      <c r="H66" s="420"/>
      <c r="I66" s="420"/>
      <c r="J66" s="420">
        <v>6</v>
      </c>
      <c r="K66" s="420">
        <v>3276</v>
      </c>
      <c r="L66" s="420"/>
      <c r="M66" s="420">
        <v>546</v>
      </c>
      <c r="N66" s="420">
        <v>9</v>
      </c>
      <c r="O66" s="420">
        <v>5220</v>
      </c>
      <c r="P66" s="440"/>
      <c r="Q66" s="441">
        <v>580</v>
      </c>
    </row>
    <row r="67" spans="1:17" ht="14.4" customHeight="1" x14ac:dyDescent="0.3">
      <c r="A67" s="419" t="s">
        <v>437</v>
      </c>
      <c r="B67" s="439" t="s">
        <v>360</v>
      </c>
      <c r="C67" s="439" t="s">
        <v>361</v>
      </c>
      <c r="D67" s="439" t="s">
        <v>432</v>
      </c>
      <c r="E67" s="439" t="s">
        <v>433</v>
      </c>
      <c r="F67" s="420"/>
      <c r="G67" s="420"/>
      <c r="H67" s="420"/>
      <c r="I67" s="420"/>
      <c r="J67" s="420">
        <v>2</v>
      </c>
      <c r="K67" s="420">
        <v>1290</v>
      </c>
      <c r="L67" s="420"/>
      <c r="M67" s="420">
        <v>645</v>
      </c>
      <c r="N67" s="420"/>
      <c r="O67" s="420"/>
      <c r="P67" s="440"/>
      <c r="Q67" s="441"/>
    </row>
    <row r="68" spans="1:17" ht="14.4" customHeight="1" x14ac:dyDescent="0.3">
      <c r="A68" s="419" t="s">
        <v>438</v>
      </c>
      <c r="B68" s="439" t="s">
        <v>360</v>
      </c>
      <c r="C68" s="439" t="s">
        <v>361</v>
      </c>
      <c r="D68" s="439" t="s">
        <v>366</v>
      </c>
      <c r="E68" s="439" t="s">
        <v>367</v>
      </c>
      <c r="F68" s="420">
        <v>36</v>
      </c>
      <c r="G68" s="420">
        <v>11544</v>
      </c>
      <c r="H68" s="420">
        <v>1</v>
      </c>
      <c r="I68" s="420">
        <v>320.66666666666669</v>
      </c>
      <c r="J68" s="420">
        <v>60</v>
      </c>
      <c r="K68" s="420">
        <v>19380</v>
      </c>
      <c r="L68" s="420">
        <v>1.6787941787941787</v>
      </c>
      <c r="M68" s="420">
        <v>323</v>
      </c>
      <c r="N68" s="420">
        <v>44</v>
      </c>
      <c r="O68" s="420">
        <v>15224</v>
      </c>
      <c r="P68" s="440">
        <v>1.3187803187803189</v>
      </c>
      <c r="Q68" s="441">
        <v>346</v>
      </c>
    </row>
    <row r="69" spans="1:17" ht="14.4" customHeight="1" x14ac:dyDescent="0.3">
      <c r="A69" s="419" t="s">
        <v>439</v>
      </c>
      <c r="B69" s="439" t="s">
        <v>360</v>
      </c>
      <c r="C69" s="439" t="s">
        <v>361</v>
      </c>
      <c r="D69" s="439" t="s">
        <v>364</v>
      </c>
      <c r="E69" s="439" t="s">
        <v>365</v>
      </c>
      <c r="F69" s="420"/>
      <c r="G69" s="420"/>
      <c r="H69" s="420"/>
      <c r="I69" s="420"/>
      <c r="J69" s="420"/>
      <c r="K69" s="420"/>
      <c r="L69" s="420"/>
      <c r="M69" s="420"/>
      <c r="N69" s="420">
        <v>4</v>
      </c>
      <c r="O69" s="420">
        <v>296</v>
      </c>
      <c r="P69" s="440"/>
      <c r="Q69" s="441">
        <v>74</v>
      </c>
    </row>
    <row r="70" spans="1:17" ht="14.4" customHeight="1" x14ac:dyDescent="0.3">
      <c r="A70" s="419" t="s">
        <v>439</v>
      </c>
      <c r="B70" s="439" t="s">
        <v>360</v>
      </c>
      <c r="C70" s="439" t="s">
        <v>361</v>
      </c>
      <c r="D70" s="439" t="s">
        <v>366</v>
      </c>
      <c r="E70" s="439" t="s">
        <v>367</v>
      </c>
      <c r="F70" s="420">
        <v>236</v>
      </c>
      <c r="G70" s="420">
        <v>75968</v>
      </c>
      <c r="H70" s="420">
        <v>1</v>
      </c>
      <c r="I70" s="420">
        <v>321.89830508474574</v>
      </c>
      <c r="J70" s="420">
        <v>375</v>
      </c>
      <c r="K70" s="420">
        <v>121125</v>
      </c>
      <c r="L70" s="420">
        <v>1.5944213352990733</v>
      </c>
      <c r="M70" s="420">
        <v>323</v>
      </c>
      <c r="N70" s="420">
        <v>784</v>
      </c>
      <c r="O70" s="420">
        <v>271264</v>
      </c>
      <c r="P70" s="440">
        <v>3.5707666385846673</v>
      </c>
      <c r="Q70" s="441">
        <v>346</v>
      </c>
    </row>
    <row r="71" spans="1:17" ht="14.4" customHeight="1" x14ac:dyDescent="0.3">
      <c r="A71" s="419" t="s">
        <v>439</v>
      </c>
      <c r="B71" s="439" t="s">
        <v>360</v>
      </c>
      <c r="C71" s="439" t="s">
        <v>361</v>
      </c>
      <c r="D71" s="439" t="s">
        <v>378</v>
      </c>
      <c r="E71" s="439" t="s">
        <v>379</v>
      </c>
      <c r="F71" s="420">
        <v>44</v>
      </c>
      <c r="G71" s="420">
        <v>23888</v>
      </c>
      <c r="H71" s="420">
        <v>1</v>
      </c>
      <c r="I71" s="420">
        <v>542.90909090909088</v>
      </c>
      <c r="J71" s="420">
        <v>54</v>
      </c>
      <c r="K71" s="420">
        <v>29484</v>
      </c>
      <c r="L71" s="420">
        <v>1.2342598794373745</v>
      </c>
      <c r="M71" s="420">
        <v>546</v>
      </c>
      <c r="N71" s="420">
        <v>33</v>
      </c>
      <c r="O71" s="420">
        <v>19140</v>
      </c>
      <c r="P71" s="440">
        <v>0.80123911587407903</v>
      </c>
      <c r="Q71" s="441">
        <v>580</v>
      </c>
    </row>
    <row r="72" spans="1:17" ht="14.4" customHeight="1" x14ac:dyDescent="0.3">
      <c r="A72" s="419" t="s">
        <v>440</v>
      </c>
      <c r="B72" s="439" t="s">
        <v>360</v>
      </c>
      <c r="C72" s="439" t="s">
        <v>361</v>
      </c>
      <c r="D72" s="439" t="s">
        <v>366</v>
      </c>
      <c r="E72" s="439" t="s">
        <v>367</v>
      </c>
      <c r="F72" s="420">
        <v>64</v>
      </c>
      <c r="G72" s="420">
        <v>20584</v>
      </c>
      <c r="H72" s="420">
        <v>1</v>
      </c>
      <c r="I72" s="420">
        <v>321.625</v>
      </c>
      <c r="J72" s="420">
        <v>228</v>
      </c>
      <c r="K72" s="420">
        <v>73644</v>
      </c>
      <c r="L72" s="420">
        <v>3.5777302759424794</v>
      </c>
      <c r="M72" s="420">
        <v>323</v>
      </c>
      <c r="N72" s="420">
        <v>210</v>
      </c>
      <c r="O72" s="420">
        <v>72660</v>
      </c>
      <c r="P72" s="440">
        <v>3.5299261562378548</v>
      </c>
      <c r="Q72" s="441">
        <v>346</v>
      </c>
    </row>
    <row r="73" spans="1:17" ht="14.4" customHeight="1" x14ac:dyDescent="0.3">
      <c r="A73" s="419" t="s">
        <v>440</v>
      </c>
      <c r="B73" s="439" t="s">
        <v>360</v>
      </c>
      <c r="C73" s="439" t="s">
        <v>361</v>
      </c>
      <c r="D73" s="439" t="s">
        <v>372</v>
      </c>
      <c r="E73" s="439" t="s">
        <v>373</v>
      </c>
      <c r="F73" s="420">
        <v>4</v>
      </c>
      <c r="G73" s="420">
        <v>1288</v>
      </c>
      <c r="H73" s="420">
        <v>1</v>
      </c>
      <c r="I73" s="420">
        <v>322</v>
      </c>
      <c r="J73" s="420"/>
      <c r="K73" s="420"/>
      <c r="L73" s="420"/>
      <c r="M73" s="420"/>
      <c r="N73" s="420">
        <v>7</v>
      </c>
      <c r="O73" s="420">
        <v>2422</v>
      </c>
      <c r="P73" s="440">
        <v>1.8804347826086956</v>
      </c>
      <c r="Q73" s="441">
        <v>346</v>
      </c>
    </row>
    <row r="74" spans="1:17" ht="14.4" customHeight="1" x14ac:dyDescent="0.3">
      <c r="A74" s="419" t="s">
        <v>440</v>
      </c>
      <c r="B74" s="439" t="s">
        <v>360</v>
      </c>
      <c r="C74" s="439" t="s">
        <v>361</v>
      </c>
      <c r="D74" s="439" t="s">
        <v>378</v>
      </c>
      <c r="E74" s="439" t="s">
        <v>379</v>
      </c>
      <c r="F74" s="420">
        <v>29</v>
      </c>
      <c r="G74" s="420">
        <v>15770</v>
      </c>
      <c r="H74" s="420">
        <v>1</v>
      </c>
      <c r="I74" s="420">
        <v>543.79310344827582</v>
      </c>
      <c r="J74" s="420">
        <v>122</v>
      </c>
      <c r="K74" s="420">
        <v>66612</v>
      </c>
      <c r="L74" s="420">
        <v>4.2239695624603675</v>
      </c>
      <c r="M74" s="420">
        <v>546</v>
      </c>
      <c r="N74" s="420">
        <v>72</v>
      </c>
      <c r="O74" s="420">
        <v>41760</v>
      </c>
      <c r="P74" s="440">
        <v>2.6480659480025364</v>
      </c>
      <c r="Q74" s="441">
        <v>580</v>
      </c>
    </row>
    <row r="75" spans="1:17" ht="14.4" customHeight="1" x14ac:dyDescent="0.3">
      <c r="A75" s="419" t="s">
        <v>441</v>
      </c>
      <c r="B75" s="439" t="s">
        <v>360</v>
      </c>
      <c r="C75" s="439" t="s">
        <v>361</v>
      </c>
      <c r="D75" s="439" t="s">
        <v>364</v>
      </c>
      <c r="E75" s="439" t="s">
        <v>365</v>
      </c>
      <c r="F75" s="420"/>
      <c r="G75" s="420"/>
      <c r="H75" s="420"/>
      <c r="I75" s="420"/>
      <c r="J75" s="420">
        <v>4</v>
      </c>
      <c r="K75" s="420">
        <v>280</v>
      </c>
      <c r="L75" s="420"/>
      <c r="M75" s="420">
        <v>70</v>
      </c>
      <c r="N75" s="420">
        <v>2</v>
      </c>
      <c r="O75" s="420">
        <v>148</v>
      </c>
      <c r="P75" s="440"/>
      <c r="Q75" s="441">
        <v>74</v>
      </c>
    </row>
    <row r="76" spans="1:17" ht="14.4" customHeight="1" x14ac:dyDescent="0.3">
      <c r="A76" s="419" t="s">
        <v>441</v>
      </c>
      <c r="B76" s="439" t="s">
        <v>360</v>
      </c>
      <c r="C76" s="439" t="s">
        <v>361</v>
      </c>
      <c r="D76" s="439" t="s">
        <v>366</v>
      </c>
      <c r="E76" s="439" t="s">
        <v>367</v>
      </c>
      <c r="F76" s="420">
        <v>226</v>
      </c>
      <c r="G76" s="420">
        <v>72592</v>
      </c>
      <c r="H76" s="420">
        <v>1</v>
      </c>
      <c r="I76" s="420">
        <v>321.20353982300884</v>
      </c>
      <c r="J76" s="420">
        <v>388</v>
      </c>
      <c r="K76" s="420">
        <v>125324</v>
      </c>
      <c r="L76" s="420">
        <v>1.7264161340092572</v>
      </c>
      <c r="M76" s="420">
        <v>323</v>
      </c>
      <c r="N76" s="420">
        <v>612</v>
      </c>
      <c r="O76" s="420">
        <v>211752</v>
      </c>
      <c r="P76" s="440">
        <v>2.9170156491073396</v>
      </c>
      <c r="Q76" s="441">
        <v>346</v>
      </c>
    </row>
    <row r="77" spans="1:17" ht="14.4" customHeight="1" x14ac:dyDescent="0.3">
      <c r="A77" s="419" t="s">
        <v>441</v>
      </c>
      <c r="B77" s="439" t="s">
        <v>360</v>
      </c>
      <c r="C77" s="439" t="s">
        <v>361</v>
      </c>
      <c r="D77" s="439" t="s">
        <v>370</v>
      </c>
      <c r="E77" s="439" t="s">
        <v>371</v>
      </c>
      <c r="F77" s="420"/>
      <c r="G77" s="420"/>
      <c r="H77" s="420"/>
      <c r="I77" s="420"/>
      <c r="J77" s="420">
        <v>8</v>
      </c>
      <c r="K77" s="420">
        <v>2584</v>
      </c>
      <c r="L77" s="420"/>
      <c r="M77" s="420">
        <v>323</v>
      </c>
      <c r="N77" s="420">
        <v>4</v>
      </c>
      <c r="O77" s="420">
        <v>1384</v>
      </c>
      <c r="P77" s="440"/>
      <c r="Q77" s="441">
        <v>346</v>
      </c>
    </row>
    <row r="78" spans="1:17" ht="14.4" customHeight="1" x14ac:dyDescent="0.3">
      <c r="A78" s="419" t="s">
        <v>441</v>
      </c>
      <c r="B78" s="439" t="s">
        <v>360</v>
      </c>
      <c r="C78" s="439" t="s">
        <v>361</v>
      </c>
      <c r="D78" s="439" t="s">
        <v>372</v>
      </c>
      <c r="E78" s="439" t="s">
        <v>373</v>
      </c>
      <c r="F78" s="420"/>
      <c r="G78" s="420"/>
      <c r="H78" s="420"/>
      <c r="I78" s="420"/>
      <c r="J78" s="420">
        <v>4</v>
      </c>
      <c r="K78" s="420">
        <v>1292</v>
      </c>
      <c r="L78" s="420"/>
      <c r="M78" s="420">
        <v>323</v>
      </c>
      <c r="N78" s="420">
        <v>4</v>
      </c>
      <c r="O78" s="420">
        <v>1384</v>
      </c>
      <c r="P78" s="440"/>
      <c r="Q78" s="441">
        <v>346</v>
      </c>
    </row>
    <row r="79" spans="1:17" ht="14.4" customHeight="1" x14ac:dyDescent="0.3">
      <c r="A79" s="419" t="s">
        <v>441</v>
      </c>
      <c r="B79" s="439" t="s">
        <v>360</v>
      </c>
      <c r="C79" s="439" t="s">
        <v>361</v>
      </c>
      <c r="D79" s="439" t="s">
        <v>378</v>
      </c>
      <c r="E79" s="439" t="s">
        <v>379</v>
      </c>
      <c r="F79" s="420"/>
      <c r="G79" s="420"/>
      <c r="H79" s="420"/>
      <c r="I79" s="420"/>
      <c r="J79" s="420">
        <v>6</v>
      </c>
      <c r="K79" s="420">
        <v>3276</v>
      </c>
      <c r="L79" s="420"/>
      <c r="M79" s="420">
        <v>546</v>
      </c>
      <c r="N79" s="420"/>
      <c r="O79" s="420"/>
      <c r="P79" s="440"/>
      <c r="Q79" s="441"/>
    </row>
    <row r="80" spans="1:17" ht="14.4" customHeight="1" x14ac:dyDescent="0.3">
      <c r="A80" s="419" t="s">
        <v>442</v>
      </c>
      <c r="B80" s="439" t="s">
        <v>360</v>
      </c>
      <c r="C80" s="439" t="s">
        <v>361</v>
      </c>
      <c r="D80" s="439" t="s">
        <v>366</v>
      </c>
      <c r="E80" s="439" t="s">
        <v>367</v>
      </c>
      <c r="F80" s="420">
        <v>1481</v>
      </c>
      <c r="G80" s="420">
        <v>475769</v>
      </c>
      <c r="H80" s="420">
        <v>1</v>
      </c>
      <c r="I80" s="420">
        <v>321.24848075624578</v>
      </c>
      <c r="J80" s="420">
        <v>1618</v>
      </c>
      <c r="K80" s="420">
        <v>522614</v>
      </c>
      <c r="L80" s="420">
        <v>1.0984616484050034</v>
      </c>
      <c r="M80" s="420">
        <v>323</v>
      </c>
      <c r="N80" s="420">
        <v>1937</v>
      </c>
      <c r="O80" s="420">
        <v>670202</v>
      </c>
      <c r="P80" s="440">
        <v>1.4086710147151245</v>
      </c>
      <c r="Q80" s="441">
        <v>346</v>
      </c>
    </row>
    <row r="81" spans="1:17" ht="14.4" customHeight="1" x14ac:dyDescent="0.3">
      <c r="A81" s="419" t="s">
        <v>442</v>
      </c>
      <c r="B81" s="439" t="s">
        <v>360</v>
      </c>
      <c r="C81" s="439" t="s">
        <v>361</v>
      </c>
      <c r="D81" s="439" t="s">
        <v>372</v>
      </c>
      <c r="E81" s="439" t="s">
        <v>373</v>
      </c>
      <c r="F81" s="420">
        <v>1</v>
      </c>
      <c r="G81" s="420">
        <v>319</v>
      </c>
      <c r="H81" s="420">
        <v>1</v>
      </c>
      <c r="I81" s="420">
        <v>319</v>
      </c>
      <c r="J81" s="420"/>
      <c r="K81" s="420"/>
      <c r="L81" s="420"/>
      <c r="M81" s="420"/>
      <c r="N81" s="420">
        <v>11</v>
      </c>
      <c r="O81" s="420">
        <v>3806</v>
      </c>
      <c r="P81" s="440">
        <v>11.931034482758621</v>
      </c>
      <c r="Q81" s="441">
        <v>346</v>
      </c>
    </row>
    <row r="82" spans="1:17" ht="14.4" customHeight="1" x14ac:dyDescent="0.3">
      <c r="A82" s="419" t="s">
        <v>442</v>
      </c>
      <c r="B82" s="439" t="s">
        <v>360</v>
      </c>
      <c r="C82" s="439" t="s">
        <v>361</v>
      </c>
      <c r="D82" s="439" t="s">
        <v>378</v>
      </c>
      <c r="E82" s="439" t="s">
        <v>379</v>
      </c>
      <c r="F82" s="420"/>
      <c r="G82" s="420"/>
      <c r="H82" s="420"/>
      <c r="I82" s="420"/>
      <c r="J82" s="420">
        <v>9</v>
      </c>
      <c r="K82" s="420">
        <v>4914</v>
      </c>
      <c r="L82" s="420"/>
      <c r="M82" s="420">
        <v>546</v>
      </c>
      <c r="N82" s="420">
        <v>12</v>
      </c>
      <c r="O82" s="420">
        <v>6960</v>
      </c>
      <c r="P82" s="440"/>
      <c r="Q82" s="441">
        <v>580</v>
      </c>
    </row>
    <row r="83" spans="1:17" ht="14.4" customHeight="1" x14ac:dyDescent="0.3">
      <c r="A83" s="419" t="s">
        <v>443</v>
      </c>
      <c r="B83" s="439" t="s">
        <v>360</v>
      </c>
      <c r="C83" s="439" t="s">
        <v>361</v>
      </c>
      <c r="D83" s="439" t="s">
        <v>366</v>
      </c>
      <c r="E83" s="439" t="s">
        <v>367</v>
      </c>
      <c r="F83" s="420">
        <v>36</v>
      </c>
      <c r="G83" s="420">
        <v>11550</v>
      </c>
      <c r="H83" s="420">
        <v>1</v>
      </c>
      <c r="I83" s="420">
        <v>320.83333333333331</v>
      </c>
      <c r="J83" s="420"/>
      <c r="K83" s="420"/>
      <c r="L83" s="420"/>
      <c r="M83" s="420"/>
      <c r="N83" s="420">
        <v>34</v>
      </c>
      <c r="O83" s="420">
        <v>11764</v>
      </c>
      <c r="P83" s="440">
        <v>1.0185281385281386</v>
      </c>
      <c r="Q83" s="441">
        <v>346</v>
      </c>
    </row>
    <row r="84" spans="1:17" ht="14.4" customHeight="1" x14ac:dyDescent="0.3">
      <c r="A84" s="419" t="s">
        <v>443</v>
      </c>
      <c r="B84" s="439" t="s">
        <v>360</v>
      </c>
      <c r="C84" s="439" t="s">
        <v>361</v>
      </c>
      <c r="D84" s="439" t="s">
        <v>378</v>
      </c>
      <c r="E84" s="439" t="s">
        <v>379</v>
      </c>
      <c r="F84" s="420">
        <v>4</v>
      </c>
      <c r="G84" s="420">
        <v>2176</v>
      </c>
      <c r="H84" s="420">
        <v>1</v>
      </c>
      <c r="I84" s="420">
        <v>544</v>
      </c>
      <c r="J84" s="420"/>
      <c r="K84" s="420"/>
      <c r="L84" s="420"/>
      <c r="M84" s="420"/>
      <c r="N84" s="420"/>
      <c r="O84" s="420"/>
      <c r="P84" s="440"/>
      <c r="Q84" s="441"/>
    </row>
    <row r="85" spans="1:17" ht="14.4" customHeight="1" x14ac:dyDescent="0.3">
      <c r="A85" s="419" t="s">
        <v>444</v>
      </c>
      <c r="B85" s="439" t="s">
        <v>360</v>
      </c>
      <c r="C85" s="439" t="s">
        <v>361</v>
      </c>
      <c r="D85" s="439" t="s">
        <v>364</v>
      </c>
      <c r="E85" s="439" t="s">
        <v>365</v>
      </c>
      <c r="F85" s="420">
        <v>1</v>
      </c>
      <c r="G85" s="420">
        <v>70</v>
      </c>
      <c r="H85" s="420">
        <v>1</v>
      </c>
      <c r="I85" s="420">
        <v>70</v>
      </c>
      <c r="J85" s="420"/>
      <c r="K85" s="420"/>
      <c r="L85" s="420"/>
      <c r="M85" s="420"/>
      <c r="N85" s="420">
        <v>4</v>
      </c>
      <c r="O85" s="420">
        <v>296</v>
      </c>
      <c r="P85" s="440">
        <v>4.2285714285714286</v>
      </c>
      <c r="Q85" s="441">
        <v>74</v>
      </c>
    </row>
    <row r="86" spans="1:17" ht="14.4" customHeight="1" x14ac:dyDescent="0.3">
      <c r="A86" s="419" t="s">
        <v>444</v>
      </c>
      <c r="B86" s="439" t="s">
        <v>360</v>
      </c>
      <c r="C86" s="439" t="s">
        <v>361</v>
      </c>
      <c r="D86" s="439" t="s">
        <v>366</v>
      </c>
      <c r="E86" s="439" t="s">
        <v>367</v>
      </c>
      <c r="F86" s="420">
        <v>71</v>
      </c>
      <c r="G86" s="420">
        <v>22862</v>
      </c>
      <c r="H86" s="420">
        <v>1</v>
      </c>
      <c r="I86" s="420">
        <v>322</v>
      </c>
      <c r="J86" s="420">
        <v>76</v>
      </c>
      <c r="K86" s="420">
        <v>24548</v>
      </c>
      <c r="L86" s="420">
        <v>1.0737468287988803</v>
      </c>
      <c r="M86" s="420">
        <v>323</v>
      </c>
      <c r="N86" s="420">
        <v>138</v>
      </c>
      <c r="O86" s="420">
        <v>47748</v>
      </c>
      <c r="P86" s="440">
        <v>2.0885311871227366</v>
      </c>
      <c r="Q86" s="441">
        <v>346</v>
      </c>
    </row>
    <row r="87" spans="1:17" ht="14.4" customHeight="1" thickBot="1" x14ac:dyDescent="0.35">
      <c r="A87" s="373" t="s">
        <v>444</v>
      </c>
      <c r="B87" s="374" t="s">
        <v>360</v>
      </c>
      <c r="C87" s="374" t="s">
        <v>361</v>
      </c>
      <c r="D87" s="374" t="s">
        <v>372</v>
      </c>
      <c r="E87" s="374" t="s">
        <v>373</v>
      </c>
      <c r="F87" s="377">
        <v>36</v>
      </c>
      <c r="G87" s="377">
        <v>11526</v>
      </c>
      <c r="H87" s="377">
        <v>1</v>
      </c>
      <c r="I87" s="377">
        <v>320.16666666666669</v>
      </c>
      <c r="J87" s="377">
        <v>20</v>
      </c>
      <c r="K87" s="377">
        <v>6460</v>
      </c>
      <c r="L87" s="377">
        <v>0.56047197640117996</v>
      </c>
      <c r="M87" s="377">
        <v>323</v>
      </c>
      <c r="N87" s="377">
        <v>30</v>
      </c>
      <c r="O87" s="377">
        <v>10380</v>
      </c>
      <c r="P87" s="442">
        <v>0.90057261842790215</v>
      </c>
      <c r="Q87" s="378">
        <v>346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2017-01-31T11:57:53Z</dcterms:modified>
</cp:coreProperties>
</file>