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Osobní náklady" sheetId="419" r:id="rId8"/>
    <sheet name="ON Data" sheetId="418" state="hidden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E26" i="419" l="1"/>
  <c r="E25" i="419"/>
  <c r="F26" i="419"/>
  <c r="F25" i="419"/>
  <c r="D26" i="419"/>
  <c r="D25" i="419"/>
  <c r="C25" i="419"/>
  <c r="C26" i="419"/>
  <c r="C27" i="419" s="1"/>
  <c r="D27" i="419" l="1"/>
  <c r="D28" i="419"/>
  <c r="C28" i="419"/>
  <c r="B26" i="419"/>
  <c r="E28" i="419"/>
  <c r="E27" i="419" l="1"/>
  <c r="AE3" i="418" l="1"/>
  <c r="I3" i="418"/>
  <c r="F28" i="419" l="1"/>
  <c r="F27" i="419"/>
  <c r="D18" i="414" l="1"/>
  <c r="E18" i="414" s="1"/>
  <c r="D17" i="414"/>
  <c r="A18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F20" i="419" l="1"/>
  <c r="F19" i="419"/>
  <c r="F17" i="419"/>
  <c r="F16" i="419"/>
  <c r="F14" i="419"/>
  <c r="F13" i="419"/>
  <c r="F12" i="419"/>
  <c r="F11" i="419"/>
  <c r="AW3" i="418"/>
  <c r="AV3" i="418"/>
  <c r="AU3" i="418"/>
  <c r="AT3" i="418"/>
  <c r="AS3" i="418"/>
  <c r="AR3" i="418"/>
  <c r="F18" i="419" l="1"/>
  <c r="B25" i="419"/>
  <c r="B27" i="419" l="1"/>
  <c r="A7" i="414"/>
  <c r="E21" i="419" l="1"/>
  <c r="D21" i="419"/>
  <c r="E20" i="419"/>
  <c r="D20" i="419"/>
  <c r="E19" i="419"/>
  <c r="D19" i="419"/>
  <c r="E17" i="419"/>
  <c r="D17" i="419"/>
  <c r="E16" i="419"/>
  <c r="D16" i="419"/>
  <c r="E14" i="419"/>
  <c r="D14" i="419"/>
  <c r="E13" i="419"/>
  <c r="D13" i="419"/>
  <c r="E12" i="419"/>
  <c r="D12" i="419"/>
  <c r="E11" i="419"/>
  <c r="D11" i="419"/>
  <c r="D18" i="419" l="1"/>
  <c r="D23" i="419"/>
  <c r="E23" i="419"/>
  <c r="E18" i="419"/>
  <c r="D22" i="419"/>
  <c r="E22" i="419"/>
  <c r="N3" i="418"/>
  <c r="B21" i="419" l="1"/>
  <c r="B22" i="419" l="1"/>
  <c r="A16" i="383"/>
  <c r="G3" i="429"/>
  <c r="F3" i="429"/>
  <c r="E3" i="429"/>
  <c r="D3" i="429"/>
  <c r="C3" i="429"/>
  <c r="B3" i="429"/>
  <c r="C11" i="340" l="1"/>
  <c r="A11" i="383" l="1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D6" i="419" l="1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9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12" i="414"/>
  <c r="D15" i="414"/>
  <c r="D4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20" i="383"/>
  <c r="A19" i="383"/>
  <c r="A17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H13" i="339" l="1"/>
  <c r="F15" i="339"/>
  <c r="J13" i="339"/>
  <c r="B15" i="339"/>
  <c r="E12" i="414"/>
  <c r="E4" i="414"/>
  <c r="C6" i="340"/>
  <c r="D6" i="340" s="1"/>
  <c r="B4" i="340"/>
  <c r="G13" i="339"/>
  <c r="B12" i="340" l="1"/>
  <c r="B13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<sst xmlns="http://schemas.openxmlformats.org/spreadsheetml/2006/main" count="1509" uniqueCount="412">
  <si>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</si>
  <si>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</si>
  <si>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</si>
  <si>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</si>
  <si>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</si>
  <si>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</si>
  <si>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</si>
  <si>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</si>
  <si>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</si>
  <si>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</si>
  <si>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</si>
  <si>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</si>
  <si>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</si>
  <si>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</si>
  <si>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</si>
  <si>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</si>
  <si>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</si>
  <si>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</si>
  <si>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</si>
  <si>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</si>
  <si>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</si>
  <si>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</si>
  <si>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</si>
  <si>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</si>
  <si>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</si>
  <si>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</si>
  <si>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</si>
  <si>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</si>
  <si>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</si>
  <si>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</si>
  <si>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</si>
  <si>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</si>
  <si>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</si>
  <si>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</si>
  <si>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</si>
  <si>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</si>
  <si>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</si>
  <si>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</si>
  <si>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</si>
  <si>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</si>
  <si>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</si>
  <si>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</si>
  <si>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</si>
  <si>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</si>
  <si>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</si>
  <si>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</si>
  <si>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</si>
  <si>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</si>
  <si>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</si>
  <si>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</si>
  <si>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</si>
  <si>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</si>
  <si>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</si>
  <si>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</si>
  <si>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</si>
  <si>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</si>
  <si>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</si>
  <si>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</si>
  <si>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</si>
  <si>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</si>
  <si>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</si>
  <si>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</si>
  <si>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</si>
  <si>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</si>
  <si>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</si>
  <si>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</si>
  <si>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</si>
  <si>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</si>
  <si>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</si>
  <si>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</si>
  <si>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</si>
  <si>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</si>
  <si>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</si>
  <si>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</si>
  <si>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</si>
  <si>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</si>
  <si>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</si>
  <si>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</si>
  <si>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</si>
  <si>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</si>
  <si>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</si>
  <si>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</si>
  <si>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</si>
  <si>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</si>
  <si>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</si>
  <si>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</si>
  <si>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</si>
  <si>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</si>
  <si>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</si>
  <si>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</si>
  <si>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</si>
  <si>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</si>
  <si>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</si>
  <si>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</si>
  <si>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</si>
  <si>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</si>
  <si>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</si>
  <si>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</si>
  <si>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</si>
  <si>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</si>
  <si>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</si>
  <si>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</si>
  <si>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</si>
  <si>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</si>
  <si>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</si>
  <si>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</si>
  <si>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</si>
  <si>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</si>
  <si>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</si>
  <si>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</si>
  <si>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</si>
  <si>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</si>
  <si>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</si>
  <si>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</si>
  <si>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</si>
  <si>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</si>
  <si>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</si>
  <si>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</si>
  <si>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</si>
  <si>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</si>
  <si>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</si>
  <si>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</si>
  <si>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</si>
  <si>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</si>
  <si>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</si>
  <si>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</si>
  <si>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</si>
  <si>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</si>
  <si>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</si>
  <si>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</si>
  <si>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</si>
  <si>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</si>
  <si>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</si>
  <si>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</si>
  <si>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</si>
  <si>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</si>
  <si>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</si>
  <si>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</si>
  <si>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</si>
  <si>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</si>
  <si>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</si>
  <si>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</si>
  <si>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</si>
  <si>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</si>
  <si>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</si>
  <si>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</si>
  <si>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</si>
  <si>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</si>
  <si>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</si>
  <si>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</si>
  <si>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</si>
  <si>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</si>
  <si>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</si>
  <si>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psychologové</t>
  </si>
  <si>
    <t>Pracoviště/účet</t>
  </si>
  <si>
    <t>Ambulance = vykázané výkony (body)</t>
  </si>
  <si>
    <t>Počet výkonů</t>
  </si>
  <si>
    <t>ZV Vykáz.-A Lékaři</t>
  </si>
  <si>
    <t>Sml.odb./NS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</si>
  <si>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</si>
  <si>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</si>
  <si>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</si>
  <si>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</si>
  <si>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</si>
  <si>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</si>
  <si>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</si>
  <si>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</si>
  <si>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</si>
  <si>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</si>
  <si>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</si>
  <si>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</si>
  <si>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</si>
  <si>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</si>
  <si>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</si>
  <si>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</si>
  <si>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</si>
  <si>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</si>
  <si>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</si>
  <si>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</si>
  <si>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</si>
  <si>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</si>
  <si>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</si>
  <si>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</si>
  <si>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</si>
  <si>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</si>
  <si>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</si>
  <si>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</si>
  <si>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</si>
  <si>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</si>
  <si>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</si>
  <si>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</si>
  <si>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</si>
  <si>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</si>
  <si>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</si>
  <si>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</si>
  <si>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</si>
  <si>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</si>
  <si>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</si>
  <si>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</si>
  <si>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</si>
  <si>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</si>
  <si>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</si>
  <si>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</si>
  <si>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</si>
  <si>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</si>
  <si>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</si>
  <si>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</si>
  <si>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</si>
  <si>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</si>
  <si>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</si>
  <si>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</si>
  <si>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</si>
  <si>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</si>
  <si>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</si>
  <si>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</si>
  <si>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</si>
  <si>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</si>
  <si>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</si>
  <si>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</si>
  <si>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51102022     opravy - Úsek inf.systémů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</si>
  <si>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</si>
  <si>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</si>
  <si>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</si>
  <si>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</si>
  <si>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</si>
  <si>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--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</si>
  <si>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</si>
  <si>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</si>
  <si>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</si>
  <si>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</si>
  <si>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</si>
  <si>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</si>
  <si>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</si>
  <si>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</si>
  <si>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</si>
  <si>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</si>
  <si>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</si>
  <si>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</si>
  <si>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</si>
  <si>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</si>
  <si>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</si>
  <si>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</si>
  <si>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</si>
  <si>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</si>
  <si>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</si>
  <si>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</si>
  <si>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</si>
  <si>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</si>
  <si>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</si>
  <si>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</si>
  <si>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</si>
  <si>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</si>
  <si>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</si>
  <si>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</si>
  <si>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</si>
  <si>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</si>
  <si>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</si>
  <si>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</si>
  <si>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</si>
  <si>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</si>
  <si>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</si>
  <si>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</si>
  <si>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</si>
  <si>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</si>
  <si>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</si>
  <si>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</si>
  <si>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</si>
  <si>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</si>
  <si>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</si>
  <si>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</si>
  <si>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</si>
  <si>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</si>
  <si>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</si>
  <si>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</si>
  <si>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</si>
  <si>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</si>
  <si>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</si>
  <si>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</si>
  <si>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</si>
  <si>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</si>
  <si>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</si>
  <si>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</si>
  <si>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</si>
  <si>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</si>
  <si>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</si>
  <si>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</si>
  <si>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</si>
  <si>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</si>
  <si>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</si>
  <si>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</si>
  <si>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</si>
  <si>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</si>
  <si>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</si>
  <si>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</si>
  <si>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</si>
  <si>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</si>
  <si>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</si>
  <si>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</si>
  <si>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OKPSY: Oddělení klinické psychologie</t>
  </si>
  <si>
    <t/>
  </si>
  <si>
    <t>OKPSY: Oddělení klinické psychologie Celkem</t>
  </si>
  <si>
    <t>SumaKL</t>
  </si>
  <si>
    <t>3921</t>
  </si>
  <si>
    <t>OKPSY: ambulance - odborná poradna</t>
  </si>
  <si>
    <t>OKPSY: ambulance - odborná poradna Celkem</t>
  </si>
  <si>
    <t>SumaNS</t>
  </si>
  <si>
    <t>mezeraNS</t>
  </si>
  <si>
    <t>ON Data</t>
  </si>
  <si>
    <t>Specializovaná ambulantní péče</t>
  </si>
  <si>
    <t>901 - Pracoviště klinické psychologie</t>
  </si>
  <si>
    <t>Zdravotní výkony vykázané na pracovišti v rámci ambulantní péče *</t>
  </si>
  <si>
    <t>se jménem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</si>
  <si>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</si>
  <si>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</si>
  <si>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</si>
  <si>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</si>
  <si>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Dařílková Naděžda</t>
  </si>
  <si>
    <t>Dlabačová Marie</t>
  </si>
  <si>
    <t>Fryštacká Karolína</t>
  </si>
  <si>
    <t>Halířová Monika</t>
  </si>
  <si>
    <t>Hradilová Michaela</t>
  </si>
  <si>
    <t>Hubáčková Lia</t>
  </si>
  <si>
    <t>Kolářová Jana</t>
  </si>
  <si>
    <t>Kreiselová Silvie</t>
  </si>
  <si>
    <t>Kubíček Zdenek</t>
  </si>
  <si>
    <t>Machová Karolína</t>
  </si>
  <si>
    <t>Otipková Denisa</t>
  </si>
  <si>
    <t>Škrobánková Alexandra</t>
  </si>
  <si>
    <t>Šmídová Magdaléna</t>
  </si>
  <si>
    <t>Štecková Tereza</t>
  </si>
  <si>
    <t>Tenglerová Petra</t>
  </si>
  <si>
    <t>Večerková Markéta</t>
  </si>
  <si>
    <t>Vojáková Vendula</t>
  </si>
  <si>
    <t>Zdravotní výkony vykázané na pracovišti v rámci ambulantní péče dle lékařů *</t>
  </si>
  <si>
    <t>06</t>
  </si>
  <si>
    <t>901</t>
  </si>
  <si>
    <t>V</t>
  </si>
  <si>
    <t>35050</t>
  </si>
  <si>
    <t xml:space="preserve">TELEFONICKÁ KONZULTACE PSYCHIATRA NEBO KLINICKÉHO </t>
  </si>
  <si>
    <t>35520</t>
  </si>
  <si>
    <t>PSYCHOTERAPIE INDIVIDUÁLNÍ SYSTEMATICKÁ, PROVÁDĚNÁ</t>
  </si>
  <si>
    <t>35650</t>
  </si>
  <si>
    <t>RODINNÁ SYSTEMATICKÁ PSYCHOTERAPIE Á 30 MINUT</t>
  </si>
  <si>
    <t>37115</t>
  </si>
  <si>
    <t>KRIZOVÁ INTERVENCE(Á 30 MINUT)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</si>
  <si>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</si>
  <si>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</si>
  <si>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</si>
  <si>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</si>
  <si>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</si>
  <si>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</si>
  <si>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</si>
  <si>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</si>
  <si>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</si>
  <si>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</si>
  <si>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</si>
  <si>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</si>
  <si>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</si>
  <si>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</si>
  <si>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</si>
  <si>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</si>
  <si>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</si>
  <si>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</si>
  <si>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</si>
  <si>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</si>
  <si>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</si>
  <si>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</si>
  <si>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</si>
  <si>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</si>
  <si>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</si>
  <si>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</si>
  <si>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</si>
  <si>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</si>
  <si>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</si>
  <si>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</si>
  <si>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</si>
  <si>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</si>
  <si>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</si>
  <si>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</si>
  <si>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</si>
  <si>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</si>
  <si>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</si>
  <si>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</si>
  <si>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</si>
  <si>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</si>
  <si>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</si>
  <si>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</si>
  <si>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</si>
  <si>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</si>
  <si>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</si>
  <si>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</si>
  <si>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</si>
  <si>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</si>
  <si>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</si>
  <si>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</si>
  <si>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16</t>
  </si>
  <si>
    <t>17</t>
  </si>
  <si>
    <t>37023</t>
  </si>
  <si>
    <t>KONTROLNÍ PSYCHOLOGICKÉ VYŠETŘENÍ (Á 30 MINUT)</t>
  </si>
  <si>
    <t>18</t>
  </si>
  <si>
    <t>20</t>
  </si>
  <si>
    <t>21</t>
  </si>
  <si>
    <t>37125</t>
  </si>
  <si>
    <t>EMERGENTNÍ PSYCHOTERAPIE Á 60 MINUT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</si>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</sst>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39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3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3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9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9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5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3" xfId="0" applyNumberFormat="1" applyFont="1" applyFill="1" applyBorder="1" applyAlignment="1"/>
    <xf numFmtId="9" fontId="32" fillId="0" borderId="43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4" xfId="0" applyFont="1" applyFill="1" applyBorder="1" applyAlignment="1">
      <alignment horizontal="center" vertical="center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4" fillId="2" borderId="81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4" xfId="0" applyNumberFormat="1" applyFont="1" applyBorder="1"/>
    <xf numFmtId="173" fontId="39" fillId="0" borderId="80" xfId="0" applyNumberFormat="1" applyFont="1" applyBorder="1"/>
    <xf numFmtId="173" fontId="32" fillId="0" borderId="67" xfId="0" applyNumberFormat="1" applyFont="1" applyBorder="1"/>
    <xf numFmtId="173" fontId="39" fillId="2" borderId="82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7" xfId="0" applyNumberFormat="1" applyFont="1" applyBorder="1"/>
    <xf numFmtId="173" fontId="32" fillId="0" borderId="78" xfId="0" applyNumberFormat="1" applyFont="1" applyBorder="1"/>
    <xf numFmtId="174" fontId="39" fillId="2" borderId="70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4" xfId="0" applyNumberFormat="1" applyFont="1" applyBorder="1"/>
    <xf numFmtId="174" fontId="39" fillId="0" borderId="77" xfId="0" applyNumberFormat="1" applyFont="1" applyBorder="1"/>
    <xf numFmtId="174" fontId="32" fillId="0" borderId="78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7" xfId="0" applyNumberFormat="1" applyFont="1" applyBorder="1"/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4" xfId="0" applyNumberFormat="1" applyFont="1" applyBorder="1" applyAlignment="1"/>
    <xf numFmtId="0" fontId="25" fillId="2" borderId="33" xfId="1" applyFill="1" applyBorder="1" applyAlignment="1">
      <alignment horizontal="left" indent="4"/>
    </xf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2" fillId="0" borderId="74" xfId="0" applyNumberFormat="1" applyFont="1" applyBorder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3" xfId="1" applyFill="1" applyBorder="1" applyAlignment="1">
      <alignment horizontal="left" indent="2"/>
    </xf>
    <xf numFmtId="0" fontId="32" fillId="0" borderId="73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3" xfId="1" applyFill="1" applyBorder="1"/>
    <xf numFmtId="0" fontId="31" fillId="2" borderId="37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0" fillId="0" borderId="0" xfId="0" applyBorder="1"/>
    <xf numFmtId="0" fontId="31" fillId="2" borderId="23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19" xfId="0" applyNumberFormat="1" applyFont="1" applyFill="1" applyBorder="1" applyAlignment="1"/>
    <xf numFmtId="0" fontId="39" fillId="2" borderId="17" xfId="0" applyFont="1" applyFill="1" applyBorder="1" applyAlignment="1">
      <alignment horizontal="right"/>
    </xf>
    <xf numFmtId="173" fontId="32" fillId="0" borderId="89" xfId="0" applyNumberFormat="1" applyFont="1" applyBorder="1"/>
    <xf numFmtId="173" fontId="32" fillId="0" borderId="26" xfId="0" applyNumberFormat="1" applyFont="1" applyBorder="1"/>
    <xf numFmtId="3" fontId="32" fillId="0" borderId="0" xfId="0" applyNumberFormat="1" applyFont="1" applyBorder="1"/>
    <xf numFmtId="173" fontId="32" fillId="0" borderId="73" xfId="0" applyNumberFormat="1" applyFont="1" applyBorder="1" applyAlignment="1"/>
    <xf numFmtId="173" fontId="32" fillId="0" borderId="74" xfId="0" applyNumberFormat="1" applyFont="1" applyBorder="1" applyAlignment="1"/>
    <xf numFmtId="173" fontId="32" fillId="0" borderId="75" xfId="0" applyNumberFormat="1" applyFont="1" applyBorder="1" applyAlignment="1"/>
    <xf numFmtId="175" fontId="32" fillId="0" borderId="73" xfId="0" applyNumberFormat="1" applyFont="1" applyBorder="1" applyAlignment="1"/>
    <xf numFmtId="175" fontId="32" fillId="0" borderId="74" xfId="0" applyNumberFormat="1" applyFont="1" applyBorder="1" applyAlignment="1"/>
    <xf numFmtId="175" fontId="32" fillId="0" borderId="75" xfId="0" applyNumberFormat="1" applyFont="1" applyBorder="1" applyAlignment="1"/>
    <xf numFmtId="173" fontId="32" fillId="0" borderId="66" xfId="0" applyNumberFormat="1" applyFont="1" applyBorder="1" applyAlignment="1"/>
    <xf numFmtId="173" fontId="32" fillId="0" borderId="67" xfId="0" applyNumberFormat="1" applyFont="1" applyBorder="1" applyAlignment="1"/>
    <xf numFmtId="173" fontId="32" fillId="0" borderId="68" xfId="0" applyNumberFormat="1" applyFont="1" applyBorder="1" applyAlignment="1"/>
    <xf numFmtId="173" fontId="39" fillId="4" borderId="23" xfId="0" applyNumberFormat="1" applyFont="1" applyFill="1" applyBorder="1" applyAlignment="1">
      <alignment horizontal="center"/>
    </xf>
    <xf numFmtId="173" fontId="39" fillId="4" borderId="28" xfId="0" applyNumberFormat="1" applyFont="1" applyFill="1" applyBorder="1" applyAlignment="1">
      <alignment horizontal="center"/>
    </xf>
    <xf numFmtId="173" fontId="39" fillId="4" borderId="24" xfId="0" applyNumberFormat="1" applyFont="1" applyFill="1" applyBorder="1" applyAlignment="1">
      <alignment horizontal="center"/>
    </xf>
    <xf numFmtId="173" fontId="32" fillId="0" borderId="17" xfId="0" applyNumberFormat="1" applyFont="1" applyBorder="1"/>
    <xf numFmtId="173" fontId="32" fillId="0" borderId="90" xfId="0" applyNumberFormat="1" applyFont="1" applyBorder="1"/>
    <xf numFmtId="9" fontId="32" fillId="0" borderId="71" xfId="0" applyNumberFormat="1" applyFont="1" applyBorder="1"/>
    <xf numFmtId="173" fontId="32" fillId="0" borderId="79" xfId="0" applyNumberFormat="1" applyFont="1" applyBorder="1"/>
    <xf numFmtId="0" fontId="0" fillId="0" borderId="1" xfId="0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1" xfId="80" applyFont="1" applyFill="1" applyBorder="1" applyAlignment="1">
      <alignment horizontal="center"/>
    </xf>
    <xf numFmtId="0" fontId="31" fillId="2" borderId="42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87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5" xfId="80" applyFont="1" applyFill="1" applyBorder="1" applyAlignment="1">
      <alignment horizontal="center"/>
    </xf>
    <xf numFmtId="0" fontId="31" fillId="2" borderId="86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29" xfId="0" applyFont="1" applyFill="1" applyBorder="1" applyAlignment="1">
      <alignment horizontal="center" vertical="top" wrapText="1"/>
    </xf>
    <xf numFmtId="3" fontId="31" fillId="2" borderId="44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4" xfId="0" applyFont="1" applyFill="1" applyBorder="1" applyAlignment="1">
      <alignment horizontal="center"/>
    </xf>
    <xf numFmtId="9" fontId="43" fillId="2" borderId="44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4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3" fillId="2" borderId="44" xfId="0" applyNumberFormat="1" applyFont="1" applyFill="1" applyBorder="1" applyAlignment="1">
      <alignment horizontal="center" vertical="top"/>
    </xf>
    <xf numFmtId="3" fontId="33" fillId="9" borderId="92" xfId="0" applyNumberFormat="1" applyFont="1" applyFill="1" applyBorder="1" applyAlignment="1">
      <alignment horizontal="right" vertical="top"/>
    </xf>
    <xf numFmtId="3" fontId="33" fillId="9" borderId="93" xfId="0" applyNumberFormat="1" applyFont="1" applyFill="1" applyBorder="1" applyAlignment="1">
      <alignment horizontal="right" vertical="top"/>
    </xf>
    <xf numFmtId="176" fontId="33" fillId="9" borderId="94" xfId="0" applyNumberFormat="1" applyFont="1" applyFill="1" applyBorder="1" applyAlignment="1">
      <alignment horizontal="right" vertical="top"/>
    </xf>
    <xf numFmtId="3" fontId="33" fillId="0" borderId="92" xfId="0" applyNumberFormat="1" applyFont="1" applyBorder="1" applyAlignment="1">
      <alignment horizontal="right" vertical="top"/>
    </xf>
    <xf numFmtId="176" fontId="33" fillId="9" borderId="95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0" fontId="37" fillId="10" borderId="91" xfId="0" applyFont="1" applyFill="1" applyBorder="1" applyAlignment="1">
      <alignment vertical="top"/>
    </xf>
    <xf numFmtId="0" fontId="37" fillId="10" borderId="91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4"/>
    </xf>
    <xf numFmtId="0" fontId="38" fillId="10" borderId="96" xfId="0" applyFont="1" applyFill="1" applyBorder="1" applyAlignment="1">
      <alignment vertical="top" indent="6"/>
    </xf>
    <xf numFmtId="0" fontId="37" fillId="10" borderId="91" xfId="0" applyFont="1" applyFill="1" applyBorder="1" applyAlignment="1">
      <alignment vertical="top" indent="8"/>
    </xf>
    <xf numFmtId="0" fontId="38" fillId="10" borderId="96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6"/>
    </xf>
    <xf numFmtId="0" fontId="38" fillId="10" borderId="96" xfId="0" applyFont="1" applyFill="1" applyBorder="1" applyAlignment="1">
      <alignment vertical="top" indent="4"/>
    </xf>
    <xf numFmtId="0" fontId="32" fillId="10" borderId="91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2" fillId="2" borderId="53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5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66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5" xfId="26" applyNumberFormat="1" applyFont="1" applyFill="1" applyBorder="1"/>
    <xf numFmtId="0" fontId="32" fillId="0" borderId="63" xfId="0" applyFont="1" applyFill="1" applyBorder="1"/>
    <xf numFmtId="3" fontId="32" fillId="0" borderId="64" xfId="0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0" fontId="32" fillId="0" borderId="66" xfId="0" applyFont="1" applyFill="1" applyBorder="1"/>
    <xf numFmtId="3" fontId="32" fillId="0" borderId="67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3" xfId="0" applyFont="1" applyFill="1" applyBorder="1"/>
    <xf numFmtId="0" fontId="39" fillId="0" borderId="66" xfId="0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0" fontId="32" fillId="0" borderId="64" xfId="0" applyFont="1" applyFill="1" applyBorder="1"/>
    <xf numFmtId="9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7" xfId="0" applyFont="1" applyFill="1" applyBorder="1"/>
    <xf numFmtId="9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1" fillId="2" borderId="30" xfId="0" applyFont="1" applyFill="1" applyBorder="1" applyAlignment="1">
      <alignment horizontal="center" vertical="top" wrapText="1"/>
    </xf>
    <xf numFmtId="0" fontId="31" fillId="2" borderId="15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5" xfId="0" applyNumberFormat="1" applyFont="1" applyFill="1" applyBorder="1"/>
    <xf numFmtId="9" fontId="32" fillId="0" borderId="68" xfId="0" applyNumberFormat="1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0.58843937412574077</c:v>
                </c:pt>
                <c:pt idx="1">
                  <c:v>0.54392443619108655</c:v>
                </c:pt>
                <c:pt idx="2">
                  <c:v>0.53935110407598652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978736"/>
        <c:axId val="10779798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0.66608730443682052</c:v>
                </c:pt>
                <c:pt idx="1">
                  <c:v>0.66608730443682052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980368"/>
        <c:axId val="1077980912"/>
      </c:scatterChart>
      <c:catAx>
        <c:axId val="107797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797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7979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77978736"/>
        <c:crosses val="autoZero"/>
        <c:crossBetween val="between"/>
      </c:valAx>
      <c:valAx>
        <c:axId val="10779803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77980912"/>
        <c:crosses val="max"/>
        <c:crossBetween val="midCat"/>
      </c:valAx>
      <c:valAx>
        <c:axId val="10779809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779803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89" t="s">
        <v>85</v>
      </c>
      <c r="B1" s="289"/>
    </row>
    <row r="2" spans="1:3" ht="14.4" customHeight="1" thickBot="1" x14ac:dyDescent="0.35">
      <c r="A2" s="195" t="s">
        <v>195</v>
      </c>
      <c r="B2" s="41"/>
    </row>
    <row r="3" spans="1:3" ht="14.4" customHeight="1" thickBot="1" x14ac:dyDescent="0.35">
      <c r="A3" s="285" t="s">
        <v>104</v>
      </c>
      <c r="B3" s="286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93</v>
      </c>
      <c r="C4" s="42" t="s">
        <v>94</v>
      </c>
    </row>
    <row r="5" spans="1:3" ht="14.4" customHeight="1" x14ac:dyDescent="0.3">
      <c r="A5" s="114" t="str">
        <f t="shared" si="0"/>
        <v>HI</v>
      </c>
      <c r="B5" s="64" t="s">
        <v>102</v>
      </c>
      <c r="C5" s="42" t="s">
        <v>88</v>
      </c>
    </row>
    <row r="6" spans="1:3" ht="14.4" customHeight="1" x14ac:dyDescent="0.3">
      <c r="A6" s="115" t="str">
        <f t="shared" si="0"/>
        <v>HI Graf</v>
      </c>
      <c r="B6" s="65" t="s">
        <v>81</v>
      </c>
      <c r="C6" s="42" t="s">
        <v>89</v>
      </c>
    </row>
    <row r="7" spans="1:3" ht="14.4" customHeight="1" x14ac:dyDescent="0.3">
      <c r="A7" s="115" t="str">
        <f t="shared" si="0"/>
        <v>Man Tab</v>
      </c>
      <c r="B7" s="65" t="s">
        <v>197</v>
      </c>
      <c r="C7" s="42" t="s">
        <v>90</v>
      </c>
    </row>
    <row r="8" spans="1:3" ht="14.4" customHeight="1" thickBot="1" x14ac:dyDescent="0.35">
      <c r="A8" s="116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87" t="s">
        <v>86</v>
      </c>
      <c r="B10" s="286"/>
    </row>
    <row r="11" spans="1:3" ht="14.4" customHeight="1" x14ac:dyDescent="0.3">
      <c r="A11" s="117" t="str">
        <f t="shared" ref="A11" si="1">HYPERLINK("#'"&amp;C11&amp;"'!A1",C11)</f>
        <v>Léky Žádanky</v>
      </c>
      <c r="B11" s="64" t="s">
        <v>103</v>
      </c>
      <c r="C11" s="42" t="s">
        <v>91</v>
      </c>
    </row>
    <row r="12" spans="1:3" ht="14.4" customHeight="1" thickBot="1" x14ac:dyDescent="0.35">
      <c r="A12" s="117" t="str">
        <f t="shared" ref="A12" si="2">HYPERLINK("#'"&amp;C12&amp;"'!A1",C12)</f>
        <v>Osobní náklady</v>
      </c>
      <c r="B12" s="65" t="s">
        <v>83</v>
      </c>
      <c r="C12" s="42" t="s">
        <v>92</v>
      </c>
    </row>
    <row r="13" spans="1:3" ht="14.4" customHeight="1" thickBot="1" x14ac:dyDescent="0.35">
      <c r="A13" s="68"/>
      <c r="B13" s="68"/>
    </row>
    <row r="14" spans="1:3" ht="14.4" customHeight="1" thickBot="1" x14ac:dyDescent="0.35">
      <c r="A14" s="288" t="s">
        <v>87</v>
      </c>
      <c r="B14" s="286"/>
    </row>
    <row r="15" spans="1:3" ht="14.4" customHeight="1" x14ac:dyDescent="0.3">
      <c r="A15" s="118" t="str">
        <f t="shared" ref="A15:A20" si="3">HYPERLINK("#'"&amp;C15&amp;"'!A1",C15)</f>
        <v>ZV Vykáz.-A</v>
      </c>
      <c r="B15" s="64" t="s">
        <v>310</v>
      </c>
      <c r="C15" s="42" t="s">
        <v>95</v>
      </c>
    </row>
    <row r="16" spans="1:3" ht="14.4" customHeight="1" x14ac:dyDescent="0.3">
      <c r="A16" s="115" t="str">
        <f t="shared" ref="A16" si="4">HYPERLINK("#'"&amp;C16&amp;"'!A1",C16)</f>
        <v>ZV Vykáz.-A Lékaři</v>
      </c>
      <c r="B16" s="65" t="s">
        <v>333</v>
      </c>
      <c r="C16" s="42" t="s">
        <v>157</v>
      </c>
    </row>
    <row r="17" spans="1:3" ht="14.4" customHeight="1" x14ac:dyDescent="0.3">
      <c r="A17" s="115" t="str">
        <f t="shared" si="3"/>
        <v>ZV Vykáz.-A Detail</v>
      </c>
      <c r="B17" s="65" t="s">
        <v>357</v>
      </c>
      <c r="C17" s="42" t="s">
        <v>96</v>
      </c>
    </row>
    <row r="18" spans="1:3" ht="14.4" customHeight="1" x14ac:dyDescent="0.3">
      <c r="A18" s="257" t="str">
        <f>HYPERLINK("#'"&amp;C18&amp;"'!A1",C18)</f>
        <v>ZV Vykáz.-A Det.Lék.</v>
      </c>
      <c r="B18" s="65" t="s">
        <v>358</v>
      </c>
      <c r="C18" s="42" t="s">
        <v>184</v>
      </c>
    </row>
    <row r="19" spans="1:3" ht="14.4" customHeight="1" x14ac:dyDescent="0.3">
      <c r="A19" s="115" t="str">
        <f t="shared" si="3"/>
        <v>ZV Vykáz.-H</v>
      </c>
      <c r="B19" s="65" t="s">
        <v>99</v>
      </c>
      <c r="C19" s="42" t="s">
        <v>97</v>
      </c>
    </row>
    <row r="20" spans="1:3" ht="14.4" customHeight="1" x14ac:dyDescent="0.3">
      <c r="A20" s="115" t="str">
        <f t="shared" si="3"/>
        <v>ZV Vykáz.-H Detail</v>
      </c>
      <c r="B20" s="65" t="s">
        <v>411</v>
      </c>
      <c r="C20" s="42" t="s">
        <v>98</v>
      </c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9" hidden="1" customWidth="1" outlineLevel="1"/>
    <col min="10" max="10" width="7.77734375" style="179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9" hidden="1" customWidth="1" outlineLevel="1"/>
    <col min="19" max="19" width="7.77734375" style="179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9" hidden="1" customWidth="1" outlineLevel="1"/>
    <col min="28" max="28" width="7.77734375" style="179" customWidth="1" collapsed="1"/>
    <col min="29" max="16384" width="8.88671875" style="101"/>
  </cols>
  <sheetData>
    <row r="1" spans="1:28" ht="18.600000000000001" customHeight="1" thickBot="1" x14ac:dyDescent="0.4">
      <c r="A1" s="325" t="s">
        <v>310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</row>
    <row r="2" spans="1:28" ht="14.4" customHeight="1" thickBot="1" x14ac:dyDescent="0.35">
      <c r="A2" s="195" t="s">
        <v>195</v>
      </c>
      <c r="B2" s="83"/>
      <c r="C2" s="83"/>
      <c r="D2" s="83"/>
      <c r="E2" s="83"/>
      <c r="F2" s="83"/>
      <c r="G2" s="83"/>
      <c r="H2" s="83"/>
      <c r="I2" s="187"/>
      <c r="J2" s="187"/>
      <c r="K2" s="83"/>
      <c r="L2" s="83"/>
      <c r="M2" s="83"/>
      <c r="N2" s="83"/>
      <c r="O2" s="83"/>
      <c r="P2" s="83"/>
      <c r="Q2" s="83"/>
      <c r="R2" s="187"/>
      <c r="S2" s="187"/>
      <c r="T2" s="83"/>
      <c r="U2" s="83"/>
      <c r="V2" s="83"/>
      <c r="W2" s="83"/>
      <c r="X2" s="83"/>
      <c r="Y2" s="83"/>
      <c r="Z2" s="83"/>
      <c r="AA2" s="187"/>
      <c r="AB2" s="187"/>
    </row>
    <row r="3" spans="1:28" ht="14.4" customHeight="1" thickBot="1" x14ac:dyDescent="0.35">
      <c r="A3" s="180" t="s">
        <v>100</v>
      </c>
      <c r="B3" s="181">
        <f>SUBTOTAL(9,B6:B1048576)/4</f>
        <v>980640</v>
      </c>
      <c r="C3" s="182">
        <f t="shared" ref="C3:Z3" si="0">SUBTOTAL(9,C6:C1048576)</f>
        <v>4</v>
      </c>
      <c r="D3" s="182"/>
      <c r="E3" s="182">
        <f>SUBTOTAL(9,E6:E1048576)/4</f>
        <v>1316799.68</v>
      </c>
      <c r="F3" s="182"/>
      <c r="G3" s="182">
        <f t="shared" si="0"/>
        <v>4</v>
      </c>
      <c r="H3" s="182">
        <f>SUBTOTAL(9,H6:H1048576)/4</f>
        <v>1029668.3399999999</v>
      </c>
      <c r="I3" s="185">
        <f>IF(B3&lt;&gt;0,H3/B3,"")</f>
        <v>1.0499962677435142</v>
      </c>
      <c r="J3" s="183">
        <f>IF(E3&lt;&gt;0,H3/E3,"")</f>
        <v>0.78194759281837001</v>
      </c>
      <c r="K3" s="184">
        <f t="shared" si="0"/>
        <v>0</v>
      </c>
      <c r="L3" s="184"/>
      <c r="M3" s="182">
        <f t="shared" si="0"/>
        <v>0</v>
      </c>
      <c r="N3" s="182">
        <f t="shared" si="0"/>
        <v>0</v>
      </c>
      <c r="O3" s="182"/>
      <c r="P3" s="182">
        <f t="shared" si="0"/>
        <v>0</v>
      </c>
      <c r="Q3" s="182">
        <f t="shared" si="0"/>
        <v>0</v>
      </c>
      <c r="R3" s="185" t="str">
        <f>IF(K3&lt;&gt;0,Q3/K3,"")</f>
        <v/>
      </c>
      <c r="S3" s="185" t="str">
        <f>IF(N3&lt;&gt;0,Q3/N3,"")</f>
        <v/>
      </c>
      <c r="T3" s="181">
        <f t="shared" si="0"/>
        <v>0</v>
      </c>
      <c r="U3" s="184"/>
      <c r="V3" s="182">
        <f t="shared" si="0"/>
        <v>0</v>
      </c>
      <c r="W3" s="182">
        <f t="shared" si="0"/>
        <v>0</v>
      </c>
      <c r="X3" s="182"/>
      <c r="Y3" s="182">
        <f t="shared" si="0"/>
        <v>0</v>
      </c>
      <c r="Z3" s="182">
        <f t="shared" si="0"/>
        <v>0</v>
      </c>
      <c r="AA3" s="185" t="str">
        <f>IF(T3&lt;&gt;0,Z3/T3,"")</f>
        <v/>
      </c>
      <c r="AB3" s="183" t="str">
        <f>IF(W3&lt;&gt;0,Z3/W3,"")</f>
        <v/>
      </c>
    </row>
    <row r="4" spans="1:28" ht="14.4" customHeight="1" x14ac:dyDescent="0.3">
      <c r="A4" s="326" t="s">
        <v>158</v>
      </c>
      <c r="B4" s="327" t="s">
        <v>76</v>
      </c>
      <c r="C4" s="328"/>
      <c r="D4" s="329"/>
      <c r="E4" s="328"/>
      <c r="F4" s="329"/>
      <c r="G4" s="328"/>
      <c r="H4" s="328"/>
      <c r="I4" s="329"/>
      <c r="J4" s="330"/>
      <c r="K4" s="327" t="s">
        <v>77</v>
      </c>
      <c r="L4" s="329"/>
      <c r="M4" s="328"/>
      <c r="N4" s="328"/>
      <c r="O4" s="329"/>
      <c r="P4" s="328"/>
      <c r="Q4" s="328"/>
      <c r="R4" s="329"/>
      <c r="S4" s="330"/>
      <c r="T4" s="327" t="s">
        <v>78</v>
      </c>
      <c r="U4" s="329"/>
      <c r="V4" s="328"/>
      <c r="W4" s="328"/>
      <c r="X4" s="329"/>
      <c r="Y4" s="328"/>
      <c r="Z4" s="328"/>
      <c r="AA4" s="329"/>
      <c r="AB4" s="330"/>
    </row>
    <row r="5" spans="1:28" ht="14.4" customHeight="1" thickBot="1" x14ac:dyDescent="0.35">
      <c r="A5" s="379"/>
      <c r="B5" s="380">
        <v>2015</v>
      </c>
      <c r="C5" s="381"/>
      <c r="D5" s="381"/>
      <c r="E5" s="381">
        <v>2016</v>
      </c>
      <c r="F5" s="381"/>
      <c r="G5" s="381"/>
      <c r="H5" s="381">
        <v>2017</v>
      </c>
      <c r="I5" s="382" t="s">
        <v>182</v>
      </c>
      <c r="J5" s="383" t="s">
        <v>2</v>
      </c>
      <c r="K5" s="380">
        <v>2015</v>
      </c>
      <c r="L5" s="381"/>
      <c r="M5" s="381"/>
      <c r="N5" s="381">
        <v>2016</v>
      </c>
      <c r="O5" s="381"/>
      <c r="P5" s="381"/>
      <c r="Q5" s="381">
        <v>2017</v>
      </c>
      <c r="R5" s="382" t="s">
        <v>182</v>
      </c>
      <c r="S5" s="383" t="s">
        <v>2</v>
      </c>
      <c r="T5" s="380">
        <v>2015</v>
      </c>
      <c r="U5" s="381"/>
      <c r="V5" s="381"/>
      <c r="W5" s="381">
        <v>2016</v>
      </c>
      <c r="X5" s="381"/>
      <c r="Y5" s="381"/>
      <c r="Z5" s="381">
        <v>2017</v>
      </c>
      <c r="AA5" s="382" t="s">
        <v>182</v>
      </c>
      <c r="AB5" s="383" t="s">
        <v>2</v>
      </c>
    </row>
    <row r="6" spans="1:28" ht="14.4" customHeight="1" x14ac:dyDescent="0.3">
      <c r="A6" s="384" t="s">
        <v>308</v>
      </c>
      <c r="B6" s="385">
        <v>980640</v>
      </c>
      <c r="C6" s="386">
        <v>1</v>
      </c>
      <c r="D6" s="386">
        <v>0.74471464027087253</v>
      </c>
      <c r="E6" s="385">
        <v>1316799.68</v>
      </c>
      <c r="F6" s="386">
        <v>1.3427962147169195</v>
      </c>
      <c r="G6" s="386">
        <v>1</v>
      </c>
      <c r="H6" s="385">
        <v>1029668.34</v>
      </c>
      <c r="I6" s="386">
        <v>1.0499962677435144</v>
      </c>
      <c r="J6" s="386">
        <v>0.78194759281837012</v>
      </c>
      <c r="K6" s="385"/>
      <c r="L6" s="386"/>
      <c r="M6" s="386"/>
      <c r="N6" s="385"/>
      <c r="O6" s="386"/>
      <c r="P6" s="386"/>
      <c r="Q6" s="385"/>
      <c r="R6" s="386"/>
      <c r="S6" s="386"/>
      <c r="T6" s="385"/>
      <c r="U6" s="386"/>
      <c r="V6" s="386"/>
      <c r="W6" s="385"/>
      <c r="X6" s="386"/>
      <c r="Y6" s="386"/>
      <c r="Z6" s="385"/>
      <c r="AA6" s="386"/>
      <c r="AB6" s="387"/>
    </row>
    <row r="7" spans="1:28" ht="14.4" customHeight="1" thickBot="1" x14ac:dyDescent="0.35">
      <c r="A7" s="391" t="s">
        <v>309</v>
      </c>
      <c r="B7" s="388">
        <v>980640</v>
      </c>
      <c r="C7" s="389">
        <v>1</v>
      </c>
      <c r="D7" s="389">
        <v>0.74471464027087253</v>
      </c>
      <c r="E7" s="388">
        <v>1316799.68</v>
      </c>
      <c r="F7" s="389">
        <v>1.3427962147169195</v>
      </c>
      <c r="G7" s="389">
        <v>1</v>
      </c>
      <c r="H7" s="388">
        <v>1029668.34</v>
      </c>
      <c r="I7" s="389">
        <v>1.0499962677435144</v>
      </c>
      <c r="J7" s="389">
        <v>0.78194759281837012</v>
      </c>
      <c r="K7" s="388"/>
      <c r="L7" s="389"/>
      <c r="M7" s="389"/>
      <c r="N7" s="388"/>
      <c r="O7" s="389"/>
      <c r="P7" s="389"/>
      <c r="Q7" s="388"/>
      <c r="R7" s="389"/>
      <c r="S7" s="389"/>
      <c r="T7" s="388"/>
      <c r="U7" s="389"/>
      <c r="V7" s="389"/>
      <c r="W7" s="388"/>
      <c r="X7" s="389"/>
      <c r="Y7" s="389"/>
      <c r="Z7" s="388"/>
      <c r="AA7" s="389"/>
      <c r="AB7" s="390"/>
    </row>
    <row r="8" spans="1:28" ht="14.4" customHeight="1" thickBot="1" x14ac:dyDescent="0.35"/>
    <row r="9" spans="1:28" ht="14.4" customHeight="1" x14ac:dyDescent="0.3">
      <c r="A9" s="384" t="s">
        <v>302</v>
      </c>
      <c r="B9" s="385">
        <v>980640</v>
      </c>
      <c r="C9" s="386">
        <v>1</v>
      </c>
      <c r="D9" s="386">
        <v>0.74471464027087253</v>
      </c>
      <c r="E9" s="385">
        <v>1316799.68</v>
      </c>
      <c r="F9" s="386">
        <v>1.3427962147169195</v>
      </c>
      <c r="G9" s="386">
        <v>1</v>
      </c>
      <c r="H9" s="385">
        <v>1029668.3399999999</v>
      </c>
      <c r="I9" s="386">
        <v>1.0499962677435142</v>
      </c>
      <c r="J9" s="387">
        <v>0.78194759281837001</v>
      </c>
    </row>
    <row r="10" spans="1:28" ht="14.4" customHeight="1" thickBot="1" x14ac:dyDescent="0.35">
      <c r="A10" s="391" t="s">
        <v>311</v>
      </c>
      <c r="B10" s="388">
        <v>980640</v>
      </c>
      <c r="C10" s="389">
        <v>1</v>
      </c>
      <c r="D10" s="389">
        <v>0.74471464027087253</v>
      </c>
      <c r="E10" s="388">
        <v>1316799.68</v>
      </c>
      <c r="F10" s="389">
        <v>1.3427962147169195</v>
      </c>
      <c r="G10" s="389">
        <v>1</v>
      </c>
      <c r="H10" s="388">
        <v>1029668.3399999999</v>
      </c>
      <c r="I10" s="389">
        <v>1.0499962677435142</v>
      </c>
      <c r="J10" s="390">
        <v>0.78194759281837001</v>
      </c>
    </row>
    <row r="11" spans="1:28" ht="14.4" customHeight="1" x14ac:dyDescent="0.3">
      <c r="A11" s="392" t="s">
        <v>312</v>
      </c>
    </row>
    <row r="12" spans="1:28" ht="14.4" customHeight="1" x14ac:dyDescent="0.3">
      <c r="A12" s="393" t="s">
        <v>313</v>
      </c>
    </row>
    <row r="13" spans="1:28" ht="14.4" customHeight="1" x14ac:dyDescent="0.3">
      <c r="A13" s="392" t="s">
        <v>314</v>
      </c>
    </row>
    <row r="14" spans="1:28" ht="14.4" customHeight="1" x14ac:dyDescent="0.3">
      <c r="A14" s="392" t="s">
        <v>315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6" hidden="1" customWidth="1" outlineLevel="1"/>
    <col min="3" max="3" width="7.77734375" style="176" customWidth="1" collapsed="1"/>
    <col min="4" max="4" width="7.77734375" style="176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25" t="s">
        <v>333</v>
      </c>
      <c r="B1" s="289"/>
      <c r="C1" s="289"/>
      <c r="D1" s="289"/>
      <c r="E1" s="289"/>
      <c r="F1" s="289"/>
      <c r="G1" s="289"/>
    </row>
    <row r="2" spans="1:7" ht="14.4" customHeight="1" thickBot="1" x14ac:dyDescent="0.35">
      <c r="A2" s="195" t="s">
        <v>195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64" t="s">
        <v>100</v>
      </c>
      <c r="B3" s="248">
        <f t="shared" ref="B3:G3" si="0">SUBTOTAL(9,B6:B1048576)</f>
        <v>2640</v>
      </c>
      <c r="C3" s="249">
        <f t="shared" si="0"/>
        <v>3441</v>
      </c>
      <c r="D3" s="263">
        <f t="shared" si="0"/>
        <v>2768</v>
      </c>
      <c r="E3" s="184">
        <f t="shared" si="0"/>
        <v>980640</v>
      </c>
      <c r="F3" s="182">
        <f t="shared" si="0"/>
        <v>1316799.68</v>
      </c>
      <c r="G3" s="250">
        <f t="shared" si="0"/>
        <v>1029668.34</v>
      </c>
    </row>
    <row r="4" spans="1:7" ht="14.4" customHeight="1" x14ac:dyDescent="0.3">
      <c r="A4" s="326" t="s">
        <v>101</v>
      </c>
      <c r="B4" s="331" t="s">
        <v>156</v>
      </c>
      <c r="C4" s="329"/>
      <c r="D4" s="332"/>
      <c r="E4" s="331" t="s">
        <v>76</v>
      </c>
      <c r="F4" s="329"/>
      <c r="G4" s="332"/>
    </row>
    <row r="5" spans="1:7" ht="14.4" customHeight="1" thickBot="1" x14ac:dyDescent="0.35">
      <c r="A5" s="379"/>
      <c r="B5" s="380">
        <v>2015</v>
      </c>
      <c r="C5" s="381">
        <v>2016</v>
      </c>
      <c r="D5" s="394">
        <v>2017</v>
      </c>
      <c r="E5" s="380">
        <v>2015</v>
      </c>
      <c r="F5" s="381">
        <v>2016</v>
      </c>
      <c r="G5" s="394">
        <v>2017</v>
      </c>
    </row>
    <row r="6" spans="1:7" ht="14.4" customHeight="1" x14ac:dyDescent="0.3">
      <c r="A6" s="407" t="s">
        <v>316</v>
      </c>
      <c r="B6" s="396">
        <v>160</v>
      </c>
      <c r="C6" s="396">
        <v>154</v>
      </c>
      <c r="D6" s="396">
        <v>125</v>
      </c>
      <c r="E6" s="397">
        <v>56292</v>
      </c>
      <c r="F6" s="397">
        <v>55640.33</v>
      </c>
      <c r="G6" s="398">
        <v>50629</v>
      </c>
    </row>
    <row r="7" spans="1:7" ht="14.4" customHeight="1" x14ac:dyDescent="0.3">
      <c r="A7" s="408" t="s">
        <v>317</v>
      </c>
      <c r="B7" s="400">
        <v>128</v>
      </c>
      <c r="C7" s="400">
        <v>172</v>
      </c>
      <c r="D7" s="400">
        <v>337</v>
      </c>
      <c r="E7" s="401">
        <v>46696</v>
      </c>
      <c r="F7" s="401">
        <v>61075.33</v>
      </c>
      <c r="G7" s="402">
        <v>116465.33</v>
      </c>
    </row>
    <row r="8" spans="1:7" ht="14.4" customHeight="1" x14ac:dyDescent="0.3">
      <c r="A8" s="408" t="s">
        <v>318</v>
      </c>
      <c r="B8" s="400"/>
      <c r="C8" s="400"/>
      <c r="D8" s="400">
        <v>15</v>
      </c>
      <c r="E8" s="401"/>
      <c r="F8" s="401"/>
      <c r="G8" s="402">
        <v>6375</v>
      </c>
    </row>
    <row r="9" spans="1:7" ht="14.4" customHeight="1" x14ac:dyDescent="0.3">
      <c r="A9" s="408" t="s">
        <v>319</v>
      </c>
      <c r="B9" s="400">
        <v>402</v>
      </c>
      <c r="C9" s="400">
        <v>414</v>
      </c>
      <c r="D9" s="400"/>
      <c r="E9" s="401">
        <v>161148</v>
      </c>
      <c r="F9" s="401">
        <v>170702</v>
      </c>
      <c r="G9" s="402"/>
    </row>
    <row r="10" spans="1:7" ht="14.4" customHeight="1" x14ac:dyDescent="0.3">
      <c r="A10" s="408" t="s">
        <v>320</v>
      </c>
      <c r="B10" s="400">
        <v>259</v>
      </c>
      <c r="C10" s="400">
        <v>309</v>
      </c>
      <c r="D10" s="400"/>
      <c r="E10" s="401">
        <v>116137</v>
      </c>
      <c r="F10" s="401">
        <v>145615</v>
      </c>
      <c r="G10" s="402"/>
    </row>
    <row r="11" spans="1:7" ht="14.4" customHeight="1" x14ac:dyDescent="0.3">
      <c r="A11" s="408" t="s">
        <v>321</v>
      </c>
      <c r="B11" s="400">
        <v>218</v>
      </c>
      <c r="C11" s="400">
        <v>426</v>
      </c>
      <c r="D11" s="400">
        <v>518</v>
      </c>
      <c r="E11" s="401">
        <v>72198</v>
      </c>
      <c r="F11" s="401">
        <v>155505.33000000002</v>
      </c>
      <c r="G11" s="402">
        <v>186081.63999999998</v>
      </c>
    </row>
    <row r="12" spans="1:7" ht="14.4" customHeight="1" x14ac:dyDescent="0.3">
      <c r="A12" s="408" t="s">
        <v>322</v>
      </c>
      <c r="B12" s="400">
        <v>360</v>
      </c>
      <c r="C12" s="400">
        <v>446</v>
      </c>
      <c r="D12" s="400">
        <v>301</v>
      </c>
      <c r="E12" s="401">
        <v>130168</v>
      </c>
      <c r="F12" s="401">
        <v>162937</v>
      </c>
      <c r="G12" s="402">
        <v>121529</v>
      </c>
    </row>
    <row r="13" spans="1:7" ht="14.4" customHeight="1" x14ac:dyDescent="0.3">
      <c r="A13" s="408" t="s">
        <v>323</v>
      </c>
      <c r="B13" s="400">
        <v>65</v>
      </c>
      <c r="C13" s="400">
        <v>216</v>
      </c>
      <c r="D13" s="400"/>
      <c r="E13" s="401">
        <v>22779</v>
      </c>
      <c r="F13" s="401">
        <v>78165.320000000007</v>
      </c>
      <c r="G13" s="402"/>
    </row>
    <row r="14" spans="1:7" ht="14.4" customHeight="1" x14ac:dyDescent="0.3">
      <c r="A14" s="408" t="s">
        <v>324</v>
      </c>
      <c r="B14" s="400">
        <v>150</v>
      </c>
      <c r="C14" s="400">
        <v>239</v>
      </c>
      <c r="D14" s="400">
        <v>88</v>
      </c>
      <c r="E14" s="401">
        <v>46932</v>
      </c>
      <c r="F14" s="401">
        <v>80684.679999999993</v>
      </c>
      <c r="G14" s="402">
        <v>31756.009999999995</v>
      </c>
    </row>
    <row r="15" spans="1:7" ht="14.4" customHeight="1" x14ac:dyDescent="0.3">
      <c r="A15" s="408" t="s">
        <v>325</v>
      </c>
      <c r="B15" s="400">
        <v>304</v>
      </c>
      <c r="C15" s="400"/>
      <c r="D15" s="400"/>
      <c r="E15" s="401">
        <v>97180</v>
      </c>
      <c r="F15" s="401"/>
      <c r="G15" s="402"/>
    </row>
    <row r="16" spans="1:7" ht="14.4" customHeight="1" x14ac:dyDescent="0.3">
      <c r="A16" s="408" t="s">
        <v>326</v>
      </c>
      <c r="B16" s="400"/>
      <c r="C16" s="400">
        <v>268</v>
      </c>
      <c r="D16" s="400">
        <v>315</v>
      </c>
      <c r="E16" s="401"/>
      <c r="F16" s="401">
        <v>81304</v>
      </c>
      <c r="G16" s="402">
        <v>95382</v>
      </c>
    </row>
    <row r="17" spans="1:7" ht="14.4" customHeight="1" x14ac:dyDescent="0.3">
      <c r="A17" s="408" t="s">
        <v>327</v>
      </c>
      <c r="B17" s="400">
        <v>24</v>
      </c>
      <c r="C17" s="400">
        <v>28</v>
      </c>
      <c r="D17" s="400">
        <v>68</v>
      </c>
      <c r="E17" s="401">
        <v>7752</v>
      </c>
      <c r="F17" s="401">
        <v>9688</v>
      </c>
      <c r="G17" s="402">
        <v>24366.67</v>
      </c>
    </row>
    <row r="18" spans="1:7" ht="14.4" customHeight="1" x14ac:dyDescent="0.3">
      <c r="A18" s="408" t="s">
        <v>328</v>
      </c>
      <c r="B18" s="400">
        <v>212</v>
      </c>
      <c r="C18" s="400">
        <v>322</v>
      </c>
      <c r="D18" s="400">
        <v>338</v>
      </c>
      <c r="E18" s="401">
        <v>83194</v>
      </c>
      <c r="F18" s="401">
        <v>128086.67</v>
      </c>
      <c r="G18" s="402">
        <v>129007.34</v>
      </c>
    </row>
    <row r="19" spans="1:7" ht="14.4" customHeight="1" x14ac:dyDescent="0.3">
      <c r="A19" s="408" t="s">
        <v>329</v>
      </c>
      <c r="B19" s="400">
        <v>182</v>
      </c>
      <c r="C19" s="400">
        <v>319</v>
      </c>
      <c r="D19" s="400">
        <v>429</v>
      </c>
      <c r="E19" s="401">
        <v>75734</v>
      </c>
      <c r="F19" s="401">
        <v>126897.34</v>
      </c>
      <c r="G19" s="402">
        <v>163425</v>
      </c>
    </row>
    <row r="20" spans="1:7" ht="14.4" customHeight="1" x14ac:dyDescent="0.3">
      <c r="A20" s="408" t="s">
        <v>330</v>
      </c>
      <c r="B20" s="400">
        <v>127</v>
      </c>
      <c r="C20" s="400"/>
      <c r="D20" s="400"/>
      <c r="E20" s="401">
        <v>41021</v>
      </c>
      <c r="F20" s="401"/>
      <c r="G20" s="402"/>
    </row>
    <row r="21" spans="1:7" ht="14.4" customHeight="1" x14ac:dyDescent="0.3">
      <c r="A21" s="408" t="s">
        <v>331</v>
      </c>
      <c r="B21" s="400">
        <v>49</v>
      </c>
      <c r="C21" s="400">
        <v>128</v>
      </c>
      <c r="D21" s="400">
        <v>134</v>
      </c>
      <c r="E21" s="401">
        <v>23409</v>
      </c>
      <c r="F21" s="401">
        <v>60498.679999999993</v>
      </c>
      <c r="G21" s="402">
        <v>54975.349999999991</v>
      </c>
    </row>
    <row r="22" spans="1:7" ht="14.4" customHeight="1" thickBot="1" x14ac:dyDescent="0.35">
      <c r="A22" s="409" t="s">
        <v>332</v>
      </c>
      <c r="B22" s="404"/>
      <c r="C22" s="404"/>
      <c r="D22" s="404">
        <v>100</v>
      </c>
      <c r="E22" s="405"/>
      <c r="F22" s="405"/>
      <c r="G22" s="406">
        <v>49676</v>
      </c>
    </row>
    <row r="23" spans="1:7" ht="14.4" customHeight="1" x14ac:dyDescent="0.3">
      <c r="A23" s="392" t="s">
        <v>312</v>
      </c>
    </row>
    <row r="24" spans="1:7" ht="14.4" customHeight="1" x14ac:dyDescent="0.3">
      <c r="A24" s="393" t="s">
        <v>313</v>
      </c>
    </row>
    <row r="25" spans="1:7" ht="14.4" customHeight="1" x14ac:dyDescent="0.3">
      <c r="A25" s="392" t="s">
        <v>314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6" hidden="1" customWidth="1" outlineLevel="1"/>
    <col min="9" max="10" width="9.33203125" style="101" hidden="1" customWidth="1"/>
    <col min="11" max="12" width="11.109375" style="176" customWidth="1"/>
    <col min="13" max="14" width="9.33203125" style="101" hidden="1" customWidth="1"/>
    <col min="15" max="16" width="11.109375" style="176" customWidth="1"/>
    <col min="17" max="17" width="11.109375" style="179" customWidth="1"/>
    <col min="18" max="18" width="11.109375" style="176" customWidth="1"/>
    <col min="19" max="16384" width="8.88671875" style="101"/>
  </cols>
  <sheetData>
    <row r="1" spans="1:18" ht="18.600000000000001" customHeight="1" thickBot="1" x14ac:dyDescent="0.4">
      <c r="A1" s="289" t="s">
        <v>357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</row>
    <row r="2" spans="1:18" ht="14.4" customHeight="1" thickBot="1" x14ac:dyDescent="0.35">
      <c r="A2" s="195" t="s">
        <v>195</v>
      </c>
      <c r="B2" s="166"/>
      <c r="C2" s="166"/>
      <c r="D2" s="83"/>
      <c r="E2" s="83"/>
      <c r="F2" s="83"/>
      <c r="G2" s="190"/>
      <c r="H2" s="190"/>
      <c r="I2" s="83"/>
      <c r="J2" s="83"/>
      <c r="K2" s="190"/>
      <c r="L2" s="190"/>
      <c r="M2" s="83"/>
      <c r="N2" s="83"/>
      <c r="O2" s="190"/>
      <c r="P2" s="190"/>
      <c r="Q2" s="187"/>
      <c r="R2" s="190"/>
    </row>
    <row r="3" spans="1:18" ht="14.4" customHeight="1" thickBot="1" x14ac:dyDescent="0.35">
      <c r="F3" s="62" t="s">
        <v>100</v>
      </c>
      <c r="G3" s="74">
        <f t="shared" ref="G3:P3" si="0">SUBTOTAL(9,G6:G1048576)</f>
        <v>2640</v>
      </c>
      <c r="H3" s="75">
        <f t="shared" si="0"/>
        <v>980640</v>
      </c>
      <c r="I3" s="57"/>
      <c r="J3" s="57"/>
      <c r="K3" s="75">
        <f t="shared" si="0"/>
        <v>3441</v>
      </c>
      <c r="L3" s="75">
        <f t="shared" si="0"/>
        <v>1316799.6800000002</v>
      </c>
      <c r="M3" s="57"/>
      <c r="N3" s="57"/>
      <c r="O3" s="75">
        <f t="shared" si="0"/>
        <v>2768</v>
      </c>
      <c r="P3" s="75">
        <f t="shared" si="0"/>
        <v>1029668.34</v>
      </c>
      <c r="Q3" s="58">
        <f>IF(L3=0,0,P3/L3)</f>
        <v>0.7819475928183699</v>
      </c>
      <c r="R3" s="76">
        <f>IF(O3=0,0,P3/O3)</f>
        <v>371.99000722543349</v>
      </c>
    </row>
    <row r="4" spans="1:18" ht="14.4" customHeight="1" x14ac:dyDescent="0.3">
      <c r="A4" s="333" t="s">
        <v>183</v>
      </c>
      <c r="B4" s="333" t="s">
        <v>72</v>
      </c>
      <c r="C4" s="341" t="s">
        <v>0</v>
      </c>
      <c r="D4" s="335" t="s">
        <v>73</v>
      </c>
      <c r="E4" s="340" t="s">
        <v>48</v>
      </c>
      <c r="F4" s="336" t="s">
        <v>47</v>
      </c>
      <c r="G4" s="337">
        <v>2015</v>
      </c>
      <c r="H4" s="338"/>
      <c r="I4" s="73"/>
      <c r="J4" s="73"/>
      <c r="K4" s="337">
        <v>2016</v>
      </c>
      <c r="L4" s="338"/>
      <c r="M4" s="73"/>
      <c r="N4" s="73"/>
      <c r="O4" s="337">
        <v>2017</v>
      </c>
      <c r="P4" s="338"/>
      <c r="Q4" s="339" t="s">
        <v>2</v>
      </c>
      <c r="R4" s="334" t="s">
        <v>75</v>
      </c>
    </row>
    <row r="5" spans="1:18" ht="14.4" customHeight="1" thickBot="1" x14ac:dyDescent="0.35">
      <c r="A5" s="410"/>
      <c r="B5" s="410"/>
      <c r="C5" s="411"/>
      <c r="D5" s="412"/>
      <c r="E5" s="413"/>
      <c r="F5" s="414"/>
      <c r="G5" s="415" t="s">
        <v>49</v>
      </c>
      <c r="H5" s="416" t="s">
        <v>5</v>
      </c>
      <c r="I5" s="417"/>
      <c r="J5" s="417"/>
      <c r="K5" s="415" t="s">
        <v>49</v>
      </c>
      <c r="L5" s="416" t="s">
        <v>5</v>
      </c>
      <c r="M5" s="417"/>
      <c r="N5" s="417"/>
      <c r="O5" s="415" t="s">
        <v>49</v>
      </c>
      <c r="P5" s="416" t="s">
        <v>5</v>
      </c>
      <c r="Q5" s="418"/>
      <c r="R5" s="419"/>
    </row>
    <row r="6" spans="1:18" ht="14.4" customHeight="1" x14ac:dyDescent="0.3">
      <c r="A6" s="395" t="s">
        <v>334</v>
      </c>
      <c r="B6" s="420" t="s">
        <v>335</v>
      </c>
      <c r="C6" s="420" t="s">
        <v>302</v>
      </c>
      <c r="D6" s="420" t="s">
        <v>336</v>
      </c>
      <c r="E6" s="420" t="s">
        <v>337</v>
      </c>
      <c r="F6" s="420" t="s">
        <v>338</v>
      </c>
      <c r="G6" s="396">
        <v>16</v>
      </c>
      <c r="H6" s="396">
        <v>1120</v>
      </c>
      <c r="I6" s="420">
        <v>0.20180180180180179</v>
      </c>
      <c r="J6" s="420">
        <v>70</v>
      </c>
      <c r="K6" s="396">
        <v>75</v>
      </c>
      <c r="L6" s="396">
        <v>5550</v>
      </c>
      <c r="M6" s="420">
        <v>1</v>
      </c>
      <c r="N6" s="420">
        <v>74</v>
      </c>
      <c r="O6" s="396">
        <v>65</v>
      </c>
      <c r="P6" s="396">
        <v>4810</v>
      </c>
      <c r="Q6" s="421">
        <v>0.8666666666666667</v>
      </c>
      <c r="R6" s="422">
        <v>74</v>
      </c>
    </row>
    <row r="7" spans="1:18" ht="14.4" customHeight="1" x14ac:dyDescent="0.3">
      <c r="A7" s="399" t="s">
        <v>334</v>
      </c>
      <c r="B7" s="423" t="s">
        <v>335</v>
      </c>
      <c r="C7" s="423" t="s">
        <v>302</v>
      </c>
      <c r="D7" s="423" t="s">
        <v>336</v>
      </c>
      <c r="E7" s="423" t="s">
        <v>339</v>
      </c>
      <c r="F7" s="423" t="s">
        <v>340</v>
      </c>
      <c r="G7" s="400">
        <v>1570</v>
      </c>
      <c r="H7" s="400">
        <v>507110</v>
      </c>
      <c r="I7" s="423">
        <v>0.67822111899596904</v>
      </c>
      <c r="J7" s="423">
        <v>323</v>
      </c>
      <c r="K7" s="400">
        <v>2161</v>
      </c>
      <c r="L7" s="400">
        <v>747706</v>
      </c>
      <c r="M7" s="423">
        <v>1</v>
      </c>
      <c r="N7" s="423">
        <v>346</v>
      </c>
      <c r="O7" s="400">
        <v>1895</v>
      </c>
      <c r="P7" s="400">
        <v>657565</v>
      </c>
      <c r="Q7" s="424">
        <v>0.87944325710907767</v>
      </c>
      <c r="R7" s="425">
        <v>347</v>
      </c>
    </row>
    <row r="8" spans="1:18" ht="14.4" customHeight="1" x14ac:dyDescent="0.3">
      <c r="A8" s="399" t="s">
        <v>334</v>
      </c>
      <c r="B8" s="423" t="s">
        <v>335</v>
      </c>
      <c r="C8" s="423" t="s">
        <v>302</v>
      </c>
      <c r="D8" s="423" t="s">
        <v>336</v>
      </c>
      <c r="E8" s="423" t="s">
        <v>341</v>
      </c>
      <c r="F8" s="423" t="s">
        <v>342</v>
      </c>
      <c r="G8" s="400">
        <v>339</v>
      </c>
      <c r="H8" s="400">
        <v>109497</v>
      </c>
      <c r="I8" s="423">
        <v>0.97075250895421827</v>
      </c>
      <c r="J8" s="423">
        <v>323</v>
      </c>
      <c r="K8" s="400">
        <v>326</v>
      </c>
      <c r="L8" s="400">
        <v>112796</v>
      </c>
      <c r="M8" s="423">
        <v>1</v>
      </c>
      <c r="N8" s="423">
        <v>346</v>
      </c>
      <c r="O8" s="400">
        <v>172</v>
      </c>
      <c r="P8" s="400">
        <v>59684</v>
      </c>
      <c r="Q8" s="424">
        <v>0.52913223873186988</v>
      </c>
      <c r="R8" s="425">
        <v>347</v>
      </c>
    </row>
    <row r="9" spans="1:18" ht="14.4" customHeight="1" x14ac:dyDescent="0.3">
      <c r="A9" s="399" t="s">
        <v>334</v>
      </c>
      <c r="B9" s="423" t="s">
        <v>335</v>
      </c>
      <c r="C9" s="423" t="s">
        <v>302</v>
      </c>
      <c r="D9" s="423" t="s">
        <v>336</v>
      </c>
      <c r="E9" s="423" t="s">
        <v>343</v>
      </c>
      <c r="F9" s="423" t="s">
        <v>344</v>
      </c>
      <c r="G9" s="400">
        <v>120</v>
      </c>
      <c r="H9" s="400">
        <v>38760</v>
      </c>
      <c r="I9" s="423">
        <v>1.8670520231213872</v>
      </c>
      <c r="J9" s="423">
        <v>323</v>
      </c>
      <c r="K9" s="400">
        <v>60</v>
      </c>
      <c r="L9" s="400">
        <v>20760</v>
      </c>
      <c r="M9" s="423">
        <v>1</v>
      </c>
      <c r="N9" s="423">
        <v>346</v>
      </c>
      <c r="O9" s="400">
        <v>8</v>
      </c>
      <c r="P9" s="400">
        <v>2776</v>
      </c>
      <c r="Q9" s="424">
        <v>0.13371868978805396</v>
      </c>
      <c r="R9" s="425">
        <v>347</v>
      </c>
    </row>
    <row r="10" spans="1:18" ht="14.4" customHeight="1" x14ac:dyDescent="0.3">
      <c r="A10" s="399" t="s">
        <v>334</v>
      </c>
      <c r="B10" s="423" t="s">
        <v>335</v>
      </c>
      <c r="C10" s="423" t="s">
        <v>302</v>
      </c>
      <c r="D10" s="423" t="s">
        <v>336</v>
      </c>
      <c r="E10" s="423" t="s">
        <v>345</v>
      </c>
      <c r="F10" s="423" t="s">
        <v>346</v>
      </c>
      <c r="G10" s="400"/>
      <c r="H10" s="400"/>
      <c r="I10" s="423"/>
      <c r="J10" s="423"/>
      <c r="K10" s="400">
        <v>83</v>
      </c>
      <c r="L10" s="400">
        <v>2766.6800000000003</v>
      </c>
      <c r="M10" s="423">
        <v>1</v>
      </c>
      <c r="N10" s="423">
        <v>33.333493975903615</v>
      </c>
      <c r="O10" s="400">
        <v>109</v>
      </c>
      <c r="P10" s="400">
        <v>3633.34</v>
      </c>
      <c r="Q10" s="424">
        <v>1.3132490927754563</v>
      </c>
      <c r="R10" s="425">
        <v>33.333394495412847</v>
      </c>
    </row>
    <row r="11" spans="1:18" ht="14.4" customHeight="1" x14ac:dyDescent="0.3">
      <c r="A11" s="399" t="s">
        <v>334</v>
      </c>
      <c r="B11" s="423" t="s">
        <v>335</v>
      </c>
      <c r="C11" s="423" t="s">
        <v>302</v>
      </c>
      <c r="D11" s="423" t="s">
        <v>336</v>
      </c>
      <c r="E11" s="423" t="s">
        <v>347</v>
      </c>
      <c r="F11" s="423" t="s">
        <v>348</v>
      </c>
      <c r="G11" s="400">
        <v>160</v>
      </c>
      <c r="H11" s="400">
        <v>87360</v>
      </c>
      <c r="I11" s="423">
        <v>0.43406538805525191</v>
      </c>
      <c r="J11" s="423">
        <v>546</v>
      </c>
      <c r="K11" s="400">
        <v>347</v>
      </c>
      <c r="L11" s="400">
        <v>201260</v>
      </c>
      <c r="M11" s="423">
        <v>1</v>
      </c>
      <c r="N11" s="423">
        <v>580</v>
      </c>
      <c r="O11" s="400">
        <v>319</v>
      </c>
      <c r="P11" s="400">
        <v>185020</v>
      </c>
      <c r="Q11" s="424">
        <v>0.9193083573487032</v>
      </c>
      <c r="R11" s="425">
        <v>580</v>
      </c>
    </row>
    <row r="12" spans="1:18" ht="14.4" customHeight="1" x14ac:dyDescent="0.3">
      <c r="A12" s="399" t="s">
        <v>334</v>
      </c>
      <c r="B12" s="423" t="s">
        <v>335</v>
      </c>
      <c r="C12" s="423" t="s">
        <v>302</v>
      </c>
      <c r="D12" s="423" t="s">
        <v>336</v>
      </c>
      <c r="E12" s="423" t="s">
        <v>349</v>
      </c>
      <c r="F12" s="423" t="s">
        <v>350</v>
      </c>
      <c r="G12" s="400">
        <v>204</v>
      </c>
      <c r="H12" s="400">
        <v>111588</v>
      </c>
      <c r="I12" s="423">
        <v>1.0789997872710746</v>
      </c>
      <c r="J12" s="423">
        <v>547</v>
      </c>
      <c r="K12" s="400">
        <v>178</v>
      </c>
      <c r="L12" s="400">
        <v>103418</v>
      </c>
      <c r="M12" s="423">
        <v>1</v>
      </c>
      <c r="N12" s="423">
        <v>581</v>
      </c>
      <c r="O12" s="400">
        <v>124</v>
      </c>
      <c r="P12" s="400">
        <v>72044</v>
      </c>
      <c r="Q12" s="424">
        <v>0.6966292134831461</v>
      </c>
      <c r="R12" s="425">
        <v>581</v>
      </c>
    </row>
    <row r="13" spans="1:18" ht="14.4" customHeight="1" x14ac:dyDescent="0.3">
      <c r="A13" s="399" t="s">
        <v>334</v>
      </c>
      <c r="B13" s="423" t="s">
        <v>335</v>
      </c>
      <c r="C13" s="423" t="s">
        <v>302</v>
      </c>
      <c r="D13" s="423" t="s">
        <v>336</v>
      </c>
      <c r="E13" s="423" t="s">
        <v>351</v>
      </c>
      <c r="F13" s="423" t="s">
        <v>352</v>
      </c>
      <c r="G13" s="400">
        <v>4</v>
      </c>
      <c r="H13" s="400">
        <v>1092</v>
      </c>
      <c r="I13" s="423"/>
      <c r="J13" s="423">
        <v>273</v>
      </c>
      <c r="K13" s="400"/>
      <c r="L13" s="400"/>
      <c r="M13" s="423"/>
      <c r="N13" s="423"/>
      <c r="O13" s="400"/>
      <c r="P13" s="400"/>
      <c r="Q13" s="424"/>
      <c r="R13" s="425"/>
    </row>
    <row r="14" spans="1:18" ht="14.4" customHeight="1" x14ac:dyDescent="0.3">
      <c r="A14" s="399" t="s">
        <v>334</v>
      </c>
      <c r="B14" s="423" t="s">
        <v>335</v>
      </c>
      <c r="C14" s="423" t="s">
        <v>302</v>
      </c>
      <c r="D14" s="423" t="s">
        <v>336</v>
      </c>
      <c r="E14" s="423" t="s">
        <v>353</v>
      </c>
      <c r="F14" s="423" t="s">
        <v>354</v>
      </c>
      <c r="G14" s="400">
        <v>171</v>
      </c>
      <c r="H14" s="400">
        <v>93537</v>
      </c>
      <c r="I14" s="423">
        <v>0.98768782403936517</v>
      </c>
      <c r="J14" s="423">
        <v>547</v>
      </c>
      <c r="K14" s="400">
        <v>163</v>
      </c>
      <c r="L14" s="400">
        <v>94703</v>
      </c>
      <c r="M14" s="423">
        <v>1</v>
      </c>
      <c r="N14" s="423">
        <v>581</v>
      </c>
      <c r="O14" s="400">
        <v>56</v>
      </c>
      <c r="P14" s="400">
        <v>32536</v>
      </c>
      <c r="Q14" s="424">
        <v>0.34355828220858897</v>
      </c>
      <c r="R14" s="425">
        <v>581</v>
      </c>
    </row>
    <row r="15" spans="1:18" ht="14.4" customHeight="1" thickBot="1" x14ac:dyDescent="0.35">
      <c r="A15" s="403" t="s">
        <v>334</v>
      </c>
      <c r="B15" s="426" t="s">
        <v>335</v>
      </c>
      <c r="C15" s="426" t="s">
        <v>302</v>
      </c>
      <c r="D15" s="426" t="s">
        <v>336</v>
      </c>
      <c r="E15" s="426" t="s">
        <v>355</v>
      </c>
      <c r="F15" s="426" t="s">
        <v>356</v>
      </c>
      <c r="G15" s="404">
        <v>56</v>
      </c>
      <c r="H15" s="404">
        <v>30576</v>
      </c>
      <c r="I15" s="426">
        <v>1.0982758620689654</v>
      </c>
      <c r="J15" s="426">
        <v>546</v>
      </c>
      <c r="K15" s="404">
        <v>48</v>
      </c>
      <c r="L15" s="404">
        <v>27840</v>
      </c>
      <c r="M15" s="426">
        <v>1</v>
      </c>
      <c r="N15" s="426">
        <v>580</v>
      </c>
      <c r="O15" s="404">
        <v>20</v>
      </c>
      <c r="P15" s="404">
        <v>11600</v>
      </c>
      <c r="Q15" s="427">
        <v>0.41666666666666669</v>
      </c>
      <c r="R15" s="428">
        <v>580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6" hidden="1" customWidth="1" outlineLevel="1"/>
    <col min="10" max="11" width="9.33203125" style="101" hidden="1" customWidth="1"/>
    <col min="12" max="13" width="11.109375" style="176" customWidth="1"/>
    <col min="14" max="15" width="9.33203125" style="101" hidden="1" customWidth="1"/>
    <col min="16" max="17" width="11.109375" style="176" customWidth="1"/>
    <col min="18" max="18" width="11.109375" style="179" customWidth="1"/>
    <col min="19" max="19" width="11.109375" style="176" customWidth="1"/>
    <col min="20" max="16384" width="8.88671875" style="101"/>
  </cols>
  <sheetData>
    <row r="1" spans="1:19" ht="18.600000000000001" customHeight="1" thickBot="1" x14ac:dyDescent="0.4">
      <c r="A1" s="289" t="s">
        <v>358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</row>
    <row r="2" spans="1:19" ht="14.4" customHeight="1" thickBot="1" x14ac:dyDescent="0.35">
      <c r="A2" s="195" t="s">
        <v>195</v>
      </c>
      <c r="B2" s="166"/>
      <c r="C2" s="166"/>
      <c r="D2" s="166"/>
      <c r="E2" s="83"/>
      <c r="F2" s="83"/>
      <c r="G2" s="83"/>
      <c r="H2" s="190"/>
      <c r="I2" s="190"/>
      <c r="J2" s="83"/>
      <c r="K2" s="83"/>
      <c r="L2" s="190"/>
      <c r="M2" s="190"/>
      <c r="N2" s="83"/>
      <c r="O2" s="83"/>
      <c r="P2" s="190"/>
      <c r="Q2" s="190"/>
      <c r="R2" s="187"/>
      <c r="S2" s="190"/>
    </row>
    <row r="3" spans="1:19" ht="14.4" customHeight="1" thickBot="1" x14ac:dyDescent="0.35">
      <c r="G3" s="62" t="s">
        <v>100</v>
      </c>
      <c r="H3" s="74">
        <f t="shared" ref="H3:Q3" si="0">SUBTOTAL(9,H6:H1048576)</f>
        <v>2640</v>
      </c>
      <c r="I3" s="75">
        <f t="shared" si="0"/>
        <v>980640</v>
      </c>
      <c r="J3" s="57"/>
      <c r="K3" s="57"/>
      <c r="L3" s="75">
        <f t="shared" si="0"/>
        <v>3441</v>
      </c>
      <c r="M3" s="75">
        <f t="shared" si="0"/>
        <v>1316799.68</v>
      </c>
      <c r="N3" s="57"/>
      <c r="O3" s="57"/>
      <c r="P3" s="75">
        <f t="shared" si="0"/>
        <v>2768</v>
      </c>
      <c r="Q3" s="75">
        <f t="shared" si="0"/>
        <v>1029668.34</v>
      </c>
      <c r="R3" s="58">
        <f>IF(M3=0,0,Q3/M3)</f>
        <v>0.78194759281837012</v>
      </c>
      <c r="S3" s="76">
        <f>IF(P3=0,0,Q3/P3)</f>
        <v>371.99000722543349</v>
      </c>
    </row>
    <row r="4" spans="1:19" ht="14.4" customHeight="1" x14ac:dyDescent="0.3">
      <c r="A4" s="333" t="s">
        <v>183</v>
      </c>
      <c r="B4" s="333" t="s">
        <v>72</v>
      </c>
      <c r="C4" s="341" t="s">
        <v>0</v>
      </c>
      <c r="D4" s="256" t="s">
        <v>101</v>
      </c>
      <c r="E4" s="335" t="s">
        <v>73</v>
      </c>
      <c r="F4" s="340" t="s">
        <v>48</v>
      </c>
      <c r="G4" s="336" t="s">
        <v>47</v>
      </c>
      <c r="H4" s="337">
        <v>2015</v>
      </c>
      <c r="I4" s="338"/>
      <c r="J4" s="73"/>
      <c r="K4" s="73"/>
      <c r="L4" s="337">
        <v>2016</v>
      </c>
      <c r="M4" s="338"/>
      <c r="N4" s="73"/>
      <c r="O4" s="73"/>
      <c r="P4" s="337">
        <v>2017</v>
      </c>
      <c r="Q4" s="338"/>
      <c r="R4" s="339" t="s">
        <v>2</v>
      </c>
      <c r="S4" s="334" t="s">
        <v>75</v>
      </c>
    </row>
    <row r="5" spans="1:19" ht="14.4" customHeight="1" thickBot="1" x14ac:dyDescent="0.35">
      <c r="A5" s="410"/>
      <c r="B5" s="410"/>
      <c r="C5" s="411"/>
      <c r="D5" s="429"/>
      <c r="E5" s="412"/>
      <c r="F5" s="413"/>
      <c r="G5" s="414"/>
      <c r="H5" s="415" t="s">
        <v>49</v>
      </c>
      <c r="I5" s="416" t="s">
        <v>5</v>
      </c>
      <c r="J5" s="417"/>
      <c r="K5" s="417"/>
      <c r="L5" s="415" t="s">
        <v>49</v>
      </c>
      <c r="M5" s="416" t="s">
        <v>5</v>
      </c>
      <c r="N5" s="417"/>
      <c r="O5" s="417"/>
      <c r="P5" s="415" t="s">
        <v>49</v>
      </c>
      <c r="Q5" s="416" t="s">
        <v>5</v>
      </c>
      <c r="R5" s="418"/>
      <c r="S5" s="419"/>
    </row>
    <row r="6" spans="1:19" ht="14.4" customHeight="1" x14ac:dyDescent="0.3">
      <c r="A6" s="395" t="s">
        <v>334</v>
      </c>
      <c r="B6" s="420" t="s">
        <v>335</v>
      </c>
      <c r="C6" s="420" t="s">
        <v>302</v>
      </c>
      <c r="D6" s="420" t="s">
        <v>316</v>
      </c>
      <c r="E6" s="420" t="s">
        <v>336</v>
      </c>
      <c r="F6" s="420" t="s">
        <v>337</v>
      </c>
      <c r="G6" s="420" t="s">
        <v>338</v>
      </c>
      <c r="H6" s="396">
        <v>4</v>
      </c>
      <c r="I6" s="396">
        <v>280</v>
      </c>
      <c r="J6" s="420">
        <v>0.94594594594594594</v>
      </c>
      <c r="K6" s="420">
        <v>70</v>
      </c>
      <c r="L6" s="396">
        <v>4</v>
      </c>
      <c r="M6" s="396">
        <v>296</v>
      </c>
      <c r="N6" s="420">
        <v>1</v>
      </c>
      <c r="O6" s="420">
        <v>74</v>
      </c>
      <c r="P6" s="396"/>
      <c r="Q6" s="396"/>
      <c r="R6" s="421"/>
      <c r="S6" s="422"/>
    </row>
    <row r="7" spans="1:19" ht="14.4" customHeight="1" x14ac:dyDescent="0.3">
      <c r="A7" s="399" t="s">
        <v>334</v>
      </c>
      <c r="B7" s="423" t="s">
        <v>335</v>
      </c>
      <c r="C7" s="423" t="s">
        <v>302</v>
      </c>
      <c r="D7" s="423" t="s">
        <v>316</v>
      </c>
      <c r="E7" s="423" t="s">
        <v>336</v>
      </c>
      <c r="F7" s="423" t="s">
        <v>339</v>
      </c>
      <c r="G7" s="423" t="s">
        <v>340</v>
      </c>
      <c r="H7" s="400">
        <v>16</v>
      </c>
      <c r="I7" s="400">
        <v>5168</v>
      </c>
      <c r="J7" s="423">
        <v>0.93352601156069359</v>
      </c>
      <c r="K7" s="423">
        <v>323</v>
      </c>
      <c r="L7" s="400">
        <v>16</v>
      </c>
      <c r="M7" s="400">
        <v>5536</v>
      </c>
      <c r="N7" s="423">
        <v>1</v>
      </c>
      <c r="O7" s="423">
        <v>346</v>
      </c>
      <c r="P7" s="400">
        <v>14</v>
      </c>
      <c r="Q7" s="400">
        <v>4858</v>
      </c>
      <c r="R7" s="424">
        <v>0.87752890173410403</v>
      </c>
      <c r="S7" s="425">
        <v>347</v>
      </c>
    </row>
    <row r="8" spans="1:19" ht="14.4" customHeight="1" x14ac:dyDescent="0.3">
      <c r="A8" s="399" t="s">
        <v>334</v>
      </c>
      <c r="B8" s="423" t="s">
        <v>335</v>
      </c>
      <c r="C8" s="423" t="s">
        <v>302</v>
      </c>
      <c r="D8" s="423" t="s">
        <v>316</v>
      </c>
      <c r="E8" s="423" t="s">
        <v>336</v>
      </c>
      <c r="F8" s="423" t="s">
        <v>341</v>
      </c>
      <c r="G8" s="423" t="s">
        <v>342</v>
      </c>
      <c r="H8" s="400">
        <v>110</v>
      </c>
      <c r="I8" s="400">
        <v>35530</v>
      </c>
      <c r="J8" s="423">
        <v>0.87767402796304528</v>
      </c>
      <c r="K8" s="423">
        <v>323</v>
      </c>
      <c r="L8" s="400">
        <v>117</v>
      </c>
      <c r="M8" s="400">
        <v>40482</v>
      </c>
      <c r="N8" s="423">
        <v>1</v>
      </c>
      <c r="O8" s="423">
        <v>346</v>
      </c>
      <c r="P8" s="400">
        <v>80</v>
      </c>
      <c r="Q8" s="400">
        <v>27760</v>
      </c>
      <c r="R8" s="424">
        <v>0.68573687070796896</v>
      </c>
      <c r="S8" s="425">
        <v>347</v>
      </c>
    </row>
    <row r="9" spans="1:19" ht="14.4" customHeight="1" x14ac:dyDescent="0.3">
      <c r="A9" s="399" t="s">
        <v>334</v>
      </c>
      <c r="B9" s="423" t="s">
        <v>335</v>
      </c>
      <c r="C9" s="423" t="s">
        <v>302</v>
      </c>
      <c r="D9" s="423" t="s">
        <v>316</v>
      </c>
      <c r="E9" s="423" t="s">
        <v>336</v>
      </c>
      <c r="F9" s="423" t="s">
        <v>345</v>
      </c>
      <c r="G9" s="423" t="s">
        <v>346</v>
      </c>
      <c r="H9" s="400"/>
      <c r="I9" s="400"/>
      <c r="J9" s="423"/>
      <c r="K9" s="423"/>
      <c r="L9" s="400">
        <v>1</v>
      </c>
      <c r="M9" s="400">
        <v>33.33</v>
      </c>
      <c r="N9" s="423">
        <v>1</v>
      </c>
      <c r="O9" s="423">
        <v>33.33</v>
      </c>
      <c r="P9" s="400"/>
      <c r="Q9" s="400"/>
      <c r="R9" s="424"/>
      <c r="S9" s="425"/>
    </row>
    <row r="10" spans="1:19" ht="14.4" customHeight="1" x14ac:dyDescent="0.3">
      <c r="A10" s="399" t="s">
        <v>334</v>
      </c>
      <c r="B10" s="423" t="s">
        <v>335</v>
      </c>
      <c r="C10" s="423" t="s">
        <v>302</v>
      </c>
      <c r="D10" s="423" t="s">
        <v>316</v>
      </c>
      <c r="E10" s="423" t="s">
        <v>336</v>
      </c>
      <c r="F10" s="423" t="s">
        <v>347</v>
      </c>
      <c r="G10" s="423" t="s">
        <v>348</v>
      </c>
      <c r="H10" s="400"/>
      <c r="I10" s="400"/>
      <c r="J10" s="423"/>
      <c r="K10" s="423"/>
      <c r="L10" s="400">
        <v>3</v>
      </c>
      <c r="M10" s="400">
        <v>1740</v>
      </c>
      <c r="N10" s="423">
        <v>1</v>
      </c>
      <c r="O10" s="423">
        <v>580</v>
      </c>
      <c r="P10" s="400"/>
      <c r="Q10" s="400"/>
      <c r="R10" s="424"/>
      <c r="S10" s="425"/>
    </row>
    <row r="11" spans="1:19" ht="14.4" customHeight="1" x14ac:dyDescent="0.3">
      <c r="A11" s="399" t="s">
        <v>334</v>
      </c>
      <c r="B11" s="423" t="s">
        <v>335</v>
      </c>
      <c r="C11" s="423" t="s">
        <v>302</v>
      </c>
      <c r="D11" s="423" t="s">
        <v>316</v>
      </c>
      <c r="E11" s="423" t="s">
        <v>336</v>
      </c>
      <c r="F11" s="423" t="s">
        <v>349</v>
      </c>
      <c r="G11" s="423" t="s">
        <v>350</v>
      </c>
      <c r="H11" s="400">
        <v>18</v>
      </c>
      <c r="I11" s="400">
        <v>9846</v>
      </c>
      <c r="J11" s="423">
        <v>1.882960413080895</v>
      </c>
      <c r="K11" s="423">
        <v>547</v>
      </c>
      <c r="L11" s="400">
        <v>9</v>
      </c>
      <c r="M11" s="400">
        <v>5229</v>
      </c>
      <c r="N11" s="423">
        <v>1</v>
      </c>
      <c r="O11" s="423">
        <v>581</v>
      </c>
      <c r="P11" s="400">
        <v>31</v>
      </c>
      <c r="Q11" s="400">
        <v>18011</v>
      </c>
      <c r="R11" s="424">
        <v>3.4444444444444446</v>
      </c>
      <c r="S11" s="425">
        <v>581</v>
      </c>
    </row>
    <row r="12" spans="1:19" ht="14.4" customHeight="1" x14ac:dyDescent="0.3">
      <c r="A12" s="399" t="s">
        <v>334</v>
      </c>
      <c r="B12" s="423" t="s">
        <v>335</v>
      </c>
      <c r="C12" s="423" t="s">
        <v>302</v>
      </c>
      <c r="D12" s="423" t="s">
        <v>316</v>
      </c>
      <c r="E12" s="423" t="s">
        <v>336</v>
      </c>
      <c r="F12" s="423" t="s">
        <v>351</v>
      </c>
      <c r="G12" s="423" t="s">
        <v>352</v>
      </c>
      <c r="H12" s="400">
        <v>4</v>
      </c>
      <c r="I12" s="400">
        <v>1092</v>
      </c>
      <c r="J12" s="423"/>
      <c r="K12" s="423">
        <v>273</v>
      </c>
      <c r="L12" s="400"/>
      <c r="M12" s="400"/>
      <c r="N12" s="423"/>
      <c r="O12" s="423"/>
      <c r="P12" s="400"/>
      <c r="Q12" s="400"/>
      <c r="R12" s="424"/>
      <c r="S12" s="425"/>
    </row>
    <row r="13" spans="1:19" ht="14.4" customHeight="1" x14ac:dyDescent="0.3">
      <c r="A13" s="399" t="s">
        <v>334</v>
      </c>
      <c r="B13" s="423" t="s">
        <v>335</v>
      </c>
      <c r="C13" s="423" t="s">
        <v>302</v>
      </c>
      <c r="D13" s="423" t="s">
        <v>316</v>
      </c>
      <c r="E13" s="423" t="s">
        <v>336</v>
      </c>
      <c r="F13" s="423" t="s">
        <v>353</v>
      </c>
      <c r="G13" s="423" t="s">
        <v>354</v>
      </c>
      <c r="H13" s="400">
        <v>8</v>
      </c>
      <c r="I13" s="400">
        <v>4376</v>
      </c>
      <c r="J13" s="423">
        <v>1.882960413080895</v>
      </c>
      <c r="K13" s="423">
        <v>547</v>
      </c>
      <c r="L13" s="400">
        <v>4</v>
      </c>
      <c r="M13" s="400">
        <v>2324</v>
      </c>
      <c r="N13" s="423">
        <v>1</v>
      </c>
      <c r="O13" s="423">
        <v>581</v>
      </c>
      <c r="P13" s="400"/>
      <c r="Q13" s="400"/>
      <c r="R13" s="424"/>
      <c r="S13" s="425"/>
    </row>
    <row r="14" spans="1:19" ht="14.4" customHeight="1" x14ac:dyDescent="0.3">
      <c r="A14" s="399" t="s">
        <v>334</v>
      </c>
      <c r="B14" s="423" t="s">
        <v>335</v>
      </c>
      <c r="C14" s="423" t="s">
        <v>302</v>
      </c>
      <c r="D14" s="423" t="s">
        <v>317</v>
      </c>
      <c r="E14" s="423" t="s">
        <v>336</v>
      </c>
      <c r="F14" s="423" t="s">
        <v>337</v>
      </c>
      <c r="G14" s="423" t="s">
        <v>338</v>
      </c>
      <c r="H14" s="400"/>
      <c r="I14" s="400"/>
      <c r="J14" s="423"/>
      <c r="K14" s="423"/>
      <c r="L14" s="400"/>
      <c r="M14" s="400"/>
      <c r="N14" s="423"/>
      <c r="O14" s="423"/>
      <c r="P14" s="400">
        <v>4</v>
      </c>
      <c r="Q14" s="400">
        <v>296</v>
      </c>
      <c r="R14" s="424"/>
      <c r="S14" s="425">
        <v>74</v>
      </c>
    </row>
    <row r="15" spans="1:19" ht="14.4" customHeight="1" x14ac:dyDescent="0.3">
      <c r="A15" s="399" t="s">
        <v>334</v>
      </c>
      <c r="B15" s="423" t="s">
        <v>335</v>
      </c>
      <c r="C15" s="423" t="s">
        <v>302</v>
      </c>
      <c r="D15" s="423" t="s">
        <v>317</v>
      </c>
      <c r="E15" s="423" t="s">
        <v>336</v>
      </c>
      <c r="F15" s="423" t="s">
        <v>339</v>
      </c>
      <c r="G15" s="423" t="s">
        <v>340</v>
      </c>
      <c r="H15" s="400">
        <v>92</v>
      </c>
      <c r="I15" s="400">
        <v>29716</v>
      </c>
      <c r="J15" s="423">
        <v>0.6506393413907865</v>
      </c>
      <c r="K15" s="423">
        <v>323</v>
      </c>
      <c r="L15" s="400">
        <v>132</v>
      </c>
      <c r="M15" s="400">
        <v>45672</v>
      </c>
      <c r="N15" s="423">
        <v>1</v>
      </c>
      <c r="O15" s="423">
        <v>346</v>
      </c>
      <c r="P15" s="400">
        <v>324</v>
      </c>
      <c r="Q15" s="400">
        <v>112428</v>
      </c>
      <c r="R15" s="424">
        <v>2.4616395165528115</v>
      </c>
      <c r="S15" s="425">
        <v>347</v>
      </c>
    </row>
    <row r="16" spans="1:19" ht="14.4" customHeight="1" x14ac:dyDescent="0.3">
      <c r="A16" s="399" t="s">
        <v>334</v>
      </c>
      <c r="B16" s="423" t="s">
        <v>335</v>
      </c>
      <c r="C16" s="423" t="s">
        <v>302</v>
      </c>
      <c r="D16" s="423" t="s">
        <v>317</v>
      </c>
      <c r="E16" s="423" t="s">
        <v>336</v>
      </c>
      <c r="F16" s="423" t="s">
        <v>343</v>
      </c>
      <c r="G16" s="423" t="s">
        <v>344</v>
      </c>
      <c r="H16" s="400">
        <v>12</v>
      </c>
      <c r="I16" s="400">
        <v>3876</v>
      </c>
      <c r="J16" s="423">
        <v>0.36136490770091367</v>
      </c>
      <c r="K16" s="423">
        <v>323</v>
      </c>
      <c r="L16" s="400">
        <v>31</v>
      </c>
      <c r="M16" s="400">
        <v>10726</v>
      </c>
      <c r="N16" s="423">
        <v>1</v>
      </c>
      <c r="O16" s="423">
        <v>346</v>
      </c>
      <c r="P16" s="400">
        <v>4</v>
      </c>
      <c r="Q16" s="400">
        <v>1388</v>
      </c>
      <c r="R16" s="424">
        <v>0.12940518366585865</v>
      </c>
      <c r="S16" s="425">
        <v>347</v>
      </c>
    </row>
    <row r="17" spans="1:19" ht="14.4" customHeight="1" x14ac:dyDescent="0.3">
      <c r="A17" s="399" t="s">
        <v>334</v>
      </c>
      <c r="B17" s="423" t="s">
        <v>335</v>
      </c>
      <c r="C17" s="423" t="s">
        <v>302</v>
      </c>
      <c r="D17" s="423" t="s">
        <v>317</v>
      </c>
      <c r="E17" s="423" t="s">
        <v>336</v>
      </c>
      <c r="F17" s="423" t="s">
        <v>345</v>
      </c>
      <c r="G17" s="423" t="s">
        <v>346</v>
      </c>
      <c r="H17" s="400"/>
      <c r="I17" s="400"/>
      <c r="J17" s="423"/>
      <c r="K17" s="423"/>
      <c r="L17" s="400">
        <v>1</v>
      </c>
      <c r="M17" s="400">
        <v>33.33</v>
      </c>
      <c r="N17" s="423">
        <v>1</v>
      </c>
      <c r="O17" s="423">
        <v>33.33</v>
      </c>
      <c r="P17" s="400">
        <v>1</v>
      </c>
      <c r="Q17" s="400">
        <v>33.33</v>
      </c>
      <c r="R17" s="424">
        <v>1</v>
      </c>
      <c r="S17" s="425">
        <v>33.33</v>
      </c>
    </row>
    <row r="18" spans="1:19" ht="14.4" customHeight="1" x14ac:dyDescent="0.3">
      <c r="A18" s="399" t="s">
        <v>334</v>
      </c>
      <c r="B18" s="423" t="s">
        <v>335</v>
      </c>
      <c r="C18" s="423" t="s">
        <v>302</v>
      </c>
      <c r="D18" s="423" t="s">
        <v>317</v>
      </c>
      <c r="E18" s="423" t="s">
        <v>336</v>
      </c>
      <c r="F18" s="423" t="s">
        <v>347</v>
      </c>
      <c r="G18" s="423" t="s">
        <v>348</v>
      </c>
      <c r="H18" s="400"/>
      <c r="I18" s="400"/>
      <c r="J18" s="423"/>
      <c r="K18" s="423"/>
      <c r="L18" s="400">
        <v>4</v>
      </c>
      <c r="M18" s="400">
        <v>2320</v>
      </c>
      <c r="N18" s="423">
        <v>1</v>
      </c>
      <c r="O18" s="423">
        <v>580</v>
      </c>
      <c r="P18" s="400">
        <v>4</v>
      </c>
      <c r="Q18" s="400">
        <v>2320</v>
      </c>
      <c r="R18" s="424">
        <v>1</v>
      </c>
      <c r="S18" s="425">
        <v>580</v>
      </c>
    </row>
    <row r="19" spans="1:19" ht="14.4" customHeight="1" x14ac:dyDescent="0.3">
      <c r="A19" s="399" t="s">
        <v>334</v>
      </c>
      <c r="B19" s="423" t="s">
        <v>335</v>
      </c>
      <c r="C19" s="423" t="s">
        <v>302</v>
      </c>
      <c r="D19" s="423" t="s">
        <v>317</v>
      </c>
      <c r="E19" s="423" t="s">
        <v>336</v>
      </c>
      <c r="F19" s="423" t="s">
        <v>353</v>
      </c>
      <c r="G19" s="423" t="s">
        <v>354</v>
      </c>
      <c r="H19" s="400"/>
      <c r="I19" s="400"/>
      <c r="J19" s="423"/>
      <c r="K19" s="423"/>
      <c r="L19" s="400">
        <v>4</v>
      </c>
      <c r="M19" s="400">
        <v>2324</v>
      </c>
      <c r="N19" s="423">
        <v>1</v>
      </c>
      <c r="O19" s="423">
        <v>581</v>
      </c>
      <c r="P19" s="400"/>
      <c r="Q19" s="400"/>
      <c r="R19" s="424"/>
      <c r="S19" s="425"/>
    </row>
    <row r="20" spans="1:19" ht="14.4" customHeight="1" x14ac:dyDescent="0.3">
      <c r="A20" s="399" t="s">
        <v>334</v>
      </c>
      <c r="B20" s="423" t="s">
        <v>335</v>
      </c>
      <c r="C20" s="423" t="s">
        <v>302</v>
      </c>
      <c r="D20" s="423" t="s">
        <v>317</v>
      </c>
      <c r="E20" s="423" t="s">
        <v>336</v>
      </c>
      <c r="F20" s="423" t="s">
        <v>355</v>
      </c>
      <c r="G20" s="423" t="s">
        <v>356</v>
      </c>
      <c r="H20" s="400">
        <v>24</v>
      </c>
      <c r="I20" s="400">
        <v>13104</v>
      </c>
      <c r="J20" s="423"/>
      <c r="K20" s="423">
        <v>546</v>
      </c>
      <c r="L20" s="400"/>
      <c r="M20" s="400"/>
      <c r="N20" s="423"/>
      <c r="O20" s="423"/>
      <c r="P20" s="400"/>
      <c r="Q20" s="400"/>
      <c r="R20" s="424"/>
      <c r="S20" s="425"/>
    </row>
    <row r="21" spans="1:19" ht="14.4" customHeight="1" x14ac:dyDescent="0.3">
      <c r="A21" s="399" t="s">
        <v>334</v>
      </c>
      <c r="B21" s="423" t="s">
        <v>335</v>
      </c>
      <c r="C21" s="423" t="s">
        <v>302</v>
      </c>
      <c r="D21" s="423" t="s">
        <v>319</v>
      </c>
      <c r="E21" s="423" t="s">
        <v>336</v>
      </c>
      <c r="F21" s="423" t="s">
        <v>337</v>
      </c>
      <c r="G21" s="423" t="s">
        <v>338</v>
      </c>
      <c r="H21" s="400">
        <v>2</v>
      </c>
      <c r="I21" s="400">
        <v>140</v>
      </c>
      <c r="J21" s="423">
        <v>1.8918918918918919</v>
      </c>
      <c r="K21" s="423">
        <v>70</v>
      </c>
      <c r="L21" s="400">
        <v>1</v>
      </c>
      <c r="M21" s="400">
        <v>74</v>
      </c>
      <c r="N21" s="423">
        <v>1</v>
      </c>
      <c r="O21" s="423">
        <v>74</v>
      </c>
      <c r="P21" s="400"/>
      <c r="Q21" s="400"/>
      <c r="R21" s="424"/>
      <c r="S21" s="425"/>
    </row>
    <row r="22" spans="1:19" ht="14.4" customHeight="1" x14ac:dyDescent="0.3">
      <c r="A22" s="399" t="s">
        <v>334</v>
      </c>
      <c r="B22" s="423" t="s">
        <v>335</v>
      </c>
      <c r="C22" s="423" t="s">
        <v>302</v>
      </c>
      <c r="D22" s="423" t="s">
        <v>319</v>
      </c>
      <c r="E22" s="423" t="s">
        <v>336</v>
      </c>
      <c r="F22" s="423" t="s">
        <v>339</v>
      </c>
      <c r="G22" s="423" t="s">
        <v>340</v>
      </c>
      <c r="H22" s="400">
        <v>120</v>
      </c>
      <c r="I22" s="400">
        <v>38760</v>
      </c>
      <c r="J22" s="423">
        <v>0.66680429397192398</v>
      </c>
      <c r="K22" s="423">
        <v>323</v>
      </c>
      <c r="L22" s="400">
        <v>168</v>
      </c>
      <c r="M22" s="400">
        <v>58128</v>
      </c>
      <c r="N22" s="423">
        <v>1</v>
      </c>
      <c r="O22" s="423">
        <v>346</v>
      </c>
      <c r="P22" s="400"/>
      <c r="Q22" s="400"/>
      <c r="R22" s="424"/>
      <c r="S22" s="425"/>
    </row>
    <row r="23" spans="1:19" ht="14.4" customHeight="1" x14ac:dyDescent="0.3">
      <c r="A23" s="399" t="s">
        <v>334</v>
      </c>
      <c r="B23" s="423" t="s">
        <v>335</v>
      </c>
      <c r="C23" s="423" t="s">
        <v>302</v>
      </c>
      <c r="D23" s="423" t="s">
        <v>319</v>
      </c>
      <c r="E23" s="423" t="s">
        <v>336</v>
      </c>
      <c r="F23" s="423" t="s">
        <v>341</v>
      </c>
      <c r="G23" s="423" t="s">
        <v>342</v>
      </c>
      <c r="H23" s="400">
        <v>126</v>
      </c>
      <c r="I23" s="400">
        <v>40698</v>
      </c>
      <c r="J23" s="423">
        <v>1.0596781752851117</v>
      </c>
      <c r="K23" s="423">
        <v>323</v>
      </c>
      <c r="L23" s="400">
        <v>111</v>
      </c>
      <c r="M23" s="400">
        <v>38406</v>
      </c>
      <c r="N23" s="423">
        <v>1</v>
      </c>
      <c r="O23" s="423">
        <v>346</v>
      </c>
      <c r="P23" s="400"/>
      <c r="Q23" s="400"/>
      <c r="R23" s="424"/>
      <c r="S23" s="425"/>
    </row>
    <row r="24" spans="1:19" ht="14.4" customHeight="1" x14ac:dyDescent="0.3">
      <c r="A24" s="399" t="s">
        <v>334</v>
      </c>
      <c r="B24" s="423" t="s">
        <v>335</v>
      </c>
      <c r="C24" s="423" t="s">
        <v>302</v>
      </c>
      <c r="D24" s="423" t="s">
        <v>319</v>
      </c>
      <c r="E24" s="423" t="s">
        <v>336</v>
      </c>
      <c r="F24" s="423" t="s">
        <v>343</v>
      </c>
      <c r="G24" s="423" t="s">
        <v>344</v>
      </c>
      <c r="H24" s="400">
        <v>12</v>
      </c>
      <c r="I24" s="400">
        <v>3876</v>
      </c>
      <c r="J24" s="423">
        <v>0.70014450867052025</v>
      </c>
      <c r="K24" s="423">
        <v>323</v>
      </c>
      <c r="L24" s="400">
        <v>16</v>
      </c>
      <c r="M24" s="400">
        <v>5536</v>
      </c>
      <c r="N24" s="423">
        <v>1</v>
      </c>
      <c r="O24" s="423">
        <v>346</v>
      </c>
      <c r="P24" s="400"/>
      <c r="Q24" s="400"/>
      <c r="R24" s="424"/>
      <c r="S24" s="425"/>
    </row>
    <row r="25" spans="1:19" ht="14.4" customHeight="1" x14ac:dyDescent="0.3">
      <c r="A25" s="399" t="s">
        <v>334</v>
      </c>
      <c r="B25" s="423" t="s">
        <v>335</v>
      </c>
      <c r="C25" s="423" t="s">
        <v>302</v>
      </c>
      <c r="D25" s="423" t="s">
        <v>319</v>
      </c>
      <c r="E25" s="423" t="s">
        <v>336</v>
      </c>
      <c r="F25" s="423" t="s">
        <v>349</v>
      </c>
      <c r="G25" s="423" t="s">
        <v>350</v>
      </c>
      <c r="H25" s="400">
        <v>139</v>
      </c>
      <c r="I25" s="400">
        <v>76033</v>
      </c>
      <c r="J25" s="423">
        <v>1.1090317687213747</v>
      </c>
      <c r="K25" s="423">
        <v>547</v>
      </c>
      <c r="L25" s="400">
        <v>118</v>
      </c>
      <c r="M25" s="400">
        <v>68558</v>
      </c>
      <c r="N25" s="423">
        <v>1</v>
      </c>
      <c r="O25" s="423">
        <v>581</v>
      </c>
      <c r="P25" s="400"/>
      <c r="Q25" s="400"/>
      <c r="R25" s="424"/>
      <c r="S25" s="425"/>
    </row>
    <row r="26" spans="1:19" ht="14.4" customHeight="1" x14ac:dyDescent="0.3">
      <c r="A26" s="399" t="s">
        <v>334</v>
      </c>
      <c r="B26" s="423" t="s">
        <v>335</v>
      </c>
      <c r="C26" s="423" t="s">
        <v>302</v>
      </c>
      <c r="D26" s="423" t="s">
        <v>319</v>
      </c>
      <c r="E26" s="423" t="s">
        <v>336</v>
      </c>
      <c r="F26" s="423" t="s">
        <v>353</v>
      </c>
      <c r="G26" s="423" t="s">
        <v>354</v>
      </c>
      <c r="H26" s="400">
        <v>3</v>
      </c>
      <c r="I26" s="400">
        <v>1641</v>
      </c>
      <c r="J26" s="423"/>
      <c r="K26" s="423">
        <v>547</v>
      </c>
      <c r="L26" s="400"/>
      <c r="M26" s="400"/>
      <c r="N26" s="423"/>
      <c r="O26" s="423"/>
      <c r="P26" s="400"/>
      <c r="Q26" s="400"/>
      <c r="R26" s="424"/>
      <c r="S26" s="425"/>
    </row>
    <row r="27" spans="1:19" ht="14.4" customHeight="1" x14ac:dyDescent="0.3">
      <c r="A27" s="399" t="s">
        <v>334</v>
      </c>
      <c r="B27" s="423" t="s">
        <v>335</v>
      </c>
      <c r="C27" s="423" t="s">
        <v>302</v>
      </c>
      <c r="D27" s="423" t="s">
        <v>320</v>
      </c>
      <c r="E27" s="423" t="s">
        <v>336</v>
      </c>
      <c r="F27" s="423" t="s">
        <v>337</v>
      </c>
      <c r="G27" s="423" t="s">
        <v>338</v>
      </c>
      <c r="H27" s="400"/>
      <c r="I27" s="400"/>
      <c r="J27" s="423"/>
      <c r="K27" s="423"/>
      <c r="L27" s="400">
        <v>2</v>
      </c>
      <c r="M27" s="400">
        <v>148</v>
      </c>
      <c r="N27" s="423">
        <v>1</v>
      </c>
      <c r="O27" s="423">
        <v>74</v>
      </c>
      <c r="P27" s="400"/>
      <c r="Q27" s="400"/>
      <c r="R27" s="424"/>
      <c r="S27" s="425"/>
    </row>
    <row r="28" spans="1:19" ht="14.4" customHeight="1" x14ac:dyDescent="0.3">
      <c r="A28" s="399" t="s">
        <v>334</v>
      </c>
      <c r="B28" s="423" t="s">
        <v>335</v>
      </c>
      <c r="C28" s="423" t="s">
        <v>302</v>
      </c>
      <c r="D28" s="423" t="s">
        <v>320</v>
      </c>
      <c r="E28" s="423" t="s">
        <v>336</v>
      </c>
      <c r="F28" s="423" t="s">
        <v>339</v>
      </c>
      <c r="G28" s="423" t="s">
        <v>340</v>
      </c>
      <c r="H28" s="400">
        <v>110</v>
      </c>
      <c r="I28" s="400">
        <v>35530</v>
      </c>
      <c r="J28" s="423">
        <v>0.80224891618497107</v>
      </c>
      <c r="K28" s="423">
        <v>323</v>
      </c>
      <c r="L28" s="400">
        <v>128</v>
      </c>
      <c r="M28" s="400">
        <v>44288</v>
      </c>
      <c r="N28" s="423">
        <v>1</v>
      </c>
      <c r="O28" s="423">
        <v>346</v>
      </c>
      <c r="P28" s="400"/>
      <c r="Q28" s="400"/>
      <c r="R28" s="424"/>
      <c r="S28" s="425"/>
    </row>
    <row r="29" spans="1:19" ht="14.4" customHeight="1" x14ac:dyDescent="0.3">
      <c r="A29" s="399" t="s">
        <v>334</v>
      </c>
      <c r="B29" s="423" t="s">
        <v>335</v>
      </c>
      <c r="C29" s="423" t="s">
        <v>302</v>
      </c>
      <c r="D29" s="423" t="s">
        <v>320</v>
      </c>
      <c r="E29" s="423" t="s">
        <v>336</v>
      </c>
      <c r="F29" s="423" t="s">
        <v>341</v>
      </c>
      <c r="G29" s="423" t="s">
        <v>342</v>
      </c>
      <c r="H29" s="400"/>
      <c r="I29" s="400"/>
      <c r="J29" s="423"/>
      <c r="K29" s="423"/>
      <c r="L29" s="400">
        <v>12</v>
      </c>
      <c r="M29" s="400">
        <v>4152</v>
      </c>
      <c r="N29" s="423">
        <v>1</v>
      </c>
      <c r="O29" s="423">
        <v>346</v>
      </c>
      <c r="P29" s="400"/>
      <c r="Q29" s="400"/>
      <c r="R29" s="424"/>
      <c r="S29" s="425"/>
    </row>
    <row r="30" spans="1:19" ht="14.4" customHeight="1" x14ac:dyDescent="0.3">
      <c r="A30" s="399" t="s">
        <v>334</v>
      </c>
      <c r="B30" s="423" t="s">
        <v>335</v>
      </c>
      <c r="C30" s="423" t="s">
        <v>302</v>
      </c>
      <c r="D30" s="423" t="s">
        <v>320</v>
      </c>
      <c r="E30" s="423" t="s">
        <v>336</v>
      </c>
      <c r="F30" s="423" t="s">
        <v>343</v>
      </c>
      <c r="G30" s="423" t="s">
        <v>344</v>
      </c>
      <c r="H30" s="400">
        <v>4</v>
      </c>
      <c r="I30" s="400">
        <v>1292</v>
      </c>
      <c r="J30" s="423"/>
      <c r="K30" s="423">
        <v>323</v>
      </c>
      <c r="L30" s="400"/>
      <c r="M30" s="400"/>
      <c r="N30" s="423"/>
      <c r="O30" s="423"/>
      <c r="P30" s="400"/>
      <c r="Q30" s="400"/>
      <c r="R30" s="424"/>
      <c r="S30" s="425"/>
    </row>
    <row r="31" spans="1:19" ht="14.4" customHeight="1" x14ac:dyDescent="0.3">
      <c r="A31" s="399" t="s">
        <v>334</v>
      </c>
      <c r="B31" s="423" t="s">
        <v>335</v>
      </c>
      <c r="C31" s="423" t="s">
        <v>302</v>
      </c>
      <c r="D31" s="423" t="s">
        <v>320</v>
      </c>
      <c r="E31" s="423" t="s">
        <v>336</v>
      </c>
      <c r="F31" s="423" t="s">
        <v>349</v>
      </c>
      <c r="G31" s="423" t="s">
        <v>350</v>
      </c>
      <c r="H31" s="400">
        <v>47</v>
      </c>
      <c r="I31" s="400">
        <v>25709</v>
      </c>
      <c r="J31" s="423">
        <v>0.86763862171374573</v>
      </c>
      <c r="K31" s="423">
        <v>547</v>
      </c>
      <c r="L31" s="400">
        <v>51</v>
      </c>
      <c r="M31" s="400">
        <v>29631</v>
      </c>
      <c r="N31" s="423">
        <v>1</v>
      </c>
      <c r="O31" s="423">
        <v>581</v>
      </c>
      <c r="P31" s="400"/>
      <c r="Q31" s="400"/>
      <c r="R31" s="424"/>
      <c r="S31" s="425"/>
    </row>
    <row r="32" spans="1:19" ht="14.4" customHeight="1" x14ac:dyDescent="0.3">
      <c r="A32" s="399" t="s">
        <v>334</v>
      </c>
      <c r="B32" s="423" t="s">
        <v>335</v>
      </c>
      <c r="C32" s="423" t="s">
        <v>302</v>
      </c>
      <c r="D32" s="423" t="s">
        <v>320</v>
      </c>
      <c r="E32" s="423" t="s">
        <v>336</v>
      </c>
      <c r="F32" s="423" t="s">
        <v>353</v>
      </c>
      <c r="G32" s="423" t="s">
        <v>354</v>
      </c>
      <c r="H32" s="400">
        <v>98</v>
      </c>
      <c r="I32" s="400">
        <v>53606</v>
      </c>
      <c r="J32" s="423">
        <v>0.79538845035313666</v>
      </c>
      <c r="K32" s="423">
        <v>547</v>
      </c>
      <c r="L32" s="400">
        <v>116</v>
      </c>
      <c r="M32" s="400">
        <v>67396</v>
      </c>
      <c r="N32" s="423">
        <v>1</v>
      </c>
      <c r="O32" s="423">
        <v>581</v>
      </c>
      <c r="P32" s="400"/>
      <c r="Q32" s="400"/>
      <c r="R32" s="424"/>
      <c r="S32" s="425"/>
    </row>
    <row r="33" spans="1:19" ht="14.4" customHeight="1" x14ac:dyDescent="0.3">
      <c r="A33" s="399" t="s">
        <v>334</v>
      </c>
      <c r="B33" s="423" t="s">
        <v>335</v>
      </c>
      <c r="C33" s="423" t="s">
        <v>302</v>
      </c>
      <c r="D33" s="423" t="s">
        <v>321</v>
      </c>
      <c r="E33" s="423" t="s">
        <v>336</v>
      </c>
      <c r="F33" s="423" t="s">
        <v>339</v>
      </c>
      <c r="G33" s="423" t="s">
        <v>340</v>
      </c>
      <c r="H33" s="400">
        <v>210</v>
      </c>
      <c r="I33" s="400">
        <v>67830</v>
      </c>
      <c r="J33" s="423">
        <v>0.5131949278213237</v>
      </c>
      <c r="K33" s="423">
        <v>323</v>
      </c>
      <c r="L33" s="400">
        <v>382</v>
      </c>
      <c r="M33" s="400">
        <v>132172</v>
      </c>
      <c r="N33" s="423">
        <v>1</v>
      </c>
      <c r="O33" s="423">
        <v>346</v>
      </c>
      <c r="P33" s="400">
        <v>449</v>
      </c>
      <c r="Q33" s="400">
        <v>155803</v>
      </c>
      <c r="R33" s="424">
        <v>1.1787897587991405</v>
      </c>
      <c r="S33" s="425">
        <v>347</v>
      </c>
    </row>
    <row r="34" spans="1:19" ht="14.4" customHeight="1" x14ac:dyDescent="0.3">
      <c r="A34" s="399" t="s">
        <v>334</v>
      </c>
      <c r="B34" s="423" t="s">
        <v>335</v>
      </c>
      <c r="C34" s="423" t="s">
        <v>302</v>
      </c>
      <c r="D34" s="423" t="s">
        <v>321</v>
      </c>
      <c r="E34" s="423" t="s">
        <v>336</v>
      </c>
      <c r="F34" s="423" t="s">
        <v>341</v>
      </c>
      <c r="G34" s="423" t="s">
        <v>342</v>
      </c>
      <c r="H34" s="400"/>
      <c r="I34" s="400"/>
      <c r="J34" s="423"/>
      <c r="K34" s="423"/>
      <c r="L34" s="400"/>
      <c r="M34" s="400"/>
      <c r="N34" s="423"/>
      <c r="O34" s="423"/>
      <c r="P34" s="400">
        <v>16</v>
      </c>
      <c r="Q34" s="400">
        <v>5552</v>
      </c>
      <c r="R34" s="424"/>
      <c r="S34" s="425">
        <v>347</v>
      </c>
    </row>
    <row r="35" spans="1:19" ht="14.4" customHeight="1" x14ac:dyDescent="0.3">
      <c r="A35" s="399" t="s">
        <v>334</v>
      </c>
      <c r="B35" s="423" t="s">
        <v>335</v>
      </c>
      <c r="C35" s="423" t="s">
        <v>302</v>
      </c>
      <c r="D35" s="423" t="s">
        <v>321</v>
      </c>
      <c r="E35" s="423" t="s">
        <v>336</v>
      </c>
      <c r="F35" s="423" t="s">
        <v>345</v>
      </c>
      <c r="G35" s="423" t="s">
        <v>346</v>
      </c>
      <c r="H35" s="400"/>
      <c r="I35" s="400"/>
      <c r="J35" s="423"/>
      <c r="K35" s="423"/>
      <c r="L35" s="400">
        <v>4</v>
      </c>
      <c r="M35" s="400">
        <v>133.32999999999998</v>
      </c>
      <c r="N35" s="423">
        <v>1</v>
      </c>
      <c r="O35" s="423">
        <v>33.332499999999996</v>
      </c>
      <c r="P35" s="400">
        <v>11</v>
      </c>
      <c r="Q35" s="400">
        <v>366.63999999999993</v>
      </c>
      <c r="R35" s="424">
        <v>2.7498687467186675</v>
      </c>
      <c r="S35" s="425">
        <v>33.330909090909081</v>
      </c>
    </row>
    <row r="36" spans="1:19" ht="14.4" customHeight="1" x14ac:dyDescent="0.3">
      <c r="A36" s="399" t="s">
        <v>334</v>
      </c>
      <c r="B36" s="423" t="s">
        <v>335</v>
      </c>
      <c r="C36" s="423" t="s">
        <v>302</v>
      </c>
      <c r="D36" s="423" t="s">
        <v>321</v>
      </c>
      <c r="E36" s="423" t="s">
        <v>336</v>
      </c>
      <c r="F36" s="423" t="s">
        <v>347</v>
      </c>
      <c r="G36" s="423" t="s">
        <v>348</v>
      </c>
      <c r="H36" s="400">
        <v>8</v>
      </c>
      <c r="I36" s="400">
        <v>4368</v>
      </c>
      <c r="J36" s="423">
        <v>0.2353448275862069</v>
      </c>
      <c r="K36" s="423">
        <v>546</v>
      </c>
      <c r="L36" s="400">
        <v>32</v>
      </c>
      <c r="M36" s="400">
        <v>18560</v>
      </c>
      <c r="N36" s="423">
        <v>1</v>
      </c>
      <c r="O36" s="423">
        <v>580</v>
      </c>
      <c r="P36" s="400">
        <v>38</v>
      </c>
      <c r="Q36" s="400">
        <v>22040</v>
      </c>
      <c r="R36" s="424">
        <v>1.1875</v>
      </c>
      <c r="S36" s="425">
        <v>580</v>
      </c>
    </row>
    <row r="37" spans="1:19" ht="14.4" customHeight="1" x14ac:dyDescent="0.3">
      <c r="A37" s="399" t="s">
        <v>334</v>
      </c>
      <c r="B37" s="423" t="s">
        <v>335</v>
      </c>
      <c r="C37" s="423" t="s">
        <v>302</v>
      </c>
      <c r="D37" s="423" t="s">
        <v>321</v>
      </c>
      <c r="E37" s="423" t="s">
        <v>336</v>
      </c>
      <c r="F37" s="423" t="s">
        <v>355</v>
      </c>
      <c r="G37" s="423" t="s">
        <v>356</v>
      </c>
      <c r="H37" s="400"/>
      <c r="I37" s="400"/>
      <c r="J37" s="423"/>
      <c r="K37" s="423"/>
      <c r="L37" s="400">
        <v>8</v>
      </c>
      <c r="M37" s="400">
        <v>4640</v>
      </c>
      <c r="N37" s="423">
        <v>1</v>
      </c>
      <c r="O37" s="423">
        <v>580</v>
      </c>
      <c r="P37" s="400">
        <v>4</v>
      </c>
      <c r="Q37" s="400">
        <v>2320</v>
      </c>
      <c r="R37" s="424">
        <v>0.5</v>
      </c>
      <c r="S37" s="425">
        <v>580</v>
      </c>
    </row>
    <row r="38" spans="1:19" ht="14.4" customHeight="1" x14ac:dyDescent="0.3">
      <c r="A38" s="399" t="s">
        <v>334</v>
      </c>
      <c r="B38" s="423" t="s">
        <v>335</v>
      </c>
      <c r="C38" s="423" t="s">
        <v>302</v>
      </c>
      <c r="D38" s="423" t="s">
        <v>322</v>
      </c>
      <c r="E38" s="423" t="s">
        <v>336</v>
      </c>
      <c r="F38" s="423" t="s">
        <v>337</v>
      </c>
      <c r="G38" s="423" t="s">
        <v>338</v>
      </c>
      <c r="H38" s="400"/>
      <c r="I38" s="400"/>
      <c r="J38" s="423"/>
      <c r="K38" s="423"/>
      <c r="L38" s="400">
        <v>2</v>
      </c>
      <c r="M38" s="400">
        <v>148</v>
      </c>
      <c r="N38" s="423">
        <v>1</v>
      </c>
      <c r="O38" s="423">
        <v>74</v>
      </c>
      <c r="P38" s="400">
        <v>6</v>
      </c>
      <c r="Q38" s="400">
        <v>444</v>
      </c>
      <c r="R38" s="424">
        <v>3</v>
      </c>
      <c r="S38" s="425">
        <v>74</v>
      </c>
    </row>
    <row r="39" spans="1:19" ht="14.4" customHeight="1" x14ac:dyDescent="0.3">
      <c r="A39" s="399" t="s">
        <v>334</v>
      </c>
      <c r="B39" s="423" t="s">
        <v>335</v>
      </c>
      <c r="C39" s="423" t="s">
        <v>302</v>
      </c>
      <c r="D39" s="423" t="s">
        <v>322</v>
      </c>
      <c r="E39" s="423" t="s">
        <v>336</v>
      </c>
      <c r="F39" s="423" t="s">
        <v>339</v>
      </c>
      <c r="G39" s="423" t="s">
        <v>340</v>
      </c>
      <c r="H39" s="400">
        <v>133</v>
      </c>
      <c r="I39" s="400">
        <v>42959</v>
      </c>
      <c r="J39" s="423">
        <v>0.38799674855491328</v>
      </c>
      <c r="K39" s="423">
        <v>323</v>
      </c>
      <c r="L39" s="400">
        <v>320</v>
      </c>
      <c r="M39" s="400">
        <v>110720</v>
      </c>
      <c r="N39" s="423">
        <v>1</v>
      </c>
      <c r="O39" s="423">
        <v>346</v>
      </c>
      <c r="P39" s="400">
        <v>182</v>
      </c>
      <c r="Q39" s="400">
        <v>63154</v>
      </c>
      <c r="R39" s="424">
        <v>0.57039378612716762</v>
      </c>
      <c r="S39" s="425">
        <v>347</v>
      </c>
    </row>
    <row r="40" spans="1:19" ht="14.4" customHeight="1" x14ac:dyDescent="0.3">
      <c r="A40" s="399" t="s">
        <v>334</v>
      </c>
      <c r="B40" s="423" t="s">
        <v>335</v>
      </c>
      <c r="C40" s="423" t="s">
        <v>302</v>
      </c>
      <c r="D40" s="423" t="s">
        <v>322</v>
      </c>
      <c r="E40" s="423" t="s">
        <v>336</v>
      </c>
      <c r="F40" s="423" t="s">
        <v>341</v>
      </c>
      <c r="G40" s="423" t="s">
        <v>342</v>
      </c>
      <c r="H40" s="400">
        <v>91</v>
      </c>
      <c r="I40" s="400">
        <v>29393</v>
      </c>
      <c r="J40" s="423">
        <v>1.1479846898922044</v>
      </c>
      <c r="K40" s="423">
        <v>323</v>
      </c>
      <c r="L40" s="400">
        <v>74</v>
      </c>
      <c r="M40" s="400">
        <v>25604</v>
      </c>
      <c r="N40" s="423">
        <v>1</v>
      </c>
      <c r="O40" s="423">
        <v>346</v>
      </c>
      <c r="P40" s="400">
        <v>33</v>
      </c>
      <c r="Q40" s="400">
        <v>11451</v>
      </c>
      <c r="R40" s="424">
        <v>0.44723480706139668</v>
      </c>
      <c r="S40" s="425">
        <v>347</v>
      </c>
    </row>
    <row r="41" spans="1:19" ht="14.4" customHeight="1" x14ac:dyDescent="0.3">
      <c r="A41" s="399" t="s">
        <v>334</v>
      </c>
      <c r="B41" s="423" t="s">
        <v>335</v>
      </c>
      <c r="C41" s="423" t="s">
        <v>302</v>
      </c>
      <c r="D41" s="423" t="s">
        <v>322</v>
      </c>
      <c r="E41" s="423" t="s">
        <v>336</v>
      </c>
      <c r="F41" s="423" t="s">
        <v>343</v>
      </c>
      <c r="G41" s="423" t="s">
        <v>344</v>
      </c>
      <c r="H41" s="400">
        <v>74</v>
      </c>
      <c r="I41" s="400">
        <v>23902</v>
      </c>
      <c r="J41" s="423">
        <v>6.2800840777719387</v>
      </c>
      <c r="K41" s="423">
        <v>323</v>
      </c>
      <c r="L41" s="400">
        <v>11</v>
      </c>
      <c r="M41" s="400">
        <v>3806</v>
      </c>
      <c r="N41" s="423">
        <v>1</v>
      </c>
      <c r="O41" s="423">
        <v>346</v>
      </c>
      <c r="P41" s="400"/>
      <c r="Q41" s="400"/>
      <c r="R41" s="424"/>
      <c r="S41" s="425"/>
    </row>
    <row r="42" spans="1:19" ht="14.4" customHeight="1" x14ac:dyDescent="0.3">
      <c r="A42" s="399" t="s">
        <v>334</v>
      </c>
      <c r="B42" s="423" t="s">
        <v>335</v>
      </c>
      <c r="C42" s="423" t="s">
        <v>302</v>
      </c>
      <c r="D42" s="423" t="s">
        <v>322</v>
      </c>
      <c r="E42" s="423" t="s">
        <v>336</v>
      </c>
      <c r="F42" s="423" t="s">
        <v>349</v>
      </c>
      <c r="G42" s="423" t="s">
        <v>350</v>
      </c>
      <c r="H42" s="400"/>
      <c r="I42" s="400"/>
      <c r="J42" s="423"/>
      <c r="K42" s="423"/>
      <c r="L42" s="400"/>
      <c r="M42" s="400"/>
      <c r="N42" s="423"/>
      <c r="O42" s="423"/>
      <c r="P42" s="400">
        <v>32</v>
      </c>
      <c r="Q42" s="400">
        <v>18592</v>
      </c>
      <c r="R42" s="424"/>
      <c r="S42" s="425">
        <v>581</v>
      </c>
    </row>
    <row r="43" spans="1:19" ht="14.4" customHeight="1" x14ac:dyDescent="0.3">
      <c r="A43" s="399" t="s">
        <v>334</v>
      </c>
      <c r="B43" s="423" t="s">
        <v>335</v>
      </c>
      <c r="C43" s="423" t="s">
        <v>302</v>
      </c>
      <c r="D43" s="423" t="s">
        <v>322</v>
      </c>
      <c r="E43" s="423" t="s">
        <v>336</v>
      </c>
      <c r="F43" s="423" t="s">
        <v>353</v>
      </c>
      <c r="G43" s="423" t="s">
        <v>354</v>
      </c>
      <c r="H43" s="400">
        <v>62</v>
      </c>
      <c r="I43" s="400">
        <v>33914</v>
      </c>
      <c r="J43" s="423">
        <v>1.4967121232181473</v>
      </c>
      <c r="K43" s="423">
        <v>547</v>
      </c>
      <c r="L43" s="400">
        <v>39</v>
      </c>
      <c r="M43" s="400">
        <v>22659</v>
      </c>
      <c r="N43" s="423">
        <v>1</v>
      </c>
      <c r="O43" s="423">
        <v>581</v>
      </c>
      <c r="P43" s="400">
        <v>48</v>
      </c>
      <c r="Q43" s="400">
        <v>27888</v>
      </c>
      <c r="R43" s="424">
        <v>1.2307692307692308</v>
      </c>
      <c r="S43" s="425">
        <v>581</v>
      </c>
    </row>
    <row r="44" spans="1:19" ht="14.4" customHeight="1" x14ac:dyDescent="0.3">
      <c r="A44" s="399" t="s">
        <v>334</v>
      </c>
      <c r="B44" s="423" t="s">
        <v>335</v>
      </c>
      <c r="C44" s="423" t="s">
        <v>302</v>
      </c>
      <c r="D44" s="423" t="s">
        <v>323</v>
      </c>
      <c r="E44" s="423" t="s">
        <v>336</v>
      </c>
      <c r="F44" s="423" t="s">
        <v>339</v>
      </c>
      <c r="G44" s="423" t="s">
        <v>340</v>
      </c>
      <c r="H44" s="400">
        <v>57</v>
      </c>
      <c r="I44" s="400">
        <v>18411</v>
      </c>
      <c r="J44" s="423">
        <v>0.27714053468208094</v>
      </c>
      <c r="K44" s="423">
        <v>323</v>
      </c>
      <c r="L44" s="400">
        <v>192</v>
      </c>
      <c r="M44" s="400">
        <v>66432</v>
      </c>
      <c r="N44" s="423">
        <v>1</v>
      </c>
      <c r="O44" s="423">
        <v>346</v>
      </c>
      <c r="P44" s="400"/>
      <c r="Q44" s="400"/>
      <c r="R44" s="424"/>
      <c r="S44" s="425"/>
    </row>
    <row r="45" spans="1:19" ht="14.4" customHeight="1" x14ac:dyDescent="0.3">
      <c r="A45" s="399" t="s">
        <v>334</v>
      </c>
      <c r="B45" s="423" t="s">
        <v>335</v>
      </c>
      <c r="C45" s="423" t="s">
        <v>302</v>
      </c>
      <c r="D45" s="423" t="s">
        <v>323</v>
      </c>
      <c r="E45" s="423" t="s">
        <v>336</v>
      </c>
      <c r="F45" s="423" t="s">
        <v>345</v>
      </c>
      <c r="G45" s="423" t="s">
        <v>346</v>
      </c>
      <c r="H45" s="400"/>
      <c r="I45" s="400"/>
      <c r="J45" s="423"/>
      <c r="K45" s="423"/>
      <c r="L45" s="400">
        <v>4</v>
      </c>
      <c r="M45" s="400">
        <v>133.32</v>
      </c>
      <c r="N45" s="423">
        <v>1</v>
      </c>
      <c r="O45" s="423">
        <v>33.33</v>
      </c>
      <c r="P45" s="400"/>
      <c r="Q45" s="400"/>
      <c r="R45" s="424"/>
      <c r="S45" s="425"/>
    </row>
    <row r="46" spans="1:19" ht="14.4" customHeight="1" x14ac:dyDescent="0.3">
      <c r="A46" s="399" t="s">
        <v>334</v>
      </c>
      <c r="B46" s="423" t="s">
        <v>335</v>
      </c>
      <c r="C46" s="423" t="s">
        <v>302</v>
      </c>
      <c r="D46" s="423" t="s">
        <v>323</v>
      </c>
      <c r="E46" s="423" t="s">
        <v>336</v>
      </c>
      <c r="F46" s="423" t="s">
        <v>347</v>
      </c>
      <c r="G46" s="423" t="s">
        <v>348</v>
      </c>
      <c r="H46" s="400">
        <v>8</v>
      </c>
      <c r="I46" s="400">
        <v>4368</v>
      </c>
      <c r="J46" s="423">
        <v>0.37655172413793103</v>
      </c>
      <c r="K46" s="423">
        <v>546</v>
      </c>
      <c r="L46" s="400">
        <v>20</v>
      </c>
      <c r="M46" s="400">
        <v>11600</v>
      </c>
      <c r="N46" s="423">
        <v>1</v>
      </c>
      <c r="O46" s="423">
        <v>580</v>
      </c>
      <c r="P46" s="400"/>
      <c r="Q46" s="400"/>
      <c r="R46" s="424"/>
      <c r="S46" s="425"/>
    </row>
    <row r="47" spans="1:19" ht="14.4" customHeight="1" x14ac:dyDescent="0.3">
      <c r="A47" s="399" t="s">
        <v>334</v>
      </c>
      <c r="B47" s="423" t="s">
        <v>335</v>
      </c>
      <c r="C47" s="423" t="s">
        <v>302</v>
      </c>
      <c r="D47" s="423" t="s">
        <v>324</v>
      </c>
      <c r="E47" s="423" t="s">
        <v>336</v>
      </c>
      <c r="F47" s="423" t="s">
        <v>337</v>
      </c>
      <c r="G47" s="423" t="s">
        <v>338</v>
      </c>
      <c r="H47" s="400">
        <v>6</v>
      </c>
      <c r="I47" s="400">
        <v>420</v>
      </c>
      <c r="J47" s="423">
        <v>0.23648648648648649</v>
      </c>
      <c r="K47" s="423">
        <v>70</v>
      </c>
      <c r="L47" s="400">
        <v>24</v>
      </c>
      <c r="M47" s="400">
        <v>1776</v>
      </c>
      <c r="N47" s="423">
        <v>1</v>
      </c>
      <c r="O47" s="423">
        <v>74</v>
      </c>
      <c r="P47" s="400">
        <v>4</v>
      </c>
      <c r="Q47" s="400">
        <v>296</v>
      </c>
      <c r="R47" s="424">
        <v>0.16666666666666666</v>
      </c>
      <c r="S47" s="425">
        <v>74</v>
      </c>
    </row>
    <row r="48" spans="1:19" ht="14.4" customHeight="1" x14ac:dyDescent="0.3">
      <c r="A48" s="399" t="s">
        <v>334</v>
      </c>
      <c r="B48" s="423" t="s">
        <v>335</v>
      </c>
      <c r="C48" s="423" t="s">
        <v>302</v>
      </c>
      <c r="D48" s="423" t="s">
        <v>324</v>
      </c>
      <c r="E48" s="423" t="s">
        <v>336</v>
      </c>
      <c r="F48" s="423" t="s">
        <v>339</v>
      </c>
      <c r="G48" s="423" t="s">
        <v>340</v>
      </c>
      <c r="H48" s="400">
        <v>144</v>
      </c>
      <c r="I48" s="400">
        <v>46512</v>
      </c>
      <c r="J48" s="423">
        <v>0.79543044772035432</v>
      </c>
      <c r="K48" s="423">
        <v>323</v>
      </c>
      <c r="L48" s="400">
        <v>169</v>
      </c>
      <c r="M48" s="400">
        <v>58474</v>
      </c>
      <c r="N48" s="423">
        <v>1</v>
      </c>
      <c r="O48" s="423">
        <v>346</v>
      </c>
      <c r="P48" s="400">
        <v>52</v>
      </c>
      <c r="Q48" s="400">
        <v>18044</v>
      </c>
      <c r="R48" s="424">
        <v>0.30858159181858602</v>
      </c>
      <c r="S48" s="425">
        <v>347</v>
      </c>
    </row>
    <row r="49" spans="1:19" ht="14.4" customHeight="1" x14ac:dyDescent="0.3">
      <c r="A49" s="399" t="s">
        <v>334</v>
      </c>
      <c r="B49" s="423" t="s">
        <v>335</v>
      </c>
      <c r="C49" s="423" t="s">
        <v>302</v>
      </c>
      <c r="D49" s="423" t="s">
        <v>324</v>
      </c>
      <c r="E49" s="423" t="s">
        <v>336</v>
      </c>
      <c r="F49" s="423" t="s">
        <v>341</v>
      </c>
      <c r="G49" s="423" t="s">
        <v>342</v>
      </c>
      <c r="H49" s="400"/>
      <c r="I49" s="400"/>
      <c r="J49" s="423"/>
      <c r="K49" s="423"/>
      <c r="L49" s="400">
        <v>8</v>
      </c>
      <c r="M49" s="400">
        <v>2768</v>
      </c>
      <c r="N49" s="423">
        <v>1</v>
      </c>
      <c r="O49" s="423">
        <v>346</v>
      </c>
      <c r="P49" s="400">
        <v>8</v>
      </c>
      <c r="Q49" s="400">
        <v>2776</v>
      </c>
      <c r="R49" s="424">
        <v>1.0028901734104045</v>
      </c>
      <c r="S49" s="425">
        <v>347</v>
      </c>
    </row>
    <row r="50" spans="1:19" ht="14.4" customHeight="1" x14ac:dyDescent="0.3">
      <c r="A50" s="399" t="s">
        <v>334</v>
      </c>
      <c r="B50" s="423" t="s">
        <v>335</v>
      </c>
      <c r="C50" s="423" t="s">
        <v>302</v>
      </c>
      <c r="D50" s="423" t="s">
        <v>324</v>
      </c>
      <c r="E50" s="423" t="s">
        <v>336</v>
      </c>
      <c r="F50" s="423" t="s">
        <v>345</v>
      </c>
      <c r="G50" s="423" t="s">
        <v>346</v>
      </c>
      <c r="H50" s="400"/>
      <c r="I50" s="400"/>
      <c r="J50" s="423"/>
      <c r="K50" s="423"/>
      <c r="L50" s="400">
        <v>8</v>
      </c>
      <c r="M50" s="400">
        <v>266.68</v>
      </c>
      <c r="N50" s="423">
        <v>1</v>
      </c>
      <c r="O50" s="423">
        <v>33.335000000000001</v>
      </c>
      <c r="P50" s="400">
        <v>6</v>
      </c>
      <c r="Q50" s="400">
        <v>200.01</v>
      </c>
      <c r="R50" s="424">
        <v>0.75</v>
      </c>
      <c r="S50" s="425">
        <v>33.335000000000001</v>
      </c>
    </row>
    <row r="51" spans="1:19" ht="14.4" customHeight="1" x14ac:dyDescent="0.3">
      <c r="A51" s="399" t="s">
        <v>334</v>
      </c>
      <c r="B51" s="423" t="s">
        <v>335</v>
      </c>
      <c r="C51" s="423" t="s">
        <v>302</v>
      </c>
      <c r="D51" s="423" t="s">
        <v>324</v>
      </c>
      <c r="E51" s="423" t="s">
        <v>336</v>
      </c>
      <c r="F51" s="423" t="s">
        <v>347</v>
      </c>
      <c r="G51" s="423" t="s">
        <v>348</v>
      </c>
      <c r="H51" s="400"/>
      <c r="I51" s="400"/>
      <c r="J51" s="423"/>
      <c r="K51" s="423"/>
      <c r="L51" s="400">
        <v>30</v>
      </c>
      <c r="M51" s="400">
        <v>17400</v>
      </c>
      <c r="N51" s="423">
        <v>1</v>
      </c>
      <c r="O51" s="423">
        <v>580</v>
      </c>
      <c r="P51" s="400">
        <v>18</v>
      </c>
      <c r="Q51" s="400">
        <v>10440</v>
      </c>
      <c r="R51" s="424">
        <v>0.6</v>
      </c>
      <c r="S51" s="425">
        <v>580</v>
      </c>
    </row>
    <row r="52" spans="1:19" ht="14.4" customHeight="1" x14ac:dyDescent="0.3">
      <c r="A52" s="399" t="s">
        <v>334</v>
      </c>
      <c r="B52" s="423" t="s">
        <v>335</v>
      </c>
      <c r="C52" s="423" t="s">
        <v>302</v>
      </c>
      <c r="D52" s="423" t="s">
        <v>325</v>
      </c>
      <c r="E52" s="423" t="s">
        <v>336</v>
      </c>
      <c r="F52" s="423" t="s">
        <v>337</v>
      </c>
      <c r="G52" s="423" t="s">
        <v>338</v>
      </c>
      <c r="H52" s="400">
        <v>4</v>
      </c>
      <c r="I52" s="400">
        <v>280</v>
      </c>
      <c r="J52" s="423"/>
      <c r="K52" s="423">
        <v>70</v>
      </c>
      <c r="L52" s="400"/>
      <c r="M52" s="400"/>
      <c r="N52" s="423"/>
      <c r="O52" s="423"/>
      <c r="P52" s="400"/>
      <c r="Q52" s="400"/>
      <c r="R52" s="424"/>
      <c r="S52" s="425"/>
    </row>
    <row r="53" spans="1:19" ht="14.4" customHeight="1" x14ac:dyDescent="0.3">
      <c r="A53" s="399" t="s">
        <v>334</v>
      </c>
      <c r="B53" s="423" t="s">
        <v>335</v>
      </c>
      <c r="C53" s="423" t="s">
        <v>302</v>
      </c>
      <c r="D53" s="423" t="s">
        <v>325</v>
      </c>
      <c r="E53" s="423" t="s">
        <v>336</v>
      </c>
      <c r="F53" s="423" t="s">
        <v>339</v>
      </c>
      <c r="G53" s="423" t="s">
        <v>340</v>
      </c>
      <c r="H53" s="400">
        <v>270</v>
      </c>
      <c r="I53" s="400">
        <v>87210</v>
      </c>
      <c r="J53" s="423"/>
      <c r="K53" s="423">
        <v>323</v>
      </c>
      <c r="L53" s="400"/>
      <c r="M53" s="400"/>
      <c r="N53" s="423"/>
      <c r="O53" s="423"/>
      <c r="P53" s="400"/>
      <c r="Q53" s="400"/>
      <c r="R53" s="424"/>
      <c r="S53" s="425"/>
    </row>
    <row r="54" spans="1:19" ht="14.4" customHeight="1" x14ac:dyDescent="0.3">
      <c r="A54" s="399" t="s">
        <v>334</v>
      </c>
      <c r="B54" s="423" t="s">
        <v>335</v>
      </c>
      <c r="C54" s="423" t="s">
        <v>302</v>
      </c>
      <c r="D54" s="423" t="s">
        <v>325</v>
      </c>
      <c r="E54" s="423" t="s">
        <v>336</v>
      </c>
      <c r="F54" s="423" t="s">
        <v>341</v>
      </c>
      <c r="G54" s="423" t="s">
        <v>342</v>
      </c>
      <c r="H54" s="400">
        <v>12</v>
      </c>
      <c r="I54" s="400">
        <v>3876</v>
      </c>
      <c r="J54" s="423"/>
      <c r="K54" s="423">
        <v>323</v>
      </c>
      <c r="L54" s="400"/>
      <c r="M54" s="400"/>
      <c r="N54" s="423"/>
      <c r="O54" s="423"/>
      <c r="P54" s="400"/>
      <c r="Q54" s="400"/>
      <c r="R54" s="424"/>
      <c r="S54" s="425"/>
    </row>
    <row r="55" spans="1:19" ht="14.4" customHeight="1" x14ac:dyDescent="0.3">
      <c r="A55" s="399" t="s">
        <v>334</v>
      </c>
      <c r="B55" s="423" t="s">
        <v>335</v>
      </c>
      <c r="C55" s="423" t="s">
        <v>302</v>
      </c>
      <c r="D55" s="423" t="s">
        <v>325</v>
      </c>
      <c r="E55" s="423" t="s">
        <v>336</v>
      </c>
      <c r="F55" s="423" t="s">
        <v>343</v>
      </c>
      <c r="G55" s="423" t="s">
        <v>344</v>
      </c>
      <c r="H55" s="400">
        <v>18</v>
      </c>
      <c r="I55" s="400">
        <v>5814</v>
      </c>
      <c r="J55" s="423"/>
      <c r="K55" s="423">
        <v>323</v>
      </c>
      <c r="L55" s="400"/>
      <c r="M55" s="400"/>
      <c r="N55" s="423"/>
      <c r="O55" s="423"/>
      <c r="P55" s="400"/>
      <c r="Q55" s="400"/>
      <c r="R55" s="424"/>
      <c r="S55" s="425"/>
    </row>
    <row r="56" spans="1:19" ht="14.4" customHeight="1" x14ac:dyDescent="0.3">
      <c r="A56" s="399" t="s">
        <v>334</v>
      </c>
      <c r="B56" s="423" t="s">
        <v>335</v>
      </c>
      <c r="C56" s="423" t="s">
        <v>302</v>
      </c>
      <c r="D56" s="423" t="s">
        <v>326</v>
      </c>
      <c r="E56" s="423" t="s">
        <v>336</v>
      </c>
      <c r="F56" s="423" t="s">
        <v>337</v>
      </c>
      <c r="G56" s="423" t="s">
        <v>338</v>
      </c>
      <c r="H56" s="400"/>
      <c r="I56" s="400"/>
      <c r="J56" s="423"/>
      <c r="K56" s="423"/>
      <c r="L56" s="400">
        <v>42</v>
      </c>
      <c r="M56" s="400">
        <v>3108</v>
      </c>
      <c r="N56" s="423">
        <v>1</v>
      </c>
      <c r="O56" s="423">
        <v>74</v>
      </c>
      <c r="P56" s="400">
        <v>51</v>
      </c>
      <c r="Q56" s="400">
        <v>3774</v>
      </c>
      <c r="R56" s="424">
        <v>1.2142857142857142</v>
      </c>
      <c r="S56" s="425">
        <v>74</v>
      </c>
    </row>
    <row r="57" spans="1:19" ht="14.4" customHeight="1" x14ac:dyDescent="0.3">
      <c r="A57" s="399" t="s">
        <v>334</v>
      </c>
      <c r="B57" s="423" t="s">
        <v>335</v>
      </c>
      <c r="C57" s="423" t="s">
        <v>302</v>
      </c>
      <c r="D57" s="423" t="s">
        <v>326</v>
      </c>
      <c r="E57" s="423" t="s">
        <v>336</v>
      </c>
      <c r="F57" s="423" t="s">
        <v>339</v>
      </c>
      <c r="G57" s="423" t="s">
        <v>340</v>
      </c>
      <c r="H57" s="400"/>
      <c r="I57" s="400"/>
      <c r="J57" s="423"/>
      <c r="K57" s="423"/>
      <c r="L57" s="400">
        <v>220</v>
      </c>
      <c r="M57" s="400">
        <v>76120</v>
      </c>
      <c r="N57" s="423">
        <v>1</v>
      </c>
      <c r="O57" s="423">
        <v>346</v>
      </c>
      <c r="P57" s="400">
        <v>244</v>
      </c>
      <c r="Q57" s="400">
        <v>84668</v>
      </c>
      <c r="R57" s="424">
        <v>1.1122963741460852</v>
      </c>
      <c r="S57" s="425">
        <v>347</v>
      </c>
    </row>
    <row r="58" spans="1:19" ht="14.4" customHeight="1" x14ac:dyDescent="0.3">
      <c r="A58" s="399" t="s">
        <v>334</v>
      </c>
      <c r="B58" s="423" t="s">
        <v>335</v>
      </c>
      <c r="C58" s="423" t="s">
        <v>302</v>
      </c>
      <c r="D58" s="423" t="s">
        <v>326</v>
      </c>
      <c r="E58" s="423" t="s">
        <v>336</v>
      </c>
      <c r="F58" s="423" t="s">
        <v>341</v>
      </c>
      <c r="G58" s="423" t="s">
        <v>342</v>
      </c>
      <c r="H58" s="400"/>
      <c r="I58" s="400"/>
      <c r="J58" s="423"/>
      <c r="K58" s="423"/>
      <c r="L58" s="400">
        <v>4</v>
      </c>
      <c r="M58" s="400">
        <v>1384</v>
      </c>
      <c r="N58" s="423">
        <v>1</v>
      </c>
      <c r="O58" s="423">
        <v>346</v>
      </c>
      <c r="P58" s="400">
        <v>20</v>
      </c>
      <c r="Q58" s="400">
        <v>6940</v>
      </c>
      <c r="R58" s="424">
        <v>5.0144508670520231</v>
      </c>
      <c r="S58" s="425">
        <v>347</v>
      </c>
    </row>
    <row r="59" spans="1:19" ht="14.4" customHeight="1" x14ac:dyDescent="0.3">
      <c r="A59" s="399" t="s">
        <v>334</v>
      </c>
      <c r="B59" s="423" t="s">
        <v>335</v>
      </c>
      <c r="C59" s="423" t="s">
        <v>302</v>
      </c>
      <c r="D59" s="423" t="s">
        <v>326</v>
      </c>
      <c r="E59" s="423" t="s">
        <v>336</v>
      </c>
      <c r="F59" s="423" t="s">
        <v>343</v>
      </c>
      <c r="G59" s="423" t="s">
        <v>344</v>
      </c>
      <c r="H59" s="400"/>
      <c r="I59" s="400"/>
      <c r="J59" s="423"/>
      <c r="K59" s="423"/>
      <c r="L59" s="400">
        <v>2</v>
      </c>
      <c r="M59" s="400">
        <v>692</v>
      </c>
      <c r="N59" s="423">
        <v>1</v>
      </c>
      <c r="O59" s="423">
        <v>346</v>
      </c>
      <c r="P59" s="400"/>
      <c r="Q59" s="400"/>
      <c r="R59" s="424"/>
      <c r="S59" s="425"/>
    </row>
    <row r="60" spans="1:19" ht="14.4" customHeight="1" x14ac:dyDescent="0.3">
      <c r="A60" s="399" t="s">
        <v>334</v>
      </c>
      <c r="B60" s="423" t="s">
        <v>335</v>
      </c>
      <c r="C60" s="423" t="s">
        <v>302</v>
      </c>
      <c r="D60" s="423" t="s">
        <v>327</v>
      </c>
      <c r="E60" s="423" t="s">
        <v>336</v>
      </c>
      <c r="F60" s="423" t="s">
        <v>339</v>
      </c>
      <c r="G60" s="423" t="s">
        <v>340</v>
      </c>
      <c r="H60" s="400">
        <v>24</v>
      </c>
      <c r="I60" s="400">
        <v>7752</v>
      </c>
      <c r="J60" s="423">
        <v>0.80016515276630884</v>
      </c>
      <c r="K60" s="423">
        <v>323</v>
      </c>
      <c r="L60" s="400">
        <v>28</v>
      </c>
      <c r="M60" s="400">
        <v>9688</v>
      </c>
      <c r="N60" s="423">
        <v>1</v>
      </c>
      <c r="O60" s="423">
        <v>346</v>
      </c>
      <c r="P60" s="400">
        <v>56</v>
      </c>
      <c r="Q60" s="400">
        <v>19432</v>
      </c>
      <c r="R60" s="424">
        <v>2.0057803468208091</v>
      </c>
      <c r="S60" s="425">
        <v>347</v>
      </c>
    </row>
    <row r="61" spans="1:19" ht="14.4" customHeight="1" x14ac:dyDescent="0.3">
      <c r="A61" s="399" t="s">
        <v>334</v>
      </c>
      <c r="B61" s="423" t="s">
        <v>335</v>
      </c>
      <c r="C61" s="423" t="s">
        <v>302</v>
      </c>
      <c r="D61" s="423" t="s">
        <v>327</v>
      </c>
      <c r="E61" s="423" t="s">
        <v>336</v>
      </c>
      <c r="F61" s="423" t="s">
        <v>343</v>
      </c>
      <c r="G61" s="423" t="s">
        <v>344</v>
      </c>
      <c r="H61" s="400"/>
      <c r="I61" s="400"/>
      <c r="J61" s="423"/>
      <c r="K61" s="423"/>
      <c r="L61" s="400"/>
      <c r="M61" s="400"/>
      <c r="N61" s="423"/>
      <c r="O61" s="423"/>
      <c r="P61" s="400">
        <v>4</v>
      </c>
      <c r="Q61" s="400">
        <v>1388</v>
      </c>
      <c r="R61" s="424"/>
      <c r="S61" s="425">
        <v>347</v>
      </c>
    </row>
    <row r="62" spans="1:19" ht="14.4" customHeight="1" x14ac:dyDescent="0.3">
      <c r="A62" s="399" t="s">
        <v>334</v>
      </c>
      <c r="B62" s="423" t="s">
        <v>335</v>
      </c>
      <c r="C62" s="423" t="s">
        <v>302</v>
      </c>
      <c r="D62" s="423" t="s">
        <v>327</v>
      </c>
      <c r="E62" s="423" t="s">
        <v>336</v>
      </c>
      <c r="F62" s="423" t="s">
        <v>345</v>
      </c>
      <c r="G62" s="423" t="s">
        <v>346</v>
      </c>
      <c r="H62" s="400"/>
      <c r="I62" s="400"/>
      <c r="J62" s="423"/>
      <c r="K62" s="423"/>
      <c r="L62" s="400"/>
      <c r="M62" s="400"/>
      <c r="N62" s="423"/>
      <c r="O62" s="423"/>
      <c r="P62" s="400">
        <v>2</v>
      </c>
      <c r="Q62" s="400">
        <v>66.67</v>
      </c>
      <c r="R62" s="424"/>
      <c r="S62" s="425">
        <v>33.335000000000001</v>
      </c>
    </row>
    <row r="63" spans="1:19" ht="14.4" customHeight="1" x14ac:dyDescent="0.3">
      <c r="A63" s="399" t="s">
        <v>334</v>
      </c>
      <c r="B63" s="423" t="s">
        <v>335</v>
      </c>
      <c r="C63" s="423" t="s">
        <v>302</v>
      </c>
      <c r="D63" s="423" t="s">
        <v>327</v>
      </c>
      <c r="E63" s="423" t="s">
        <v>336</v>
      </c>
      <c r="F63" s="423" t="s">
        <v>347</v>
      </c>
      <c r="G63" s="423" t="s">
        <v>348</v>
      </c>
      <c r="H63" s="400"/>
      <c r="I63" s="400"/>
      <c r="J63" s="423"/>
      <c r="K63" s="423"/>
      <c r="L63" s="400"/>
      <c r="M63" s="400"/>
      <c r="N63" s="423"/>
      <c r="O63" s="423"/>
      <c r="P63" s="400">
        <v>6</v>
      </c>
      <c r="Q63" s="400">
        <v>3480</v>
      </c>
      <c r="R63" s="424"/>
      <c r="S63" s="425">
        <v>580</v>
      </c>
    </row>
    <row r="64" spans="1:19" ht="14.4" customHeight="1" x14ac:dyDescent="0.3">
      <c r="A64" s="399" t="s">
        <v>334</v>
      </c>
      <c r="B64" s="423" t="s">
        <v>335</v>
      </c>
      <c r="C64" s="423" t="s">
        <v>302</v>
      </c>
      <c r="D64" s="423" t="s">
        <v>328</v>
      </c>
      <c r="E64" s="423" t="s">
        <v>336</v>
      </c>
      <c r="F64" s="423" t="s">
        <v>339</v>
      </c>
      <c r="G64" s="423" t="s">
        <v>340</v>
      </c>
      <c r="H64" s="400">
        <v>146</v>
      </c>
      <c r="I64" s="400">
        <v>47158</v>
      </c>
      <c r="J64" s="423">
        <v>0.71734104046242775</v>
      </c>
      <c r="K64" s="423">
        <v>323</v>
      </c>
      <c r="L64" s="400">
        <v>190</v>
      </c>
      <c r="M64" s="400">
        <v>65740</v>
      </c>
      <c r="N64" s="423">
        <v>1</v>
      </c>
      <c r="O64" s="423">
        <v>346</v>
      </c>
      <c r="P64" s="400">
        <v>222</v>
      </c>
      <c r="Q64" s="400">
        <v>77034</v>
      </c>
      <c r="R64" s="424">
        <v>1.1717979920900516</v>
      </c>
      <c r="S64" s="425">
        <v>347</v>
      </c>
    </row>
    <row r="65" spans="1:19" ht="14.4" customHeight="1" x14ac:dyDescent="0.3">
      <c r="A65" s="399" t="s">
        <v>334</v>
      </c>
      <c r="B65" s="423" t="s">
        <v>335</v>
      </c>
      <c r="C65" s="423" t="s">
        <v>302</v>
      </c>
      <c r="D65" s="423" t="s">
        <v>328</v>
      </c>
      <c r="E65" s="423" t="s">
        <v>336</v>
      </c>
      <c r="F65" s="423" t="s">
        <v>345</v>
      </c>
      <c r="G65" s="423" t="s">
        <v>346</v>
      </c>
      <c r="H65" s="400"/>
      <c r="I65" s="400"/>
      <c r="J65" s="423"/>
      <c r="K65" s="423"/>
      <c r="L65" s="400">
        <v>26</v>
      </c>
      <c r="M65" s="400">
        <v>866.67000000000007</v>
      </c>
      <c r="N65" s="423">
        <v>1</v>
      </c>
      <c r="O65" s="423">
        <v>33.333461538461542</v>
      </c>
      <c r="P65" s="400">
        <v>28</v>
      </c>
      <c r="Q65" s="400">
        <v>933.34</v>
      </c>
      <c r="R65" s="424">
        <v>1.07692662720528</v>
      </c>
      <c r="S65" s="425">
        <v>33.333571428571432</v>
      </c>
    </row>
    <row r="66" spans="1:19" ht="14.4" customHeight="1" x14ac:dyDescent="0.3">
      <c r="A66" s="399" t="s">
        <v>334</v>
      </c>
      <c r="B66" s="423" t="s">
        <v>335</v>
      </c>
      <c r="C66" s="423" t="s">
        <v>302</v>
      </c>
      <c r="D66" s="423" t="s">
        <v>328</v>
      </c>
      <c r="E66" s="423" t="s">
        <v>336</v>
      </c>
      <c r="F66" s="423" t="s">
        <v>347</v>
      </c>
      <c r="G66" s="423" t="s">
        <v>348</v>
      </c>
      <c r="H66" s="400">
        <v>58</v>
      </c>
      <c r="I66" s="400">
        <v>31668</v>
      </c>
      <c r="J66" s="423">
        <v>0.55714285714285716</v>
      </c>
      <c r="K66" s="423">
        <v>546</v>
      </c>
      <c r="L66" s="400">
        <v>98</v>
      </c>
      <c r="M66" s="400">
        <v>56840</v>
      </c>
      <c r="N66" s="423">
        <v>1</v>
      </c>
      <c r="O66" s="423">
        <v>580</v>
      </c>
      <c r="P66" s="400">
        <v>72</v>
      </c>
      <c r="Q66" s="400">
        <v>41760</v>
      </c>
      <c r="R66" s="424">
        <v>0.73469387755102045</v>
      </c>
      <c r="S66" s="425">
        <v>580</v>
      </c>
    </row>
    <row r="67" spans="1:19" ht="14.4" customHeight="1" x14ac:dyDescent="0.3">
      <c r="A67" s="399" t="s">
        <v>334</v>
      </c>
      <c r="B67" s="423" t="s">
        <v>335</v>
      </c>
      <c r="C67" s="423" t="s">
        <v>302</v>
      </c>
      <c r="D67" s="423" t="s">
        <v>328</v>
      </c>
      <c r="E67" s="423" t="s">
        <v>336</v>
      </c>
      <c r="F67" s="423" t="s">
        <v>355</v>
      </c>
      <c r="G67" s="423" t="s">
        <v>356</v>
      </c>
      <c r="H67" s="400">
        <v>8</v>
      </c>
      <c r="I67" s="400">
        <v>4368</v>
      </c>
      <c r="J67" s="423">
        <v>0.94137931034482758</v>
      </c>
      <c r="K67" s="423">
        <v>546</v>
      </c>
      <c r="L67" s="400">
        <v>8</v>
      </c>
      <c r="M67" s="400">
        <v>4640</v>
      </c>
      <c r="N67" s="423">
        <v>1</v>
      </c>
      <c r="O67" s="423">
        <v>580</v>
      </c>
      <c r="P67" s="400">
        <v>16</v>
      </c>
      <c r="Q67" s="400">
        <v>9280</v>
      </c>
      <c r="R67" s="424">
        <v>2</v>
      </c>
      <c r="S67" s="425">
        <v>580</v>
      </c>
    </row>
    <row r="68" spans="1:19" ht="14.4" customHeight="1" x14ac:dyDescent="0.3">
      <c r="A68" s="399" t="s">
        <v>334</v>
      </c>
      <c r="B68" s="423" t="s">
        <v>335</v>
      </c>
      <c r="C68" s="423" t="s">
        <v>302</v>
      </c>
      <c r="D68" s="423" t="s">
        <v>329</v>
      </c>
      <c r="E68" s="423" t="s">
        <v>336</v>
      </c>
      <c r="F68" s="423" t="s">
        <v>339</v>
      </c>
      <c r="G68" s="423" t="s">
        <v>340</v>
      </c>
      <c r="H68" s="400">
        <v>106</v>
      </c>
      <c r="I68" s="400">
        <v>34238</v>
      </c>
      <c r="J68" s="423">
        <v>0.48506743737957608</v>
      </c>
      <c r="K68" s="423">
        <v>323</v>
      </c>
      <c r="L68" s="400">
        <v>204</v>
      </c>
      <c r="M68" s="400">
        <v>70584</v>
      </c>
      <c r="N68" s="423">
        <v>1</v>
      </c>
      <c r="O68" s="423">
        <v>346</v>
      </c>
      <c r="P68" s="400">
        <v>275</v>
      </c>
      <c r="Q68" s="400">
        <v>95425</v>
      </c>
      <c r="R68" s="424">
        <v>1.3519352827836337</v>
      </c>
      <c r="S68" s="425">
        <v>347</v>
      </c>
    </row>
    <row r="69" spans="1:19" ht="14.4" customHeight="1" x14ac:dyDescent="0.3">
      <c r="A69" s="399" t="s">
        <v>334</v>
      </c>
      <c r="B69" s="423" t="s">
        <v>335</v>
      </c>
      <c r="C69" s="423" t="s">
        <v>302</v>
      </c>
      <c r="D69" s="423" t="s">
        <v>329</v>
      </c>
      <c r="E69" s="423" t="s">
        <v>336</v>
      </c>
      <c r="F69" s="423" t="s">
        <v>345</v>
      </c>
      <c r="G69" s="423" t="s">
        <v>346</v>
      </c>
      <c r="H69" s="400"/>
      <c r="I69" s="400"/>
      <c r="J69" s="423"/>
      <c r="K69" s="423"/>
      <c r="L69" s="400">
        <v>19</v>
      </c>
      <c r="M69" s="400">
        <v>633.34</v>
      </c>
      <c r="N69" s="423">
        <v>1</v>
      </c>
      <c r="O69" s="423">
        <v>33.333684210526314</v>
      </c>
      <c r="P69" s="400">
        <v>39</v>
      </c>
      <c r="Q69" s="400">
        <v>1300</v>
      </c>
      <c r="R69" s="424">
        <v>2.0526099725266049</v>
      </c>
      <c r="S69" s="425">
        <v>33.333333333333336</v>
      </c>
    </row>
    <row r="70" spans="1:19" ht="14.4" customHeight="1" x14ac:dyDescent="0.3">
      <c r="A70" s="399" t="s">
        <v>334</v>
      </c>
      <c r="B70" s="423" t="s">
        <v>335</v>
      </c>
      <c r="C70" s="423" t="s">
        <v>302</v>
      </c>
      <c r="D70" s="423" t="s">
        <v>329</v>
      </c>
      <c r="E70" s="423" t="s">
        <v>336</v>
      </c>
      <c r="F70" s="423" t="s">
        <v>347</v>
      </c>
      <c r="G70" s="423" t="s">
        <v>348</v>
      </c>
      <c r="H70" s="400">
        <v>52</v>
      </c>
      <c r="I70" s="400">
        <v>28392</v>
      </c>
      <c r="J70" s="423">
        <v>0.76487068965517246</v>
      </c>
      <c r="K70" s="423">
        <v>546</v>
      </c>
      <c r="L70" s="400">
        <v>64</v>
      </c>
      <c r="M70" s="400">
        <v>37120</v>
      </c>
      <c r="N70" s="423">
        <v>1</v>
      </c>
      <c r="O70" s="423">
        <v>580</v>
      </c>
      <c r="P70" s="400">
        <v>115</v>
      </c>
      <c r="Q70" s="400">
        <v>66700</v>
      </c>
      <c r="R70" s="424">
        <v>1.796875</v>
      </c>
      <c r="S70" s="425">
        <v>580</v>
      </c>
    </row>
    <row r="71" spans="1:19" ht="14.4" customHeight="1" x14ac:dyDescent="0.3">
      <c r="A71" s="399" t="s">
        <v>334</v>
      </c>
      <c r="B71" s="423" t="s">
        <v>335</v>
      </c>
      <c r="C71" s="423" t="s">
        <v>302</v>
      </c>
      <c r="D71" s="423" t="s">
        <v>329</v>
      </c>
      <c r="E71" s="423" t="s">
        <v>336</v>
      </c>
      <c r="F71" s="423" t="s">
        <v>355</v>
      </c>
      <c r="G71" s="423" t="s">
        <v>356</v>
      </c>
      <c r="H71" s="400">
        <v>24</v>
      </c>
      <c r="I71" s="400">
        <v>13104</v>
      </c>
      <c r="J71" s="423">
        <v>0.70603448275862069</v>
      </c>
      <c r="K71" s="423">
        <v>546</v>
      </c>
      <c r="L71" s="400">
        <v>32</v>
      </c>
      <c r="M71" s="400">
        <v>18560</v>
      </c>
      <c r="N71" s="423">
        <v>1</v>
      </c>
      <c r="O71" s="423">
        <v>580</v>
      </c>
      <c r="P71" s="400"/>
      <c r="Q71" s="400"/>
      <c r="R71" s="424"/>
      <c r="S71" s="425"/>
    </row>
    <row r="72" spans="1:19" ht="14.4" customHeight="1" x14ac:dyDescent="0.3">
      <c r="A72" s="399" t="s">
        <v>334</v>
      </c>
      <c r="B72" s="423" t="s">
        <v>335</v>
      </c>
      <c r="C72" s="423" t="s">
        <v>302</v>
      </c>
      <c r="D72" s="423" t="s">
        <v>330</v>
      </c>
      <c r="E72" s="423" t="s">
        <v>336</v>
      </c>
      <c r="F72" s="423" t="s">
        <v>339</v>
      </c>
      <c r="G72" s="423" t="s">
        <v>340</v>
      </c>
      <c r="H72" s="400">
        <v>127</v>
      </c>
      <c r="I72" s="400">
        <v>41021</v>
      </c>
      <c r="J72" s="423"/>
      <c r="K72" s="423">
        <v>323</v>
      </c>
      <c r="L72" s="400"/>
      <c r="M72" s="400"/>
      <c r="N72" s="423"/>
      <c r="O72" s="423"/>
      <c r="P72" s="400"/>
      <c r="Q72" s="400"/>
      <c r="R72" s="424"/>
      <c r="S72" s="425"/>
    </row>
    <row r="73" spans="1:19" ht="14.4" customHeight="1" x14ac:dyDescent="0.3">
      <c r="A73" s="399" t="s">
        <v>334</v>
      </c>
      <c r="B73" s="423" t="s">
        <v>335</v>
      </c>
      <c r="C73" s="423" t="s">
        <v>302</v>
      </c>
      <c r="D73" s="423" t="s">
        <v>331</v>
      </c>
      <c r="E73" s="423" t="s">
        <v>336</v>
      </c>
      <c r="F73" s="423" t="s">
        <v>339</v>
      </c>
      <c r="G73" s="423" t="s">
        <v>340</v>
      </c>
      <c r="H73" s="400">
        <v>15</v>
      </c>
      <c r="I73" s="400">
        <v>4845</v>
      </c>
      <c r="J73" s="423">
        <v>1.1669075144508672</v>
      </c>
      <c r="K73" s="423">
        <v>323</v>
      </c>
      <c r="L73" s="400">
        <v>12</v>
      </c>
      <c r="M73" s="400">
        <v>4152</v>
      </c>
      <c r="N73" s="423">
        <v>1</v>
      </c>
      <c r="O73" s="423">
        <v>346</v>
      </c>
      <c r="P73" s="400">
        <v>46</v>
      </c>
      <c r="Q73" s="400">
        <v>15962</v>
      </c>
      <c r="R73" s="424">
        <v>3.8444123314065513</v>
      </c>
      <c r="S73" s="425">
        <v>347</v>
      </c>
    </row>
    <row r="74" spans="1:19" ht="14.4" customHeight="1" x14ac:dyDescent="0.3">
      <c r="A74" s="399" t="s">
        <v>334</v>
      </c>
      <c r="B74" s="423" t="s">
        <v>335</v>
      </c>
      <c r="C74" s="423" t="s">
        <v>302</v>
      </c>
      <c r="D74" s="423" t="s">
        <v>331</v>
      </c>
      <c r="E74" s="423" t="s">
        <v>336</v>
      </c>
      <c r="F74" s="423" t="s">
        <v>345</v>
      </c>
      <c r="G74" s="423" t="s">
        <v>346</v>
      </c>
      <c r="H74" s="400"/>
      <c r="I74" s="400"/>
      <c r="J74" s="423"/>
      <c r="K74" s="423"/>
      <c r="L74" s="400">
        <v>20</v>
      </c>
      <c r="M74" s="400">
        <v>666.68000000000006</v>
      </c>
      <c r="N74" s="423">
        <v>1</v>
      </c>
      <c r="O74" s="423">
        <v>33.334000000000003</v>
      </c>
      <c r="P74" s="400">
        <v>22</v>
      </c>
      <c r="Q74" s="400">
        <v>733.3499999999998</v>
      </c>
      <c r="R74" s="424">
        <v>1.1000029999400007</v>
      </c>
      <c r="S74" s="425">
        <v>33.334090909090897</v>
      </c>
    </row>
    <row r="75" spans="1:19" ht="14.4" customHeight="1" x14ac:dyDescent="0.3">
      <c r="A75" s="399" t="s">
        <v>334</v>
      </c>
      <c r="B75" s="423" t="s">
        <v>335</v>
      </c>
      <c r="C75" s="423" t="s">
        <v>302</v>
      </c>
      <c r="D75" s="423" t="s">
        <v>331</v>
      </c>
      <c r="E75" s="423" t="s">
        <v>336</v>
      </c>
      <c r="F75" s="423" t="s">
        <v>347</v>
      </c>
      <c r="G75" s="423" t="s">
        <v>348</v>
      </c>
      <c r="H75" s="400">
        <v>34</v>
      </c>
      <c r="I75" s="400">
        <v>18564</v>
      </c>
      <c r="J75" s="423">
        <v>0.33340517241379308</v>
      </c>
      <c r="K75" s="423">
        <v>546</v>
      </c>
      <c r="L75" s="400">
        <v>96</v>
      </c>
      <c r="M75" s="400">
        <v>55680</v>
      </c>
      <c r="N75" s="423">
        <v>1</v>
      </c>
      <c r="O75" s="423">
        <v>580</v>
      </c>
      <c r="P75" s="400">
        <v>66</v>
      </c>
      <c r="Q75" s="400">
        <v>38280</v>
      </c>
      <c r="R75" s="424">
        <v>0.6875</v>
      </c>
      <c r="S75" s="425">
        <v>580</v>
      </c>
    </row>
    <row r="76" spans="1:19" ht="14.4" customHeight="1" x14ac:dyDescent="0.3">
      <c r="A76" s="399" t="s">
        <v>334</v>
      </c>
      <c r="B76" s="423" t="s">
        <v>335</v>
      </c>
      <c r="C76" s="423" t="s">
        <v>302</v>
      </c>
      <c r="D76" s="423" t="s">
        <v>332</v>
      </c>
      <c r="E76" s="423" t="s">
        <v>336</v>
      </c>
      <c r="F76" s="423" t="s">
        <v>339</v>
      </c>
      <c r="G76" s="423" t="s">
        <v>340</v>
      </c>
      <c r="H76" s="400"/>
      <c r="I76" s="400"/>
      <c r="J76" s="423"/>
      <c r="K76" s="423"/>
      <c r="L76" s="400"/>
      <c r="M76" s="400"/>
      <c r="N76" s="423"/>
      <c r="O76" s="423"/>
      <c r="P76" s="400">
        <v>21</v>
      </c>
      <c r="Q76" s="400">
        <v>7287</v>
      </c>
      <c r="R76" s="424"/>
      <c r="S76" s="425">
        <v>347</v>
      </c>
    </row>
    <row r="77" spans="1:19" ht="14.4" customHeight="1" x14ac:dyDescent="0.3">
      <c r="A77" s="399" t="s">
        <v>334</v>
      </c>
      <c r="B77" s="423" t="s">
        <v>335</v>
      </c>
      <c r="C77" s="423" t="s">
        <v>302</v>
      </c>
      <c r="D77" s="423" t="s">
        <v>332</v>
      </c>
      <c r="E77" s="423" t="s">
        <v>336</v>
      </c>
      <c r="F77" s="423" t="s">
        <v>341</v>
      </c>
      <c r="G77" s="423" t="s">
        <v>342</v>
      </c>
      <c r="H77" s="400"/>
      <c r="I77" s="400"/>
      <c r="J77" s="423"/>
      <c r="K77" s="423"/>
      <c r="L77" s="400"/>
      <c r="M77" s="400"/>
      <c r="N77" s="423"/>
      <c r="O77" s="423"/>
      <c r="P77" s="400">
        <v>15</v>
      </c>
      <c r="Q77" s="400">
        <v>5205</v>
      </c>
      <c r="R77" s="424"/>
      <c r="S77" s="425">
        <v>347</v>
      </c>
    </row>
    <row r="78" spans="1:19" ht="14.4" customHeight="1" x14ac:dyDescent="0.3">
      <c r="A78" s="399" t="s">
        <v>334</v>
      </c>
      <c r="B78" s="423" t="s">
        <v>335</v>
      </c>
      <c r="C78" s="423" t="s">
        <v>302</v>
      </c>
      <c r="D78" s="423" t="s">
        <v>332</v>
      </c>
      <c r="E78" s="423" t="s">
        <v>336</v>
      </c>
      <c r="F78" s="423" t="s">
        <v>349</v>
      </c>
      <c r="G78" s="423" t="s">
        <v>350</v>
      </c>
      <c r="H78" s="400"/>
      <c r="I78" s="400"/>
      <c r="J78" s="423"/>
      <c r="K78" s="423"/>
      <c r="L78" s="400"/>
      <c r="M78" s="400"/>
      <c r="N78" s="423"/>
      <c r="O78" s="423"/>
      <c r="P78" s="400">
        <v>56</v>
      </c>
      <c r="Q78" s="400">
        <v>32536</v>
      </c>
      <c r="R78" s="424"/>
      <c r="S78" s="425">
        <v>581</v>
      </c>
    </row>
    <row r="79" spans="1:19" ht="14.4" customHeight="1" x14ac:dyDescent="0.3">
      <c r="A79" s="399" t="s">
        <v>334</v>
      </c>
      <c r="B79" s="423" t="s">
        <v>335</v>
      </c>
      <c r="C79" s="423" t="s">
        <v>302</v>
      </c>
      <c r="D79" s="423" t="s">
        <v>332</v>
      </c>
      <c r="E79" s="423" t="s">
        <v>336</v>
      </c>
      <c r="F79" s="423" t="s">
        <v>353</v>
      </c>
      <c r="G79" s="423" t="s">
        <v>354</v>
      </c>
      <c r="H79" s="400"/>
      <c r="I79" s="400"/>
      <c r="J79" s="423"/>
      <c r="K79" s="423"/>
      <c r="L79" s="400"/>
      <c r="M79" s="400"/>
      <c r="N79" s="423"/>
      <c r="O79" s="423"/>
      <c r="P79" s="400">
        <v>8</v>
      </c>
      <c r="Q79" s="400">
        <v>4648</v>
      </c>
      <c r="R79" s="424"/>
      <c r="S79" s="425">
        <v>581</v>
      </c>
    </row>
    <row r="80" spans="1:19" ht="14.4" customHeight="1" x14ac:dyDescent="0.3">
      <c r="A80" s="399" t="s">
        <v>334</v>
      </c>
      <c r="B80" s="423" t="s">
        <v>335</v>
      </c>
      <c r="C80" s="423" t="s">
        <v>302</v>
      </c>
      <c r="D80" s="423" t="s">
        <v>318</v>
      </c>
      <c r="E80" s="423" t="s">
        <v>336</v>
      </c>
      <c r="F80" s="423" t="s">
        <v>339</v>
      </c>
      <c r="G80" s="423" t="s">
        <v>340</v>
      </c>
      <c r="H80" s="400"/>
      <c r="I80" s="400"/>
      <c r="J80" s="423"/>
      <c r="K80" s="423"/>
      <c r="L80" s="400"/>
      <c r="M80" s="400"/>
      <c r="N80" s="423"/>
      <c r="O80" s="423"/>
      <c r="P80" s="400">
        <v>10</v>
      </c>
      <c r="Q80" s="400">
        <v>3470</v>
      </c>
      <c r="R80" s="424"/>
      <c r="S80" s="425">
        <v>347</v>
      </c>
    </row>
    <row r="81" spans="1:19" ht="14.4" customHeight="1" thickBot="1" x14ac:dyDescent="0.35">
      <c r="A81" s="403" t="s">
        <v>334</v>
      </c>
      <c r="B81" s="426" t="s">
        <v>335</v>
      </c>
      <c r="C81" s="426" t="s">
        <v>302</v>
      </c>
      <c r="D81" s="426" t="s">
        <v>318</v>
      </c>
      <c r="E81" s="426" t="s">
        <v>336</v>
      </c>
      <c r="F81" s="426" t="s">
        <v>349</v>
      </c>
      <c r="G81" s="426" t="s">
        <v>350</v>
      </c>
      <c r="H81" s="404"/>
      <c r="I81" s="404"/>
      <c r="J81" s="426"/>
      <c r="K81" s="426"/>
      <c r="L81" s="404"/>
      <c r="M81" s="404"/>
      <c r="N81" s="426"/>
      <c r="O81" s="426"/>
      <c r="P81" s="404">
        <v>5</v>
      </c>
      <c r="Q81" s="404">
        <v>2905</v>
      </c>
      <c r="R81" s="427"/>
      <c r="S81" s="428">
        <v>581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9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9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9" customWidth="1"/>
    <col min="20" max="16384" width="8.88671875" style="101"/>
  </cols>
  <sheetData>
    <row r="1" spans="1:19" ht="18.600000000000001" customHeight="1" thickBot="1" x14ac:dyDescent="0.4">
      <c r="A1" s="301" t="s">
        <v>99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4.4" customHeight="1" thickBot="1" x14ac:dyDescent="0.35">
      <c r="A2" s="195" t="s">
        <v>195</v>
      </c>
      <c r="B2" s="186"/>
      <c r="C2" s="83"/>
      <c r="D2" s="186"/>
      <c r="E2" s="83"/>
      <c r="F2" s="186"/>
      <c r="G2" s="187"/>
      <c r="H2" s="186"/>
      <c r="I2" s="83"/>
      <c r="J2" s="186"/>
      <c r="K2" s="83"/>
      <c r="L2" s="186"/>
      <c r="M2" s="187"/>
      <c r="N2" s="186"/>
      <c r="O2" s="83"/>
      <c r="P2" s="186"/>
      <c r="Q2" s="83"/>
      <c r="R2" s="186"/>
      <c r="S2" s="187"/>
    </row>
    <row r="3" spans="1:19" ht="14.4" customHeight="1" thickBot="1" x14ac:dyDescent="0.35">
      <c r="A3" s="180" t="s">
        <v>100</v>
      </c>
      <c r="B3" s="181">
        <f>SUBTOTAL(9,B6:B1048576)</f>
        <v>1300400</v>
      </c>
      <c r="C3" s="182">
        <f t="shared" ref="C3:R3" si="0">SUBTOTAL(9,C6:C1048576)</f>
        <v>34.506557148557015</v>
      </c>
      <c r="D3" s="182">
        <f t="shared" si="0"/>
        <v>1403941</v>
      </c>
      <c r="E3" s="182">
        <f t="shared" si="0"/>
        <v>23</v>
      </c>
      <c r="F3" s="182">
        <f t="shared" si="0"/>
        <v>1215549</v>
      </c>
      <c r="G3" s="185">
        <f>IF(D3&lt;&gt;0,F3/D3,"")</f>
        <v>0.86581202486429276</v>
      </c>
      <c r="H3" s="181">
        <f t="shared" si="0"/>
        <v>0</v>
      </c>
      <c r="I3" s="182">
        <f t="shared" si="0"/>
        <v>0</v>
      </c>
      <c r="J3" s="182">
        <f t="shared" si="0"/>
        <v>0</v>
      </c>
      <c r="K3" s="182">
        <f t="shared" si="0"/>
        <v>0</v>
      </c>
      <c r="L3" s="182">
        <f t="shared" si="0"/>
        <v>0</v>
      </c>
      <c r="M3" s="183" t="str">
        <f>IF(J3&lt;&gt;0,L3/J3,"")</f>
        <v/>
      </c>
      <c r="N3" s="184">
        <f t="shared" si="0"/>
        <v>0</v>
      </c>
      <c r="O3" s="182">
        <f t="shared" si="0"/>
        <v>0</v>
      </c>
      <c r="P3" s="182">
        <f t="shared" si="0"/>
        <v>0</v>
      </c>
      <c r="Q3" s="182">
        <f t="shared" si="0"/>
        <v>0</v>
      </c>
      <c r="R3" s="182">
        <f t="shared" si="0"/>
        <v>0</v>
      </c>
      <c r="S3" s="183" t="str">
        <f>IF(P3&lt;&gt;0,R3/P3,"")</f>
        <v/>
      </c>
    </row>
    <row r="4" spans="1:19" ht="14.4" customHeight="1" x14ac:dyDescent="0.3">
      <c r="A4" s="326" t="s">
        <v>82</v>
      </c>
      <c r="B4" s="327" t="s">
        <v>76</v>
      </c>
      <c r="C4" s="328"/>
      <c r="D4" s="328"/>
      <c r="E4" s="328"/>
      <c r="F4" s="328"/>
      <c r="G4" s="330"/>
      <c r="H4" s="327" t="s">
        <v>77</v>
      </c>
      <c r="I4" s="328"/>
      <c r="J4" s="328"/>
      <c r="K4" s="328"/>
      <c r="L4" s="328"/>
      <c r="M4" s="330"/>
      <c r="N4" s="327" t="s">
        <v>78</v>
      </c>
      <c r="O4" s="328"/>
      <c r="P4" s="328"/>
      <c r="Q4" s="328"/>
      <c r="R4" s="328"/>
      <c r="S4" s="330"/>
    </row>
    <row r="5" spans="1:19" ht="14.4" customHeight="1" thickBot="1" x14ac:dyDescent="0.35">
      <c r="A5" s="379"/>
      <c r="B5" s="380">
        <v>2015</v>
      </c>
      <c r="C5" s="381"/>
      <c r="D5" s="381">
        <v>2016</v>
      </c>
      <c r="E5" s="381"/>
      <c r="F5" s="381">
        <v>2017</v>
      </c>
      <c r="G5" s="430" t="s">
        <v>2</v>
      </c>
      <c r="H5" s="380">
        <v>2015</v>
      </c>
      <c r="I5" s="381"/>
      <c r="J5" s="381">
        <v>2016</v>
      </c>
      <c r="K5" s="381"/>
      <c r="L5" s="381">
        <v>2017</v>
      </c>
      <c r="M5" s="430" t="s">
        <v>2</v>
      </c>
      <c r="N5" s="380">
        <v>2015</v>
      </c>
      <c r="O5" s="381"/>
      <c r="P5" s="381">
        <v>2016</v>
      </c>
      <c r="Q5" s="381"/>
      <c r="R5" s="381">
        <v>2017</v>
      </c>
      <c r="S5" s="430" t="s">
        <v>2</v>
      </c>
    </row>
    <row r="6" spans="1:19" ht="14.4" customHeight="1" x14ac:dyDescent="0.3">
      <c r="A6" s="407" t="s">
        <v>359</v>
      </c>
      <c r="B6" s="397">
        <v>5814</v>
      </c>
      <c r="C6" s="420">
        <v>0.28971496910504285</v>
      </c>
      <c r="D6" s="397">
        <v>20068</v>
      </c>
      <c r="E6" s="420">
        <v>1</v>
      </c>
      <c r="F6" s="397">
        <v>12036</v>
      </c>
      <c r="G6" s="421">
        <v>0.59976081323500097</v>
      </c>
      <c r="H6" s="397"/>
      <c r="I6" s="420"/>
      <c r="J6" s="397"/>
      <c r="K6" s="420"/>
      <c r="L6" s="397"/>
      <c r="M6" s="421"/>
      <c r="N6" s="397"/>
      <c r="O6" s="420"/>
      <c r="P6" s="397"/>
      <c r="Q6" s="420"/>
      <c r="R6" s="397"/>
      <c r="S6" s="431"/>
    </row>
    <row r="7" spans="1:19" ht="14.4" customHeight="1" x14ac:dyDescent="0.3">
      <c r="A7" s="408" t="s">
        <v>360</v>
      </c>
      <c r="B7" s="401"/>
      <c r="C7" s="423"/>
      <c r="D7" s="401">
        <v>5536</v>
      </c>
      <c r="E7" s="423">
        <v>1</v>
      </c>
      <c r="F7" s="401">
        <v>4164</v>
      </c>
      <c r="G7" s="424">
        <v>0.75216763005780352</v>
      </c>
      <c r="H7" s="401"/>
      <c r="I7" s="423"/>
      <c r="J7" s="401"/>
      <c r="K7" s="423"/>
      <c r="L7" s="401"/>
      <c r="M7" s="424"/>
      <c r="N7" s="401"/>
      <c r="O7" s="423"/>
      <c r="P7" s="401"/>
      <c r="Q7" s="423"/>
      <c r="R7" s="401"/>
      <c r="S7" s="432"/>
    </row>
    <row r="8" spans="1:19" ht="14.4" customHeight="1" x14ac:dyDescent="0.3">
      <c r="A8" s="408" t="s">
        <v>361</v>
      </c>
      <c r="B8" s="401">
        <v>47211</v>
      </c>
      <c r="C8" s="423">
        <v>0.53284350240400891</v>
      </c>
      <c r="D8" s="401">
        <v>88602</v>
      </c>
      <c r="E8" s="423">
        <v>1</v>
      </c>
      <c r="F8" s="401">
        <v>23036</v>
      </c>
      <c r="G8" s="424">
        <v>0.25999413105798969</v>
      </c>
      <c r="H8" s="401"/>
      <c r="I8" s="423"/>
      <c r="J8" s="401"/>
      <c r="K8" s="423"/>
      <c r="L8" s="401"/>
      <c r="M8" s="424"/>
      <c r="N8" s="401"/>
      <c r="O8" s="423"/>
      <c r="P8" s="401"/>
      <c r="Q8" s="423"/>
      <c r="R8" s="401"/>
      <c r="S8" s="432"/>
    </row>
    <row r="9" spans="1:19" ht="14.4" customHeight="1" x14ac:dyDescent="0.3">
      <c r="A9" s="408" t="s">
        <v>362</v>
      </c>
      <c r="B9" s="401">
        <v>32300</v>
      </c>
      <c r="C9" s="423">
        <v>1.2615216372441806</v>
      </c>
      <c r="D9" s="401">
        <v>25604</v>
      </c>
      <c r="E9" s="423">
        <v>1</v>
      </c>
      <c r="F9" s="401">
        <v>9716</v>
      </c>
      <c r="G9" s="424">
        <v>0.37947195750663959</v>
      </c>
      <c r="H9" s="401"/>
      <c r="I9" s="423"/>
      <c r="J9" s="401"/>
      <c r="K9" s="423"/>
      <c r="L9" s="401"/>
      <c r="M9" s="424"/>
      <c r="N9" s="401"/>
      <c r="O9" s="423"/>
      <c r="P9" s="401"/>
      <c r="Q9" s="423"/>
      <c r="R9" s="401"/>
      <c r="S9" s="432"/>
    </row>
    <row r="10" spans="1:19" ht="14.4" customHeight="1" x14ac:dyDescent="0.3">
      <c r="A10" s="408" t="s">
        <v>363</v>
      </c>
      <c r="B10" s="401">
        <v>7752</v>
      </c>
      <c r="C10" s="423">
        <v>5.601156069364162</v>
      </c>
      <c r="D10" s="401">
        <v>1384</v>
      </c>
      <c r="E10" s="423">
        <v>1</v>
      </c>
      <c r="F10" s="401">
        <v>2776</v>
      </c>
      <c r="G10" s="424">
        <v>2.0057803468208091</v>
      </c>
      <c r="H10" s="401"/>
      <c r="I10" s="423"/>
      <c r="J10" s="401"/>
      <c r="K10" s="423"/>
      <c r="L10" s="401"/>
      <c r="M10" s="424"/>
      <c r="N10" s="401"/>
      <c r="O10" s="423"/>
      <c r="P10" s="401"/>
      <c r="Q10" s="423"/>
      <c r="R10" s="401"/>
      <c r="S10" s="432"/>
    </row>
    <row r="11" spans="1:19" ht="14.4" customHeight="1" x14ac:dyDescent="0.3">
      <c r="A11" s="408" t="s">
        <v>364</v>
      </c>
      <c r="B11" s="401"/>
      <c r="C11" s="423"/>
      <c r="D11" s="401">
        <v>1038</v>
      </c>
      <c r="E11" s="423">
        <v>1</v>
      </c>
      <c r="F11" s="401">
        <v>3470</v>
      </c>
      <c r="G11" s="424">
        <v>3.3429672447013488</v>
      </c>
      <c r="H11" s="401"/>
      <c r="I11" s="423"/>
      <c r="J11" s="401"/>
      <c r="K11" s="423"/>
      <c r="L11" s="401"/>
      <c r="M11" s="424"/>
      <c r="N11" s="401"/>
      <c r="O11" s="423"/>
      <c r="P11" s="401"/>
      <c r="Q11" s="423"/>
      <c r="R11" s="401"/>
      <c r="S11" s="432"/>
    </row>
    <row r="12" spans="1:19" ht="14.4" customHeight="1" x14ac:dyDescent="0.3">
      <c r="A12" s="408" t="s">
        <v>365</v>
      </c>
      <c r="B12" s="401">
        <v>151164</v>
      </c>
      <c r="C12" s="423">
        <v>0.84998088212140976</v>
      </c>
      <c r="D12" s="401">
        <v>177844</v>
      </c>
      <c r="E12" s="423">
        <v>1</v>
      </c>
      <c r="F12" s="401">
        <v>117980</v>
      </c>
      <c r="G12" s="424">
        <v>0.66339038708081244</v>
      </c>
      <c r="H12" s="401"/>
      <c r="I12" s="423"/>
      <c r="J12" s="401"/>
      <c r="K12" s="423"/>
      <c r="L12" s="401"/>
      <c r="M12" s="424"/>
      <c r="N12" s="401"/>
      <c r="O12" s="423"/>
      <c r="P12" s="401"/>
      <c r="Q12" s="423"/>
      <c r="R12" s="401"/>
      <c r="S12" s="432"/>
    </row>
    <row r="13" spans="1:19" ht="14.4" customHeight="1" x14ac:dyDescent="0.3">
      <c r="A13" s="408" t="s">
        <v>366</v>
      </c>
      <c r="B13" s="401"/>
      <c r="C13" s="423"/>
      <c r="D13" s="401">
        <v>1384</v>
      </c>
      <c r="E13" s="423">
        <v>1</v>
      </c>
      <c r="F13" s="401"/>
      <c r="G13" s="424"/>
      <c r="H13" s="401"/>
      <c r="I13" s="423"/>
      <c r="J13" s="401"/>
      <c r="K13" s="423"/>
      <c r="L13" s="401"/>
      <c r="M13" s="424"/>
      <c r="N13" s="401"/>
      <c r="O13" s="423"/>
      <c r="P13" s="401"/>
      <c r="Q13" s="423"/>
      <c r="R13" s="401"/>
      <c r="S13" s="432"/>
    </row>
    <row r="14" spans="1:19" ht="14.4" customHeight="1" x14ac:dyDescent="0.3">
      <c r="A14" s="408" t="s">
        <v>367</v>
      </c>
      <c r="B14" s="401">
        <v>152319</v>
      </c>
      <c r="C14" s="423">
        <v>0.96851294898614493</v>
      </c>
      <c r="D14" s="401">
        <v>157271</v>
      </c>
      <c r="E14" s="423">
        <v>1</v>
      </c>
      <c r="F14" s="401">
        <v>232213</v>
      </c>
      <c r="G14" s="424">
        <v>1.4765150599919883</v>
      </c>
      <c r="H14" s="401"/>
      <c r="I14" s="423"/>
      <c r="J14" s="401"/>
      <c r="K14" s="423"/>
      <c r="L14" s="401"/>
      <c r="M14" s="424"/>
      <c r="N14" s="401"/>
      <c r="O14" s="423"/>
      <c r="P14" s="401"/>
      <c r="Q14" s="423"/>
      <c r="R14" s="401"/>
      <c r="S14" s="432"/>
    </row>
    <row r="15" spans="1:19" ht="14.4" customHeight="1" x14ac:dyDescent="0.3">
      <c r="A15" s="408" t="s">
        <v>368</v>
      </c>
      <c r="B15" s="401">
        <v>15504</v>
      </c>
      <c r="C15" s="423">
        <v>3.7341040462427744</v>
      </c>
      <c r="D15" s="401">
        <v>4152</v>
      </c>
      <c r="E15" s="423">
        <v>1</v>
      </c>
      <c r="F15" s="401">
        <v>20820</v>
      </c>
      <c r="G15" s="424">
        <v>5.0144508670520231</v>
      </c>
      <c r="H15" s="401"/>
      <c r="I15" s="423"/>
      <c r="J15" s="401"/>
      <c r="K15" s="423"/>
      <c r="L15" s="401"/>
      <c r="M15" s="424"/>
      <c r="N15" s="401"/>
      <c r="O15" s="423"/>
      <c r="P15" s="401"/>
      <c r="Q15" s="423"/>
      <c r="R15" s="401"/>
      <c r="S15" s="432"/>
    </row>
    <row r="16" spans="1:19" ht="14.4" customHeight="1" x14ac:dyDescent="0.3">
      <c r="A16" s="408" t="s">
        <v>369</v>
      </c>
      <c r="B16" s="401">
        <v>5168</v>
      </c>
      <c r="C16" s="423">
        <v>0.74682080924855487</v>
      </c>
      <c r="D16" s="401">
        <v>6920</v>
      </c>
      <c r="E16" s="423">
        <v>1</v>
      </c>
      <c r="F16" s="401">
        <v>5552</v>
      </c>
      <c r="G16" s="424">
        <v>0.80231213872832374</v>
      </c>
      <c r="H16" s="401"/>
      <c r="I16" s="423"/>
      <c r="J16" s="401"/>
      <c r="K16" s="423"/>
      <c r="L16" s="401"/>
      <c r="M16" s="424"/>
      <c r="N16" s="401"/>
      <c r="O16" s="423"/>
      <c r="P16" s="401"/>
      <c r="Q16" s="423"/>
      <c r="R16" s="401"/>
      <c r="S16" s="432"/>
    </row>
    <row r="17" spans="1:19" ht="14.4" customHeight="1" x14ac:dyDescent="0.3">
      <c r="A17" s="408" t="s">
        <v>370</v>
      </c>
      <c r="B17" s="401">
        <v>20672</v>
      </c>
      <c r="C17" s="423">
        <v>0.93352601156069359</v>
      </c>
      <c r="D17" s="401">
        <v>22144</v>
      </c>
      <c r="E17" s="423">
        <v>1</v>
      </c>
      <c r="F17" s="401"/>
      <c r="G17" s="424"/>
      <c r="H17" s="401"/>
      <c r="I17" s="423"/>
      <c r="J17" s="401"/>
      <c r="K17" s="423"/>
      <c r="L17" s="401"/>
      <c r="M17" s="424"/>
      <c r="N17" s="401"/>
      <c r="O17" s="423"/>
      <c r="P17" s="401"/>
      <c r="Q17" s="423"/>
      <c r="R17" s="401"/>
      <c r="S17" s="432"/>
    </row>
    <row r="18" spans="1:19" ht="14.4" customHeight="1" x14ac:dyDescent="0.3">
      <c r="A18" s="408" t="s">
        <v>371</v>
      </c>
      <c r="B18" s="401">
        <v>212926</v>
      </c>
      <c r="C18" s="423">
        <v>1.9780572999888522</v>
      </c>
      <c r="D18" s="401">
        <v>107644</v>
      </c>
      <c r="E18" s="423">
        <v>1</v>
      </c>
      <c r="F18" s="401">
        <v>66307</v>
      </c>
      <c r="G18" s="424">
        <v>0.61598417004199024</v>
      </c>
      <c r="H18" s="401"/>
      <c r="I18" s="423"/>
      <c r="J18" s="401"/>
      <c r="K18" s="423"/>
      <c r="L18" s="401"/>
      <c r="M18" s="424"/>
      <c r="N18" s="401"/>
      <c r="O18" s="423"/>
      <c r="P18" s="401"/>
      <c r="Q18" s="423"/>
      <c r="R18" s="401"/>
      <c r="S18" s="432"/>
    </row>
    <row r="19" spans="1:19" ht="14.4" customHeight="1" x14ac:dyDescent="0.3">
      <c r="A19" s="408" t="s">
        <v>372</v>
      </c>
      <c r="B19" s="401">
        <v>251822</v>
      </c>
      <c r="C19" s="423">
        <v>1.0060163952763708</v>
      </c>
      <c r="D19" s="401">
        <v>250316</v>
      </c>
      <c r="E19" s="423">
        <v>1</v>
      </c>
      <c r="F19" s="401">
        <v>176431</v>
      </c>
      <c r="G19" s="424">
        <v>0.70483309097301017</v>
      </c>
      <c r="H19" s="401"/>
      <c r="I19" s="423"/>
      <c r="J19" s="401"/>
      <c r="K19" s="423"/>
      <c r="L19" s="401"/>
      <c r="M19" s="424"/>
      <c r="N19" s="401"/>
      <c r="O19" s="423"/>
      <c r="P19" s="401"/>
      <c r="Q19" s="423"/>
      <c r="R19" s="401"/>
      <c r="S19" s="432"/>
    </row>
    <row r="20" spans="1:19" ht="14.4" customHeight="1" x14ac:dyDescent="0.3">
      <c r="A20" s="408" t="s">
        <v>373</v>
      </c>
      <c r="B20" s="401">
        <v>14719</v>
      </c>
      <c r="C20" s="423">
        <v>10.635115606936417</v>
      </c>
      <c r="D20" s="401">
        <v>1384</v>
      </c>
      <c r="E20" s="423">
        <v>1</v>
      </c>
      <c r="F20" s="401">
        <v>3470</v>
      </c>
      <c r="G20" s="424">
        <v>2.5072254335260116</v>
      </c>
      <c r="H20" s="401"/>
      <c r="I20" s="423"/>
      <c r="J20" s="401"/>
      <c r="K20" s="423"/>
      <c r="L20" s="401"/>
      <c r="M20" s="424"/>
      <c r="N20" s="401"/>
      <c r="O20" s="423"/>
      <c r="P20" s="401"/>
      <c r="Q20" s="423"/>
      <c r="R20" s="401"/>
      <c r="S20" s="432"/>
    </row>
    <row r="21" spans="1:19" ht="14.4" customHeight="1" x14ac:dyDescent="0.3">
      <c r="A21" s="408" t="s">
        <v>374</v>
      </c>
      <c r="B21" s="401">
        <v>6460</v>
      </c>
      <c r="C21" s="423">
        <v>0.42360655737704916</v>
      </c>
      <c r="D21" s="401">
        <v>15250</v>
      </c>
      <c r="E21" s="423">
        <v>1</v>
      </c>
      <c r="F21" s="401"/>
      <c r="G21" s="424"/>
      <c r="H21" s="401"/>
      <c r="I21" s="423"/>
      <c r="J21" s="401"/>
      <c r="K21" s="423"/>
      <c r="L21" s="401"/>
      <c r="M21" s="424"/>
      <c r="N21" s="401"/>
      <c r="O21" s="423"/>
      <c r="P21" s="401"/>
      <c r="Q21" s="423"/>
      <c r="R21" s="401"/>
      <c r="S21" s="432"/>
    </row>
    <row r="22" spans="1:19" ht="14.4" customHeight="1" x14ac:dyDescent="0.3">
      <c r="A22" s="408" t="s">
        <v>375</v>
      </c>
      <c r="B22" s="401">
        <v>66213</v>
      </c>
      <c r="C22" s="423">
        <v>0.39620507665242521</v>
      </c>
      <c r="D22" s="401">
        <v>167118</v>
      </c>
      <c r="E22" s="423">
        <v>1</v>
      </c>
      <c r="F22" s="401">
        <v>91390</v>
      </c>
      <c r="G22" s="424">
        <v>0.54685910554219175</v>
      </c>
      <c r="H22" s="401"/>
      <c r="I22" s="423"/>
      <c r="J22" s="401"/>
      <c r="K22" s="423"/>
      <c r="L22" s="401"/>
      <c r="M22" s="424"/>
      <c r="N22" s="401"/>
      <c r="O22" s="423"/>
      <c r="P22" s="401"/>
      <c r="Q22" s="423"/>
      <c r="R22" s="401"/>
      <c r="S22" s="432"/>
    </row>
    <row r="23" spans="1:19" ht="14.4" customHeight="1" x14ac:dyDescent="0.3">
      <c r="A23" s="408" t="s">
        <v>376</v>
      </c>
      <c r="B23" s="401">
        <v>10336</v>
      </c>
      <c r="C23" s="423"/>
      <c r="D23" s="401"/>
      <c r="E23" s="423"/>
      <c r="F23" s="401"/>
      <c r="G23" s="424"/>
      <c r="H23" s="401"/>
      <c r="I23" s="423"/>
      <c r="J23" s="401"/>
      <c r="K23" s="423"/>
      <c r="L23" s="401"/>
      <c r="M23" s="424"/>
      <c r="N23" s="401"/>
      <c r="O23" s="423"/>
      <c r="P23" s="401"/>
      <c r="Q23" s="423"/>
      <c r="R23" s="401"/>
      <c r="S23" s="432"/>
    </row>
    <row r="24" spans="1:19" ht="14.4" customHeight="1" x14ac:dyDescent="0.3">
      <c r="A24" s="408" t="s">
        <v>377</v>
      </c>
      <c r="B24" s="401">
        <v>45312</v>
      </c>
      <c r="C24" s="423">
        <v>0.58334620732272513</v>
      </c>
      <c r="D24" s="401">
        <v>77676</v>
      </c>
      <c r="E24" s="423">
        <v>1</v>
      </c>
      <c r="F24" s="401">
        <v>167106</v>
      </c>
      <c r="G24" s="424">
        <v>2.1513208713116021</v>
      </c>
      <c r="H24" s="401"/>
      <c r="I24" s="423"/>
      <c r="J24" s="401"/>
      <c r="K24" s="423"/>
      <c r="L24" s="401"/>
      <c r="M24" s="424"/>
      <c r="N24" s="401"/>
      <c r="O24" s="423"/>
      <c r="P24" s="401"/>
      <c r="Q24" s="423"/>
      <c r="R24" s="401"/>
      <c r="S24" s="432"/>
    </row>
    <row r="25" spans="1:19" ht="14.4" customHeight="1" x14ac:dyDescent="0.3">
      <c r="A25" s="408" t="s">
        <v>378</v>
      </c>
      <c r="B25" s="401">
        <v>35668</v>
      </c>
      <c r="C25" s="423">
        <v>1.8804301982285956</v>
      </c>
      <c r="D25" s="401">
        <v>18968</v>
      </c>
      <c r="E25" s="423">
        <v>1</v>
      </c>
      <c r="F25" s="401">
        <v>26392</v>
      </c>
      <c r="G25" s="424">
        <v>1.3913960354280894</v>
      </c>
      <c r="H25" s="401"/>
      <c r="I25" s="423"/>
      <c r="J25" s="401"/>
      <c r="K25" s="423"/>
      <c r="L25" s="401"/>
      <c r="M25" s="424"/>
      <c r="N25" s="401"/>
      <c r="O25" s="423"/>
      <c r="P25" s="401"/>
      <c r="Q25" s="423"/>
      <c r="R25" s="401"/>
      <c r="S25" s="432"/>
    </row>
    <row r="26" spans="1:19" ht="14.4" customHeight="1" x14ac:dyDescent="0.3">
      <c r="A26" s="408" t="s">
        <v>379</v>
      </c>
      <c r="B26" s="401">
        <v>51080</v>
      </c>
      <c r="C26" s="423">
        <v>1.6776142932212297</v>
      </c>
      <c r="D26" s="401">
        <v>30448</v>
      </c>
      <c r="E26" s="423">
        <v>1</v>
      </c>
      <c r="F26" s="401">
        <v>39558</v>
      </c>
      <c r="G26" s="424">
        <v>1.299198633736206</v>
      </c>
      <c r="H26" s="401"/>
      <c r="I26" s="423"/>
      <c r="J26" s="401"/>
      <c r="K26" s="423"/>
      <c r="L26" s="401"/>
      <c r="M26" s="424"/>
      <c r="N26" s="401"/>
      <c r="O26" s="423"/>
      <c r="P26" s="401"/>
      <c r="Q26" s="423"/>
      <c r="R26" s="401"/>
      <c r="S26" s="432"/>
    </row>
    <row r="27" spans="1:19" ht="14.4" customHeight="1" x14ac:dyDescent="0.3">
      <c r="A27" s="408" t="s">
        <v>380</v>
      </c>
      <c r="B27" s="401">
        <v>165376</v>
      </c>
      <c r="C27" s="423">
        <v>0.80053441248511492</v>
      </c>
      <c r="D27" s="401">
        <v>206582</v>
      </c>
      <c r="E27" s="423">
        <v>1</v>
      </c>
      <c r="F27" s="401">
        <v>193279</v>
      </c>
      <c r="G27" s="424">
        <v>0.93560426368221816</v>
      </c>
      <c r="H27" s="401"/>
      <c r="I27" s="423"/>
      <c r="J27" s="401"/>
      <c r="K27" s="423"/>
      <c r="L27" s="401"/>
      <c r="M27" s="424"/>
      <c r="N27" s="401"/>
      <c r="O27" s="423"/>
      <c r="P27" s="401"/>
      <c r="Q27" s="423"/>
      <c r="R27" s="401"/>
      <c r="S27" s="432"/>
    </row>
    <row r="28" spans="1:19" ht="14.4" customHeight="1" x14ac:dyDescent="0.3">
      <c r="A28" s="408" t="s">
        <v>381</v>
      </c>
      <c r="B28" s="401"/>
      <c r="C28" s="423"/>
      <c r="D28" s="401">
        <v>4152</v>
      </c>
      <c r="E28" s="423">
        <v>1</v>
      </c>
      <c r="F28" s="401">
        <v>11178</v>
      </c>
      <c r="G28" s="424">
        <v>2.6921965317919074</v>
      </c>
      <c r="H28" s="401"/>
      <c r="I28" s="423"/>
      <c r="J28" s="401"/>
      <c r="K28" s="423"/>
      <c r="L28" s="401"/>
      <c r="M28" s="424"/>
      <c r="N28" s="401"/>
      <c r="O28" s="423"/>
      <c r="P28" s="401"/>
      <c r="Q28" s="423"/>
      <c r="R28" s="401"/>
      <c r="S28" s="432"/>
    </row>
    <row r="29" spans="1:19" ht="14.4" customHeight="1" thickBot="1" x14ac:dyDescent="0.35">
      <c r="A29" s="409" t="s">
        <v>382</v>
      </c>
      <c r="B29" s="405">
        <v>2584</v>
      </c>
      <c r="C29" s="426">
        <v>0.20745022479126526</v>
      </c>
      <c r="D29" s="405">
        <v>12456</v>
      </c>
      <c r="E29" s="426">
        <v>1</v>
      </c>
      <c r="F29" s="405">
        <v>8675</v>
      </c>
      <c r="G29" s="427">
        <v>0.69645150931278099</v>
      </c>
      <c r="H29" s="405"/>
      <c r="I29" s="426"/>
      <c r="J29" s="405"/>
      <c r="K29" s="426"/>
      <c r="L29" s="405"/>
      <c r="M29" s="427"/>
      <c r="N29" s="405"/>
      <c r="O29" s="426"/>
      <c r="P29" s="405"/>
      <c r="Q29" s="426"/>
      <c r="R29" s="405"/>
      <c r="S29" s="43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6" hidden="1" customWidth="1" outlineLevel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1"/>
  </cols>
  <sheetData>
    <row r="1" spans="1:17" ht="18.600000000000001" customHeight="1" thickBot="1" x14ac:dyDescent="0.4">
      <c r="A1" s="289" t="s">
        <v>411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95" t="s">
        <v>195</v>
      </c>
      <c r="B2" s="102"/>
      <c r="C2" s="102"/>
      <c r="D2" s="102"/>
      <c r="E2" s="102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Q2" s="188"/>
    </row>
    <row r="3" spans="1:17" ht="14.4" customHeight="1" thickBot="1" x14ac:dyDescent="0.35">
      <c r="E3" s="62" t="s">
        <v>100</v>
      </c>
      <c r="F3" s="74">
        <f t="shared" ref="F3:O3" si="0">SUBTOTAL(9,F6:F1048576)</f>
        <v>3622</v>
      </c>
      <c r="G3" s="75">
        <f t="shared" si="0"/>
        <v>1300400</v>
      </c>
      <c r="H3" s="75"/>
      <c r="I3" s="75"/>
      <c r="J3" s="75">
        <f t="shared" si="0"/>
        <v>3631</v>
      </c>
      <c r="K3" s="75">
        <f t="shared" si="0"/>
        <v>1403941</v>
      </c>
      <c r="L3" s="75"/>
      <c r="M3" s="75"/>
      <c r="N3" s="75">
        <f t="shared" si="0"/>
        <v>3216</v>
      </c>
      <c r="O3" s="75">
        <f t="shared" si="0"/>
        <v>1215549</v>
      </c>
      <c r="P3" s="58">
        <f>IF(K3=0,0,O3/K3)</f>
        <v>0.86581202486429276</v>
      </c>
      <c r="Q3" s="76">
        <f>IF(N3=0,0,O3/N3)</f>
        <v>377.96921641791045</v>
      </c>
    </row>
    <row r="4" spans="1:17" ht="14.4" customHeight="1" x14ac:dyDescent="0.3">
      <c r="A4" s="335" t="s">
        <v>46</v>
      </c>
      <c r="B4" s="333" t="s">
        <v>72</v>
      </c>
      <c r="C4" s="335" t="s">
        <v>73</v>
      </c>
      <c r="D4" s="344" t="s">
        <v>74</v>
      </c>
      <c r="E4" s="336" t="s">
        <v>47</v>
      </c>
      <c r="F4" s="342">
        <v>2015</v>
      </c>
      <c r="G4" s="343"/>
      <c r="H4" s="77"/>
      <c r="I4" s="77"/>
      <c r="J4" s="342">
        <v>2016</v>
      </c>
      <c r="K4" s="343"/>
      <c r="L4" s="77"/>
      <c r="M4" s="77"/>
      <c r="N4" s="342">
        <v>2017</v>
      </c>
      <c r="O4" s="343"/>
      <c r="P4" s="345" t="s">
        <v>2</v>
      </c>
      <c r="Q4" s="334" t="s">
        <v>75</v>
      </c>
    </row>
    <row r="5" spans="1:17" ht="14.4" customHeight="1" thickBot="1" x14ac:dyDescent="0.35">
      <c r="A5" s="412"/>
      <c r="B5" s="410"/>
      <c r="C5" s="412"/>
      <c r="D5" s="434"/>
      <c r="E5" s="414"/>
      <c r="F5" s="435" t="s">
        <v>49</v>
      </c>
      <c r="G5" s="436" t="s">
        <v>5</v>
      </c>
      <c r="H5" s="437"/>
      <c r="I5" s="437"/>
      <c r="J5" s="435" t="s">
        <v>49</v>
      </c>
      <c r="K5" s="436" t="s">
        <v>5</v>
      </c>
      <c r="L5" s="437"/>
      <c r="M5" s="437"/>
      <c r="N5" s="435" t="s">
        <v>49</v>
      </c>
      <c r="O5" s="436" t="s">
        <v>5</v>
      </c>
      <c r="P5" s="438"/>
      <c r="Q5" s="419"/>
    </row>
    <row r="6" spans="1:17" ht="14.4" customHeight="1" x14ac:dyDescent="0.3">
      <c r="A6" s="395" t="s">
        <v>383</v>
      </c>
      <c r="B6" s="420" t="s">
        <v>335</v>
      </c>
      <c r="C6" s="420" t="s">
        <v>336</v>
      </c>
      <c r="D6" s="420" t="s">
        <v>339</v>
      </c>
      <c r="E6" s="420" t="s">
        <v>340</v>
      </c>
      <c r="F6" s="396">
        <v>18</v>
      </c>
      <c r="G6" s="396">
        <v>5814</v>
      </c>
      <c r="H6" s="396">
        <v>0.28971496910504285</v>
      </c>
      <c r="I6" s="396">
        <v>323</v>
      </c>
      <c r="J6" s="396">
        <v>58</v>
      </c>
      <c r="K6" s="396">
        <v>20068</v>
      </c>
      <c r="L6" s="396">
        <v>1</v>
      </c>
      <c r="M6" s="396">
        <v>346</v>
      </c>
      <c r="N6" s="396">
        <v>20</v>
      </c>
      <c r="O6" s="396">
        <v>6940</v>
      </c>
      <c r="P6" s="421">
        <v>0.34582419772772571</v>
      </c>
      <c r="Q6" s="422">
        <v>347</v>
      </c>
    </row>
    <row r="7" spans="1:17" ht="14.4" customHeight="1" x14ac:dyDescent="0.3">
      <c r="A7" s="399" t="s">
        <v>383</v>
      </c>
      <c r="B7" s="423" t="s">
        <v>335</v>
      </c>
      <c r="C7" s="423" t="s">
        <v>336</v>
      </c>
      <c r="D7" s="423" t="s">
        <v>343</v>
      </c>
      <c r="E7" s="423" t="s">
        <v>344</v>
      </c>
      <c r="F7" s="400"/>
      <c r="G7" s="400"/>
      <c r="H7" s="400"/>
      <c r="I7" s="400"/>
      <c r="J7" s="400"/>
      <c r="K7" s="400"/>
      <c r="L7" s="400"/>
      <c r="M7" s="400"/>
      <c r="N7" s="400">
        <v>8</v>
      </c>
      <c r="O7" s="400">
        <v>2776</v>
      </c>
      <c r="P7" s="424"/>
      <c r="Q7" s="425">
        <v>347</v>
      </c>
    </row>
    <row r="8" spans="1:17" ht="14.4" customHeight="1" x14ac:dyDescent="0.3">
      <c r="A8" s="399" t="s">
        <v>383</v>
      </c>
      <c r="B8" s="423" t="s">
        <v>335</v>
      </c>
      <c r="C8" s="423" t="s">
        <v>336</v>
      </c>
      <c r="D8" s="423" t="s">
        <v>347</v>
      </c>
      <c r="E8" s="423" t="s">
        <v>348</v>
      </c>
      <c r="F8" s="400"/>
      <c r="G8" s="400"/>
      <c r="H8" s="400"/>
      <c r="I8" s="400"/>
      <c r="J8" s="400"/>
      <c r="K8" s="400"/>
      <c r="L8" s="400"/>
      <c r="M8" s="400"/>
      <c r="N8" s="400">
        <v>4</v>
      </c>
      <c r="O8" s="400">
        <v>2320</v>
      </c>
      <c r="P8" s="424"/>
      <c r="Q8" s="425">
        <v>580</v>
      </c>
    </row>
    <row r="9" spans="1:17" ht="14.4" customHeight="1" x14ac:dyDescent="0.3">
      <c r="A9" s="399" t="s">
        <v>384</v>
      </c>
      <c r="B9" s="423" t="s">
        <v>335</v>
      </c>
      <c r="C9" s="423" t="s">
        <v>336</v>
      </c>
      <c r="D9" s="423" t="s">
        <v>339</v>
      </c>
      <c r="E9" s="423" t="s">
        <v>340</v>
      </c>
      <c r="F9" s="400"/>
      <c r="G9" s="400"/>
      <c r="H9" s="400"/>
      <c r="I9" s="400"/>
      <c r="J9" s="400">
        <v>16</v>
      </c>
      <c r="K9" s="400">
        <v>5536</v>
      </c>
      <c r="L9" s="400">
        <v>1</v>
      </c>
      <c r="M9" s="400">
        <v>346</v>
      </c>
      <c r="N9" s="400">
        <v>12</v>
      </c>
      <c r="O9" s="400">
        <v>4164</v>
      </c>
      <c r="P9" s="424">
        <v>0.75216763005780352</v>
      </c>
      <c r="Q9" s="425">
        <v>347</v>
      </c>
    </row>
    <row r="10" spans="1:17" ht="14.4" customHeight="1" x14ac:dyDescent="0.3">
      <c r="A10" s="399" t="s">
        <v>385</v>
      </c>
      <c r="B10" s="423" t="s">
        <v>335</v>
      </c>
      <c r="C10" s="423" t="s">
        <v>336</v>
      </c>
      <c r="D10" s="423" t="s">
        <v>339</v>
      </c>
      <c r="E10" s="423" t="s">
        <v>340</v>
      </c>
      <c r="F10" s="400">
        <v>83</v>
      </c>
      <c r="G10" s="400">
        <v>26809</v>
      </c>
      <c r="H10" s="400">
        <v>0.61009967684675259</v>
      </c>
      <c r="I10" s="400">
        <v>323</v>
      </c>
      <c r="J10" s="400">
        <v>127</v>
      </c>
      <c r="K10" s="400">
        <v>43942</v>
      </c>
      <c r="L10" s="400">
        <v>1</v>
      </c>
      <c r="M10" s="400">
        <v>346</v>
      </c>
      <c r="N10" s="400">
        <v>48</v>
      </c>
      <c r="O10" s="400">
        <v>16656</v>
      </c>
      <c r="P10" s="424">
        <v>0.37904510491101906</v>
      </c>
      <c r="Q10" s="425">
        <v>347</v>
      </c>
    </row>
    <row r="11" spans="1:17" ht="14.4" customHeight="1" x14ac:dyDescent="0.3">
      <c r="A11" s="399" t="s">
        <v>385</v>
      </c>
      <c r="B11" s="423" t="s">
        <v>335</v>
      </c>
      <c r="C11" s="423" t="s">
        <v>336</v>
      </c>
      <c r="D11" s="423" t="s">
        <v>341</v>
      </c>
      <c r="E11" s="423" t="s">
        <v>342</v>
      </c>
      <c r="F11" s="400">
        <v>4</v>
      </c>
      <c r="G11" s="400">
        <v>1292</v>
      </c>
      <c r="H11" s="400"/>
      <c r="I11" s="400">
        <v>323</v>
      </c>
      <c r="J11" s="400"/>
      <c r="K11" s="400"/>
      <c r="L11" s="400"/>
      <c r="M11" s="400"/>
      <c r="N11" s="400"/>
      <c r="O11" s="400"/>
      <c r="P11" s="424"/>
      <c r="Q11" s="425"/>
    </row>
    <row r="12" spans="1:17" ht="14.4" customHeight="1" x14ac:dyDescent="0.3">
      <c r="A12" s="399" t="s">
        <v>385</v>
      </c>
      <c r="B12" s="423" t="s">
        <v>335</v>
      </c>
      <c r="C12" s="423" t="s">
        <v>336</v>
      </c>
      <c r="D12" s="423" t="s">
        <v>347</v>
      </c>
      <c r="E12" s="423" t="s">
        <v>348</v>
      </c>
      <c r="F12" s="400">
        <v>35</v>
      </c>
      <c r="G12" s="400">
        <v>19110</v>
      </c>
      <c r="H12" s="400">
        <v>0.46406022340942205</v>
      </c>
      <c r="I12" s="400">
        <v>546</v>
      </c>
      <c r="J12" s="400">
        <v>71</v>
      </c>
      <c r="K12" s="400">
        <v>41180</v>
      </c>
      <c r="L12" s="400">
        <v>1</v>
      </c>
      <c r="M12" s="400">
        <v>580</v>
      </c>
      <c r="N12" s="400">
        <v>11</v>
      </c>
      <c r="O12" s="400">
        <v>6380</v>
      </c>
      <c r="P12" s="424">
        <v>0.15492957746478872</v>
      </c>
      <c r="Q12" s="425">
        <v>580</v>
      </c>
    </row>
    <row r="13" spans="1:17" ht="14.4" customHeight="1" x14ac:dyDescent="0.3">
      <c r="A13" s="399" t="s">
        <v>385</v>
      </c>
      <c r="B13" s="423" t="s">
        <v>335</v>
      </c>
      <c r="C13" s="423" t="s">
        <v>336</v>
      </c>
      <c r="D13" s="423" t="s">
        <v>355</v>
      </c>
      <c r="E13" s="423" t="s">
        <v>356</v>
      </c>
      <c r="F13" s="400"/>
      <c r="G13" s="400"/>
      <c r="H13" s="400"/>
      <c r="I13" s="400"/>
      <c r="J13" s="400">
        <v>6</v>
      </c>
      <c r="K13" s="400">
        <v>3480</v>
      </c>
      <c r="L13" s="400">
        <v>1</v>
      </c>
      <c r="M13" s="400">
        <v>580</v>
      </c>
      <c r="N13" s="400"/>
      <c r="O13" s="400"/>
      <c r="P13" s="424"/>
      <c r="Q13" s="425"/>
    </row>
    <row r="14" spans="1:17" ht="14.4" customHeight="1" x14ac:dyDescent="0.3">
      <c r="A14" s="399" t="s">
        <v>386</v>
      </c>
      <c r="B14" s="423" t="s">
        <v>335</v>
      </c>
      <c r="C14" s="423" t="s">
        <v>336</v>
      </c>
      <c r="D14" s="423" t="s">
        <v>339</v>
      </c>
      <c r="E14" s="423" t="s">
        <v>340</v>
      </c>
      <c r="F14" s="400">
        <v>100</v>
      </c>
      <c r="G14" s="400">
        <v>32300</v>
      </c>
      <c r="H14" s="400">
        <v>1.2615216372441806</v>
      </c>
      <c r="I14" s="400">
        <v>323</v>
      </c>
      <c r="J14" s="400">
        <v>74</v>
      </c>
      <c r="K14" s="400">
        <v>25604</v>
      </c>
      <c r="L14" s="400">
        <v>1</v>
      </c>
      <c r="M14" s="400">
        <v>346</v>
      </c>
      <c r="N14" s="400">
        <v>28</v>
      </c>
      <c r="O14" s="400">
        <v>9716</v>
      </c>
      <c r="P14" s="424">
        <v>0.37947195750663959</v>
      </c>
      <c r="Q14" s="425">
        <v>347</v>
      </c>
    </row>
    <row r="15" spans="1:17" ht="14.4" customHeight="1" x14ac:dyDescent="0.3">
      <c r="A15" s="399" t="s">
        <v>387</v>
      </c>
      <c r="B15" s="423" t="s">
        <v>335</v>
      </c>
      <c r="C15" s="423" t="s">
        <v>336</v>
      </c>
      <c r="D15" s="423" t="s">
        <v>339</v>
      </c>
      <c r="E15" s="423" t="s">
        <v>340</v>
      </c>
      <c r="F15" s="400">
        <v>24</v>
      </c>
      <c r="G15" s="400">
        <v>7752</v>
      </c>
      <c r="H15" s="400">
        <v>5.601156069364162</v>
      </c>
      <c r="I15" s="400">
        <v>323</v>
      </c>
      <c r="J15" s="400">
        <v>4</v>
      </c>
      <c r="K15" s="400">
        <v>1384</v>
      </c>
      <c r="L15" s="400">
        <v>1</v>
      </c>
      <c r="M15" s="400">
        <v>346</v>
      </c>
      <c r="N15" s="400">
        <v>8</v>
      </c>
      <c r="O15" s="400">
        <v>2776</v>
      </c>
      <c r="P15" s="424">
        <v>2.0057803468208091</v>
      </c>
      <c r="Q15" s="425">
        <v>347</v>
      </c>
    </row>
    <row r="16" spans="1:17" ht="14.4" customHeight="1" x14ac:dyDescent="0.3">
      <c r="A16" s="399" t="s">
        <v>388</v>
      </c>
      <c r="B16" s="423" t="s">
        <v>335</v>
      </c>
      <c r="C16" s="423" t="s">
        <v>336</v>
      </c>
      <c r="D16" s="423" t="s">
        <v>339</v>
      </c>
      <c r="E16" s="423" t="s">
        <v>340</v>
      </c>
      <c r="F16" s="400"/>
      <c r="G16" s="400"/>
      <c r="H16" s="400"/>
      <c r="I16" s="400"/>
      <c r="J16" s="400">
        <v>3</v>
      </c>
      <c r="K16" s="400">
        <v>1038</v>
      </c>
      <c r="L16" s="400">
        <v>1</v>
      </c>
      <c r="M16" s="400">
        <v>346</v>
      </c>
      <c r="N16" s="400">
        <v>4</v>
      </c>
      <c r="O16" s="400">
        <v>1388</v>
      </c>
      <c r="P16" s="424">
        <v>1.3371868978805395</v>
      </c>
      <c r="Q16" s="425">
        <v>347</v>
      </c>
    </row>
    <row r="17" spans="1:17" ht="14.4" customHeight="1" x14ac:dyDescent="0.3">
      <c r="A17" s="399" t="s">
        <v>388</v>
      </c>
      <c r="B17" s="423" t="s">
        <v>335</v>
      </c>
      <c r="C17" s="423" t="s">
        <v>336</v>
      </c>
      <c r="D17" s="423" t="s">
        <v>343</v>
      </c>
      <c r="E17" s="423" t="s">
        <v>344</v>
      </c>
      <c r="F17" s="400"/>
      <c r="G17" s="400"/>
      <c r="H17" s="400"/>
      <c r="I17" s="400"/>
      <c r="J17" s="400"/>
      <c r="K17" s="400"/>
      <c r="L17" s="400"/>
      <c r="M17" s="400"/>
      <c r="N17" s="400">
        <v>6</v>
      </c>
      <c r="O17" s="400">
        <v>2082</v>
      </c>
      <c r="P17" s="424"/>
      <c r="Q17" s="425">
        <v>347</v>
      </c>
    </row>
    <row r="18" spans="1:17" ht="14.4" customHeight="1" x14ac:dyDescent="0.3">
      <c r="A18" s="399" t="s">
        <v>389</v>
      </c>
      <c r="B18" s="423" t="s">
        <v>335</v>
      </c>
      <c r="C18" s="423" t="s">
        <v>336</v>
      </c>
      <c r="D18" s="423" t="s">
        <v>339</v>
      </c>
      <c r="E18" s="423" t="s">
        <v>340</v>
      </c>
      <c r="F18" s="400">
        <v>216</v>
      </c>
      <c r="G18" s="400">
        <v>69768</v>
      </c>
      <c r="H18" s="400">
        <v>0.76962449808057187</v>
      </c>
      <c r="I18" s="400">
        <v>323</v>
      </c>
      <c r="J18" s="400">
        <v>262</v>
      </c>
      <c r="K18" s="400">
        <v>90652</v>
      </c>
      <c r="L18" s="400">
        <v>1</v>
      </c>
      <c r="M18" s="400">
        <v>346</v>
      </c>
      <c r="N18" s="400">
        <v>216</v>
      </c>
      <c r="O18" s="400">
        <v>74952</v>
      </c>
      <c r="P18" s="424">
        <v>0.82681021930018095</v>
      </c>
      <c r="Q18" s="425">
        <v>347</v>
      </c>
    </row>
    <row r="19" spans="1:17" ht="14.4" customHeight="1" x14ac:dyDescent="0.3">
      <c r="A19" s="399" t="s">
        <v>389</v>
      </c>
      <c r="B19" s="423" t="s">
        <v>335</v>
      </c>
      <c r="C19" s="423" t="s">
        <v>336</v>
      </c>
      <c r="D19" s="423" t="s">
        <v>343</v>
      </c>
      <c r="E19" s="423" t="s">
        <v>344</v>
      </c>
      <c r="F19" s="400">
        <v>252</v>
      </c>
      <c r="G19" s="400">
        <v>81396</v>
      </c>
      <c r="H19" s="400">
        <v>0.93352601156069359</v>
      </c>
      <c r="I19" s="400">
        <v>323</v>
      </c>
      <c r="J19" s="400">
        <v>252</v>
      </c>
      <c r="K19" s="400">
        <v>87192</v>
      </c>
      <c r="L19" s="400">
        <v>1</v>
      </c>
      <c r="M19" s="400">
        <v>346</v>
      </c>
      <c r="N19" s="400">
        <v>124</v>
      </c>
      <c r="O19" s="400">
        <v>43028</v>
      </c>
      <c r="P19" s="424">
        <v>0.49348564088448482</v>
      </c>
      <c r="Q19" s="425">
        <v>347</v>
      </c>
    </row>
    <row r="20" spans="1:17" ht="14.4" customHeight="1" x14ac:dyDescent="0.3">
      <c r="A20" s="399" t="s">
        <v>390</v>
      </c>
      <c r="B20" s="423" t="s">
        <v>335</v>
      </c>
      <c r="C20" s="423" t="s">
        <v>336</v>
      </c>
      <c r="D20" s="423" t="s">
        <v>339</v>
      </c>
      <c r="E20" s="423" t="s">
        <v>340</v>
      </c>
      <c r="F20" s="400"/>
      <c r="G20" s="400"/>
      <c r="H20" s="400"/>
      <c r="I20" s="400"/>
      <c r="J20" s="400">
        <v>4</v>
      </c>
      <c r="K20" s="400">
        <v>1384</v>
      </c>
      <c r="L20" s="400">
        <v>1</v>
      </c>
      <c r="M20" s="400">
        <v>346</v>
      </c>
      <c r="N20" s="400"/>
      <c r="O20" s="400"/>
      <c r="P20" s="424"/>
      <c r="Q20" s="425"/>
    </row>
    <row r="21" spans="1:17" ht="14.4" customHeight="1" x14ac:dyDescent="0.3">
      <c r="A21" s="399" t="s">
        <v>391</v>
      </c>
      <c r="B21" s="423" t="s">
        <v>335</v>
      </c>
      <c r="C21" s="423" t="s">
        <v>336</v>
      </c>
      <c r="D21" s="423" t="s">
        <v>337</v>
      </c>
      <c r="E21" s="423" t="s">
        <v>338</v>
      </c>
      <c r="F21" s="400">
        <v>2</v>
      </c>
      <c r="G21" s="400">
        <v>140</v>
      </c>
      <c r="H21" s="400">
        <v>0.94594594594594594</v>
      </c>
      <c r="I21" s="400">
        <v>70</v>
      </c>
      <c r="J21" s="400">
        <v>2</v>
      </c>
      <c r="K21" s="400">
        <v>148</v>
      </c>
      <c r="L21" s="400">
        <v>1</v>
      </c>
      <c r="M21" s="400">
        <v>74</v>
      </c>
      <c r="N21" s="400"/>
      <c r="O21" s="400"/>
      <c r="P21" s="424"/>
      <c r="Q21" s="425"/>
    </row>
    <row r="22" spans="1:17" ht="14.4" customHeight="1" x14ac:dyDescent="0.3">
      <c r="A22" s="399" t="s">
        <v>391</v>
      </c>
      <c r="B22" s="423" t="s">
        <v>335</v>
      </c>
      <c r="C22" s="423" t="s">
        <v>336</v>
      </c>
      <c r="D22" s="423" t="s">
        <v>339</v>
      </c>
      <c r="E22" s="423" t="s">
        <v>340</v>
      </c>
      <c r="F22" s="400">
        <v>167</v>
      </c>
      <c r="G22" s="400">
        <v>53941</v>
      </c>
      <c r="H22" s="400">
        <v>0.56690488702049391</v>
      </c>
      <c r="I22" s="400">
        <v>323</v>
      </c>
      <c r="J22" s="400">
        <v>275</v>
      </c>
      <c r="K22" s="400">
        <v>95150</v>
      </c>
      <c r="L22" s="400">
        <v>1</v>
      </c>
      <c r="M22" s="400">
        <v>346</v>
      </c>
      <c r="N22" s="400">
        <v>407</v>
      </c>
      <c r="O22" s="400">
        <v>141229</v>
      </c>
      <c r="P22" s="424">
        <v>1.4842774566473989</v>
      </c>
      <c r="Q22" s="425">
        <v>347</v>
      </c>
    </row>
    <row r="23" spans="1:17" ht="14.4" customHeight="1" x14ac:dyDescent="0.3">
      <c r="A23" s="399" t="s">
        <v>391</v>
      </c>
      <c r="B23" s="423" t="s">
        <v>335</v>
      </c>
      <c r="C23" s="423" t="s">
        <v>336</v>
      </c>
      <c r="D23" s="423" t="s">
        <v>341</v>
      </c>
      <c r="E23" s="423" t="s">
        <v>342</v>
      </c>
      <c r="F23" s="400">
        <v>107</v>
      </c>
      <c r="G23" s="400">
        <v>34561</v>
      </c>
      <c r="H23" s="400">
        <v>1.5367274344152957</v>
      </c>
      <c r="I23" s="400">
        <v>323</v>
      </c>
      <c r="J23" s="400">
        <v>65</v>
      </c>
      <c r="K23" s="400">
        <v>22490</v>
      </c>
      <c r="L23" s="400">
        <v>1</v>
      </c>
      <c r="M23" s="400">
        <v>346</v>
      </c>
      <c r="N23" s="400">
        <v>145</v>
      </c>
      <c r="O23" s="400">
        <v>50315</v>
      </c>
      <c r="P23" s="424">
        <v>2.2372165406847486</v>
      </c>
      <c r="Q23" s="425">
        <v>347</v>
      </c>
    </row>
    <row r="24" spans="1:17" ht="14.4" customHeight="1" x14ac:dyDescent="0.3">
      <c r="A24" s="399" t="s">
        <v>391</v>
      </c>
      <c r="B24" s="423" t="s">
        <v>335</v>
      </c>
      <c r="C24" s="423" t="s">
        <v>336</v>
      </c>
      <c r="D24" s="423" t="s">
        <v>343</v>
      </c>
      <c r="E24" s="423" t="s">
        <v>344</v>
      </c>
      <c r="F24" s="400">
        <v>104</v>
      </c>
      <c r="G24" s="400">
        <v>33592</v>
      </c>
      <c r="H24" s="400">
        <v>1.8670520231213872</v>
      </c>
      <c r="I24" s="400">
        <v>323</v>
      </c>
      <c r="J24" s="400">
        <v>52</v>
      </c>
      <c r="K24" s="400">
        <v>17992</v>
      </c>
      <c r="L24" s="400">
        <v>1</v>
      </c>
      <c r="M24" s="400">
        <v>346</v>
      </c>
      <c r="N24" s="400"/>
      <c r="O24" s="400"/>
      <c r="P24" s="424"/>
      <c r="Q24" s="425"/>
    </row>
    <row r="25" spans="1:17" ht="14.4" customHeight="1" x14ac:dyDescent="0.3">
      <c r="A25" s="399" t="s">
        <v>391</v>
      </c>
      <c r="B25" s="423" t="s">
        <v>335</v>
      </c>
      <c r="C25" s="423" t="s">
        <v>336</v>
      </c>
      <c r="D25" s="423" t="s">
        <v>347</v>
      </c>
      <c r="E25" s="423" t="s">
        <v>348</v>
      </c>
      <c r="F25" s="400"/>
      <c r="G25" s="400"/>
      <c r="H25" s="400"/>
      <c r="I25" s="400"/>
      <c r="J25" s="400">
        <v>6</v>
      </c>
      <c r="K25" s="400">
        <v>3480</v>
      </c>
      <c r="L25" s="400">
        <v>1</v>
      </c>
      <c r="M25" s="400">
        <v>580</v>
      </c>
      <c r="N25" s="400">
        <v>1</v>
      </c>
      <c r="O25" s="400">
        <v>580</v>
      </c>
      <c r="P25" s="424">
        <v>0.16666666666666666</v>
      </c>
      <c r="Q25" s="425">
        <v>580</v>
      </c>
    </row>
    <row r="26" spans="1:17" ht="14.4" customHeight="1" x14ac:dyDescent="0.3">
      <c r="A26" s="399" t="s">
        <v>391</v>
      </c>
      <c r="B26" s="423" t="s">
        <v>335</v>
      </c>
      <c r="C26" s="423" t="s">
        <v>336</v>
      </c>
      <c r="D26" s="423" t="s">
        <v>349</v>
      </c>
      <c r="E26" s="423" t="s">
        <v>350</v>
      </c>
      <c r="F26" s="400">
        <v>51</v>
      </c>
      <c r="G26" s="400">
        <v>27897</v>
      </c>
      <c r="H26" s="400">
        <v>1.7148389476272436</v>
      </c>
      <c r="I26" s="400">
        <v>547</v>
      </c>
      <c r="J26" s="400">
        <v>28</v>
      </c>
      <c r="K26" s="400">
        <v>16268</v>
      </c>
      <c r="L26" s="400">
        <v>1</v>
      </c>
      <c r="M26" s="400">
        <v>581</v>
      </c>
      <c r="N26" s="400">
        <v>67</v>
      </c>
      <c r="O26" s="400">
        <v>38927</v>
      </c>
      <c r="P26" s="424">
        <v>2.3928571428571428</v>
      </c>
      <c r="Q26" s="425">
        <v>581</v>
      </c>
    </row>
    <row r="27" spans="1:17" ht="14.4" customHeight="1" x14ac:dyDescent="0.3">
      <c r="A27" s="399" t="s">
        <v>391</v>
      </c>
      <c r="B27" s="423" t="s">
        <v>335</v>
      </c>
      <c r="C27" s="423" t="s">
        <v>336</v>
      </c>
      <c r="D27" s="423" t="s">
        <v>353</v>
      </c>
      <c r="E27" s="423" t="s">
        <v>354</v>
      </c>
      <c r="F27" s="400">
        <v>4</v>
      </c>
      <c r="G27" s="400">
        <v>2188</v>
      </c>
      <c r="H27" s="400">
        <v>1.25530694205393</v>
      </c>
      <c r="I27" s="400">
        <v>547</v>
      </c>
      <c r="J27" s="400">
        <v>3</v>
      </c>
      <c r="K27" s="400">
        <v>1743</v>
      </c>
      <c r="L27" s="400">
        <v>1</v>
      </c>
      <c r="M27" s="400">
        <v>581</v>
      </c>
      <c r="N27" s="400">
        <v>2</v>
      </c>
      <c r="O27" s="400">
        <v>1162</v>
      </c>
      <c r="P27" s="424">
        <v>0.66666666666666663</v>
      </c>
      <c r="Q27" s="425">
        <v>581</v>
      </c>
    </row>
    <row r="28" spans="1:17" ht="14.4" customHeight="1" x14ac:dyDescent="0.3">
      <c r="A28" s="399" t="s">
        <v>392</v>
      </c>
      <c r="B28" s="423" t="s">
        <v>335</v>
      </c>
      <c r="C28" s="423" t="s">
        <v>336</v>
      </c>
      <c r="D28" s="423" t="s">
        <v>339</v>
      </c>
      <c r="E28" s="423" t="s">
        <v>340</v>
      </c>
      <c r="F28" s="400">
        <v>48</v>
      </c>
      <c r="G28" s="400">
        <v>15504</v>
      </c>
      <c r="H28" s="400">
        <v>3.7341040462427744</v>
      </c>
      <c r="I28" s="400">
        <v>323</v>
      </c>
      <c r="J28" s="400">
        <v>12</v>
      </c>
      <c r="K28" s="400">
        <v>4152</v>
      </c>
      <c r="L28" s="400">
        <v>1</v>
      </c>
      <c r="M28" s="400">
        <v>346</v>
      </c>
      <c r="N28" s="400">
        <v>60</v>
      </c>
      <c r="O28" s="400">
        <v>20820</v>
      </c>
      <c r="P28" s="424">
        <v>5.0144508670520231</v>
      </c>
      <c r="Q28" s="425">
        <v>347</v>
      </c>
    </row>
    <row r="29" spans="1:17" ht="14.4" customHeight="1" x14ac:dyDescent="0.3">
      <c r="A29" s="399" t="s">
        <v>393</v>
      </c>
      <c r="B29" s="423" t="s">
        <v>335</v>
      </c>
      <c r="C29" s="423" t="s">
        <v>336</v>
      </c>
      <c r="D29" s="423" t="s">
        <v>339</v>
      </c>
      <c r="E29" s="423" t="s">
        <v>340</v>
      </c>
      <c r="F29" s="400">
        <v>16</v>
      </c>
      <c r="G29" s="400">
        <v>5168</v>
      </c>
      <c r="H29" s="400">
        <v>0.74682080924855487</v>
      </c>
      <c r="I29" s="400">
        <v>323</v>
      </c>
      <c r="J29" s="400">
        <v>20</v>
      </c>
      <c r="K29" s="400">
        <v>6920</v>
      </c>
      <c r="L29" s="400">
        <v>1</v>
      </c>
      <c r="M29" s="400">
        <v>346</v>
      </c>
      <c r="N29" s="400">
        <v>16</v>
      </c>
      <c r="O29" s="400">
        <v>5552</v>
      </c>
      <c r="P29" s="424">
        <v>0.80231213872832374</v>
      </c>
      <c r="Q29" s="425">
        <v>347</v>
      </c>
    </row>
    <row r="30" spans="1:17" ht="14.4" customHeight="1" x14ac:dyDescent="0.3">
      <c r="A30" s="399" t="s">
        <v>394</v>
      </c>
      <c r="B30" s="423" t="s">
        <v>335</v>
      </c>
      <c r="C30" s="423" t="s">
        <v>336</v>
      </c>
      <c r="D30" s="423" t="s">
        <v>339</v>
      </c>
      <c r="E30" s="423" t="s">
        <v>340</v>
      </c>
      <c r="F30" s="400">
        <v>64</v>
      </c>
      <c r="G30" s="400">
        <v>20672</v>
      </c>
      <c r="H30" s="400">
        <v>0.93352601156069359</v>
      </c>
      <c r="I30" s="400">
        <v>323</v>
      </c>
      <c r="J30" s="400">
        <v>64</v>
      </c>
      <c r="K30" s="400">
        <v>22144</v>
      </c>
      <c r="L30" s="400">
        <v>1</v>
      </c>
      <c r="M30" s="400">
        <v>346</v>
      </c>
      <c r="N30" s="400"/>
      <c r="O30" s="400"/>
      <c r="P30" s="424"/>
      <c r="Q30" s="425"/>
    </row>
    <row r="31" spans="1:17" ht="14.4" customHeight="1" x14ac:dyDescent="0.3">
      <c r="A31" s="399" t="s">
        <v>395</v>
      </c>
      <c r="B31" s="423" t="s">
        <v>335</v>
      </c>
      <c r="C31" s="423" t="s">
        <v>336</v>
      </c>
      <c r="D31" s="423" t="s">
        <v>339</v>
      </c>
      <c r="E31" s="423" t="s">
        <v>340</v>
      </c>
      <c r="F31" s="400">
        <v>644</v>
      </c>
      <c r="G31" s="400">
        <v>208012</v>
      </c>
      <c r="H31" s="400">
        <v>2.5691912454918233</v>
      </c>
      <c r="I31" s="400">
        <v>323</v>
      </c>
      <c r="J31" s="400">
        <v>234</v>
      </c>
      <c r="K31" s="400">
        <v>80964</v>
      </c>
      <c r="L31" s="400">
        <v>1</v>
      </c>
      <c r="M31" s="400">
        <v>346</v>
      </c>
      <c r="N31" s="400">
        <v>156</v>
      </c>
      <c r="O31" s="400">
        <v>54132</v>
      </c>
      <c r="P31" s="424">
        <v>0.66859344894026973</v>
      </c>
      <c r="Q31" s="425">
        <v>347</v>
      </c>
    </row>
    <row r="32" spans="1:17" ht="14.4" customHeight="1" x14ac:dyDescent="0.3">
      <c r="A32" s="399" t="s">
        <v>395</v>
      </c>
      <c r="B32" s="423" t="s">
        <v>335</v>
      </c>
      <c r="C32" s="423" t="s">
        <v>336</v>
      </c>
      <c r="D32" s="423" t="s">
        <v>341</v>
      </c>
      <c r="E32" s="423" t="s">
        <v>342</v>
      </c>
      <c r="F32" s="400"/>
      <c r="G32" s="400"/>
      <c r="H32" s="400"/>
      <c r="I32" s="400"/>
      <c r="J32" s="400"/>
      <c r="K32" s="400"/>
      <c r="L32" s="400"/>
      <c r="M32" s="400"/>
      <c r="N32" s="400">
        <v>5</v>
      </c>
      <c r="O32" s="400">
        <v>1735</v>
      </c>
      <c r="P32" s="424"/>
      <c r="Q32" s="425">
        <v>347</v>
      </c>
    </row>
    <row r="33" spans="1:17" ht="14.4" customHeight="1" x14ac:dyDescent="0.3">
      <c r="A33" s="399" t="s">
        <v>395</v>
      </c>
      <c r="B33" s="423" t="s">
        <v>335</v>
      </c>
      <c r="C33" s="423" t="s">
        <v>336</v>
      </c>
      <c r="D33" s="423" t="s">
        <v>347</v>
      </c>
      <c r="E33" s="423" t="s">
        <v>348</v>
      </c>
      <c r="F33" s="400">
        <v>9</v>
      </c>
      <c r="G33" s="400">
        <v>4914</v>
      </c>
      <c r="H33" s="400">
        <v>0.18418290854572714</v>
      </c>
      <c r="I33" s="400">
        <v>546</v>
      </c>
      <c r="J33" s="400">
        <v>46</v>
      </c>
      <c r="K33" s="400">
        <v>26680</v>
      </c>
      <c r="L33" s="400">
        <v>1</v>
      </c>
      <c r="M33" s="400">
        <v>580</v>
      </c>
      <c r="N33" s="400">
        <v>12</v>
      </c>
      <c r="O33" s="400">
        <v>6960</v>
      </c>
      <c r="P33" s="424">
        <v>0.2608695652173913</v>
      </c>
      <c r="Q33" s="425">
        <v>580</v>
      </c>
    </row>
    <row r="34" spans="1:17" ht="14.4" customHeight="1" x14ac:dyDescent="0.3">
      <c r="A34" s="399" t="s">
        <v>395</v>
      </c>
      <c r="B34" s="423" t="s">
        <v>335</v>
      </c>
      <c r="C34" s="423" t="s">
        <v>336</v>
      </c>
      <c r="D34" s="423" t="s">
        <v>355</v>
      </c>
      <c r="E34" s="423" t="s">
        <v>356</v>
      </c>
      <c r="F34" s="400"/>
      <c r="G34" s="400"/>
      <c r="H34" s="400"/>
      <c r="I34" s="400"/>
      <c r="J34" s="400"/>
      <c r="K34" s="400"/>
      <c r="L34" s="400"/>
      <c r="M34" s="400"/>
      <c r="N34" s="400">
        <v>6</v>
      </c>
      <c r="O34" s="400">
        <v>3480</v>
      </c>
      <c r="P34" s="424"/>
      <c r="Q34" s="425">
        <v>580</v>
      </c>
    </row>
    <row r="35" spans="1:17" ht="14.4" customHeight="1" x14ac:dyDescent="0.3">
      <c r="A35" s="399" t="s">
        <v>396</v>
      </c>
      <c r="B35" s="423" t="s">
        <v>335</v>
      </c>
      <c r="C35" s="423" t="s">
        <v>336</v>
      </c>
      <c r="D35" s="423" t="s">
        <v>339</v>
      </c>
      <c r="E35" s="423" t="s">
        <v>340</v>
      </c>
      <c r="F35" s="400">
        <v>46</v>
      </c>
      <c r="G35" s="400">
        <v>14858</v>
      </c>
      <c r="H35" s="400">
        <v>7.1570327552986512</v>
      </c>
      <c r="I35" s="400">
        <v>323</v>
      </c>
      <c r="J35" s="400">
        <v>6</v>
      </c>
      <c r="K35" s="400">
        <v>2076</v>
      </c>
      <c r="L35" s="400">
        <v>1</v>
      </c>
      <c r="M35" s="400">
        <v>346</v>
      </c>
      <c r="N35" s="400">
        <v>17</v>
      </c>
      <c r="O35" s="400">
        <v>5899</v>
      </c>
      <c r="P35" s="424">
        <v>2.8415221579961463</v>
      </c>
      <c r="Q35" s="425">
        <v>347</v>
      </c>
    </row>
    <row r="36" spans="1:17" ht="14.4" customHeight="1" x14ac:dyDescent="0.3">
      <c r="A36" s="399" t="s">
        <v>396</v>
      </c>
      <c r="B36" s="423" t="s">
        <v>335</v>
      </c>
      <c r="C36" s="423" t="s">
        <v>336</v>
      </c>
      <c r="D36" s="423" t="s">
        <v>347</v>
      </c>
      <c r="E36" s="423" t="s">
        <v>348</v>
      </c>
      <c r="F36" s="400">
        <v>380</v>
      </c>
      <c r="G36" s="400">
        <v>207480</v>
      </c>
      <c r="H36" s="400">
        <v>0.91256157635467983</v>
      </c>
      <c r="I36" s="400">
        <v>546</v>
      </c>
      <c r="J36" s="400">
        <v>392</v>
      </c>
      <c r="K36" s="400">
        <v>227360</v>
      </c>
      <c r="L36" s="400">
        <v>1</v>
      </c>
      <c r="M36" s="400">
        <v>580</v>
      </c>
      <c r="N36" s="400">
        <v>280</v>
      </c>
      <c r="O36" s="400">
        <v>162400</v>
      </c>
      <c r="P36" s="424">
        <v>0.7142857142857143</v>
      </c>
      <c r="Q36" s="425">
        <v>580</v>
      </c>
    </row>
    <row r="37" spans="1:17" ht="14.4" customHeight="1" x14ac:dyDescent="0.3">
      <c r="A37" s="399" t="s">
        <v>396</v>
      </c>
      <c r="B37" s="423" t="s">
        <v>335</v>
      </c>
      <c r="C37" s="423" t="s">
        <v>336</v>
      </c>
      <c r="D37" s="423" t="s">
        <v>355</v>
      </c>
      <c r="E37" s="423" t="s">
        <v>356</v>
      </c>
      <c r="F37" s="400">
        <v>48</v>
      </c>
      <c r="G37" s="400">
        <v>26208</v>
      </c>
      <c r="H37" s="400">
        <v>1.2551724137931035</v>
      </c>
      <c r="I37" s="400">
        <v>546</v>
      </c>
      <c r="J37" s="400">
        <v>36</v>
      </c>
      <c r="K37" s="400">
        <v>20880</v>
      </c>
      <c r="L37" s="400">
        <v>1</v>
      </c>
      <c r="M37" s="400">
        <v>580</v>
      </c>
      <c r="N37" s="400">
        <v>8</v>
      </c>
      <c r="O37" s="400">
        <v>4640</v>
      </c>
      <c r="P37" s="424">
        <v>0.22222222222222221</v>
      </c>
      <c r="Q37" s="425">
        <v>580</v>
      </c>
    </row>
    <row r="38" spans="1:17" ht="14.4" customHeight="1" x14ac:dyDescent="0.3">
      <c r="A38" s="399" t="s">
        <v>396</v>
      </c>
      <c r="B38" s="423" t="s">
        <v>335</v>
      </c>
      <c r="C38" s="423" t="s">
        <v>336</v>
      </c>
      <c r="D38" s="423" t="s">
        <v>397</v>
      </c>
      <c r="E38" s="423" t="s">
        <v>398</v>
      </c>
      <c r="F38" s="400">
        <v>12</v>
      </c>
      <c r="G38" s="400">
        <v>3276</v>
      </c>
      <c r="H38" s="400"/>
      <c r="I38" s="400">
        <v>273</v>
      </c>
      <c r="J38" s="400"/>
      <c r="K38" s="400"/>
      <c r="L38" s="400"/>
      <c r="M38" s="400"/>
      <c r="N38" s="400">
        <v>12</v>
      </c>
      <c r="O38" s="400">
        <v>3492</v>
      </c>
      <c r="P38" s="424"/>
      <c r="Q38" s="425">
        <v>291</v>
      </c>
    </row>
    <row r="39" spans="1:17" ht="14.4" customHeight="1" x14ac:dyDescent="0.3">
      <c r="A39" s="399" t="s">
        <v>399</v>
      </c>
      <c r="B39" s="423" t="s">
        <v>335</v>
      </c>
      <c r="C39" s="423" t="s">
        <v>336</v>
      </c>
      <c r="D39" s="423" t="s">
        <v>339</v>
      </c>
      <c r="E39" s="423" t="s">
        <v>340</v>
      </c>
      <c r="F39" s="400">
        <v>5</v>
      </c>
      <c r="G39" s="400">
        <v>1615</v>
      </c>
      <c r="H39" s="400"/>
      <c r="I39" s="400">
        <v>323</v>
      </c>
      <c r="J39" s="400"/>
      <c r="K39" s="400"/>
      <c r="L39" s="400"/>
      <c r="M39" s="400"/>
      <c r="N39" s="400">
        <v>4</v>
      </c>
      <c r="O39" s="400">
        <v>1388</v>
      </c>
      <c r="P39" s="424"/>
      <c r="Q39" s="425">
        <v>347</v>
      </c>
    </row>
    <row r="40" spans="1:17" ht="14.4" customHeight="1" x14ac:dyDescent="0.3">
      <c r="A40" s="399" t="s">
        <v>399</v>
      </c>
      <c r="B40" s="423" t="s">
        <v>335</v>
      </c>
      <c r="C40" s="423" t="s">
        <v>336</v>
      </c>
      <c r="D40" s="423" t="s">
        <v>343</v>
      </c>
      <c r="E40" s="423" t="s">
        <v>344</v>
      </c>
      <c r="F40" s="400"/>
      <c r="G40" s="400"/>
      <c r="H40" s="400"/>
      <c r="I40" s="400"/>
      <c r="J40" s="400">
        <v>4</v>
      </c>
      <c r="K40" s="400">
        <v>1384</v>
      </c>
      <c r="L40" s="400">
        <v>1</v>
      </c>
      <c r="M40" s="400">
        <v>346</v>
      </c>
      <c r="N40" s="400">
        <v>6</v>
      </c>
      <c r="O40" s="400">
        <v>2082</v>
      </c>
      <c r="P40" s="424">
        <v>1.504335260115607</v>
      </c>
      <c r="Q40" s="425">
        <v>347</v>
      </c>
    </row>
    <row r="41" spans="1:17" ht="14.4" customHeight="1" x14ac:dyDescent="0.3">
      <c r="A41" s="399" t="s">
        <v>399</v>
      </c>
      <c r="B41" s="423" t="s">
        <v>335</v>
      </c>
      <c r="C41" s="423" t="s">
        <v>336</v>
      </c>
      <c r="D41" s="423" t="s">
        <v>355</v>
      </c>
      <c r="E41" s="423" t="s">
        <v>356</v>
      </c>
      <c r="F41" s="400">
        <v>24</v>
      </c>
      <c r="G41" s="400">
        <v>13104</v>
      </c>
      <c r="H41" s="400"/>
      <c r="I41" s="400">
        <v>546</v>
      </c>
      <c r="J41" s="400"/>
      <c r="K41" s="400"/>
      <c r="L41" s="400"/>
      <c r="M41" s="400"/>
      <c r="N41" s="400"/>
      <c r="O41" s="400"/>
      <c r="P41" s="424"/>
      <c r="Q41" s="425"/>
    </row>
    <row r="42" spans="1:17" ht="14.4" customHeight="1" x14ac:dyDescent="0.3">
      <c r="A42" s="399" t="s">
        <v>400</v>
      </c>
      <c r="B42" s="423" t="s">
        <v>335</v>
      </c>
      <c r="C42" s="423" t="s">
        <v>336</v>
      </c>
      <c r="D42" s="423" t="s">
        <v>339</v>
      </c>
      <c r="E42" s="423" t="s">
        <v>340</v>
      </c>
      <c r="F42" s="400">
        <v>20</v>
      </c>
      <c r="G42" s="400">
        <v>6460</v>
      </c>
      <c r="H42" s="400">
        <v>0.54913294797687862</v>
      </c>
      <c r="I42" s="400">
        <v>323</v>
      </c>
      <c r="J42" s="400">
        <v>34</v>
      </c>
      <c r="K42" s="400">
        <v>11764</v>
      </c>
      <c r="L42" s="400">
        <v>1</v>
      </c>
      <c r="M42" s="400">
        <v>346</v>
      </c>
      <c r="N42" s="400"/>
      <c r="O42" s="400"/>
      <c r="P42" s="424"/>
      <c r="Q42" s="425"/>
    </row>
    <row r="43" spans="1:17" ht="14.4" customHeight="1" x14ac:dyDescent="0.3">
      <c r="A43" s="399" t="s">
        <v>400</v>
      </c>
      <c r="B43" s="423" t="s">
        <v>335</v>
      </c>
      <c r="C43" s="423" t="s">
        <v>336</v>
      </c>
      <c r="D43" s="423" t="s">
        <v>349</v>
      </c>
      <c r="E43" s="423" t="s">
        <v>350</v>
      </c>
      <c r="F43" s="400"/>
      <c r="G43" s="400"/>
      <c r="H43" s="400"/>
      <c r="I43" s="400"/>
      <c r="J43" s="400">
        <v>6</v>
      </c>
      <c r="K43" s="400">
        <v>3486</v>
      </c>
      <c r="L43" s="400">
        <v>1</v>
      </c>
      <c r="M43" s="400">
        <v>581</v>
      </c>
      <c r="N43" s="400"/>
      <c r="O43" s="400"/>
      <c r="P43" s="424"/>
      <c r="Q43" s="425"/>
    </row>
    <row r="44" spans="1:17" ht="14.4" customHeight="1" x14ac:dyDescent="0.3">
      <c r="A44" s="399" t="s">
        <v>401</v>
      </c>
      <c r="B44" s="423" t="s">
        <v>335</v>
      </c>
      <c r="C44" s="423" t="s">
        <v>336</v>
      </c>
      <c r="D44" s="423" t="s">
        <v>339</v>
      </c>
      <c r="E44" s="423" t="s">
        <v>340</v>
      </c>
      <c r="F44" s="400">
        <v>191</v>
      </c>
      <c r="G44" s="400">
        <v>61693</v>
      </c>
      <c r="H44" s="400">
        <v>0.38344831872708063</v>
      </c>
      <c r="I44" s="400">
        <v>323</v>
      </c>
      <c r="J44" s="400">
        <v>465</v>
      </c>
      <c r="K44" s="400">
        <v>160890</v>
      </c>
      <c r="L44" s="400">
        <v>1</v>
      </c>
      <c r="M44" s="400">
        <v>346</v>
      </c>
      <c r="N44" s="400">
        <v>242</v>
      </c>
      <c r="O44" s="400">
        <v>83974</v>
      </c>
      <c r="P44" s="424">
        <v>0.52193424078562989</v>
      </c>
      <c r="Q44" s="425">
        <v>347</v>
      </c>
    </row>
    <row r="45" spans="1:17" ht="14.4" customHeight="1" x14ac:dyDescent="0.3">
      <c r="A45" s="399" t="s">
        <v>401</v>
      </c>
      <c r="B45" s="423" t="s">
        <v>335</v>
      </c>
      <c r="C45" s="423" t="s">
        <v>336</v>
      </c>
      <c r="D45" s="423" t="s">
        <v>341</v>
      </c>
      <c r="E45" s="423" t="s">
        <v>342</v>
      </c>
      <c r="F45" s="400">
        <v>3</v>
      </c>
      <c r="G45" s="400">
        <v>969</v>
      </c>
      <c r="H45" s="400">
        <v>0.28005780346820808</v>
      </c>
      <c r="I45" s="400">
        <v>323</v>
      </c>
      <c r="J45" s="400">
        <v>10</v>
      </c>
      <c r="K45" s="400">
        <v>3460</v>
      </c>
      <c r="L45" s="400">
        <v>1</v>
      </c>
      <c r="M45" s="400">
        <v>346</v>
      </c>
      <c r="N45" s="400">
        <v>8</v>
      </c>
      <c r="O45" s="400">
        <v>2776</v>
      </c>
      <c r="P45" s="424">
        <v>0.80231213872832374</v>
      </c>
      <c r="Q45" s="425">
        <v>347</v>
      </c>
    </row>
    <row r="46" spans="1:17" ht="14.4" customHeight="1" x14ac:dyDescent="0.3">
      <c r="A46" s="399" t="s">
        <v>401</v>
      </c>
      <c r="B46" s="423" t="s">
        <v>335</v>
      </c>
      <c r="C46" s="423" t="s">
        <v>336</v>
      </c>
      <c r="D46" s="423" t="s">
        <v>343</v>
      </c>
      <c r="E46" s="423" t="s">
        <v>344</v>
      </c>
      <c r="F46" s="400">
        <v>7</v>
      </c>
      <c r="G46" s="400">
        <v>2261</v>
      </c>
      <c r="H46" s="400">
        <v>0.81683526011560692</v>
      </c>
      <c r="I46" s="400">
        <v>323</v>
      </c>
      <c r="J46" s="400">
        <v>8</v>
      </c>
      <c r="K46" s="400">
        <v>2768</v>
      </c>
      <c r="L46" s="400">
        <v>1</v>
      </c>
      <c r="M46" s="400">
        <v>346</v>
      </c>
      <c r="N46" s="400"/>
      <c r="O46" s="400"/>
      <c r="P46" s="424"/>
      <c r="Q46" s="425"/>
    </row>
    <row r="47" spans="1:17" ht="14.4" customHeight="1" x14ac:dyDescent="0.3">
      <c r="A47" s="399" t="s">
        <v>401</v>
      </c>
      <c r="B47" s="423" t="s">
        <v>335</v>
      </c>
      <c r="C47" s="423" t="s">
        <v>336</v>
      </c>
      <c r="D47" s="423" t="s">
        <v>347</v>
      </c>
      <c r="E47" s="423" t="s">
        <v>348</v>
      </c>
      <c r="F47" s="400"/>
      <c r="G47" s="400"/>
      <c r="H47" s="400"/>
      <c r="I47" s="400"/>
      <c r="J47" s="400"/>
      <c r="K47" s="400"/>
      <c r="L47" s="400"/>
      <c r="M47" s="400"/>
      <c r="N47" s="400">
        <v>8</v>
      </c>
      <c r="O47" s="400">
        <v>4640</v>
      </c>
      <c r="P47" s="424"/>
      <c r="Q47" s="425">
        <v>580</v>
      </c>
    </row>
    <row r="48" spans="1:17" ht="14.4" customHeight="1" x14ac:dyDescent="0.3">
      <c r="A48" s="399" t="s">
        <v>401</v>
      </c>
      <c r="B48" s="423" t="s">
        <v>335</v>
      </c>
      <c r="C48" s="423" t="s">
        <v>336</v>
      </c>
      <c r="D48" s="423" t="s">
        <v>402</v>
      </c>
      <c r="E48" s="423" t="s">
        <v>403</v>
      </c>
      <c r="F48" s="400">
        <v>2</v>
      </c>
      <c r="G48" s="400">
        <v>1290</v>
      </c>
      <c r="H48" s="400"/>
      <c r="I48" s="400">
        <v>645</v>
      </c>
      <c r="J48" s="400"/>
      <c r="K48" s="400"/>
      <c r="L48" s="400"/>
      <c r="M48" s="400"/>
      <c r="N48" s="400"/>
      <c r="O48" s="400"/>
      <c r="P48" s="424"/>
      <c r="Q48" s="425"/>
    </row>
    <row r="49" spans="1:17" ht="14.4" customHeight="1" x14ac:dyDescent="0.3">
      <c r="A49" s="399" t="s">
        <v>404</v>
      </c>
      <c r="B49" s="423" t="s">
        <v>335</v>
      </c>
      <c r="C49" s="423" t="s">
        <v>336</v>
      </c>
      <c r="D49" s="423" t="s">
        <v>339</v>
      </c>
      <c r="E49" s="423" t="s">
        <v>340</v>
      </c>
      <c r="F49" s="400">
        <v>32</v>
      </c>
      <c r="G49" s="400">
        <v>10336</v>
      </c>
      <c r="H49" s="400"/>
      <c r="I49" s="400">
        <v>323</v>
      </c>
      <c r="J49" s="400"/>
      <c r="K49" s="400"/>
      <c r="L49" s="400"/>
      <c r="M49" s="400"/>
      <c r="N49" s="400"/>
      <c r="O49" s="400"/>
      <c r="P49" s="424"/>
      <c r="Q49" s="425"/>
    </row>
    <row r="50" spans="1:17" ht="14.4" customHeight="1" x14ac:dyDescent="0.3">
      <c r="A50" s="399" t="s">
        <v>405</v>
      </c>
      <c r="B50" s="423" t="s">
        <v>335</v>
      </c>
      <c r="C50" s="423" t="s">
        <v>336</v>
      </c>
      <c r="D50" s="423" t="s">
        <v>337</v>
      </c>
      <c r="E50" s="423" t="s">
        <v>338</v>
      </c>
      <c r="F50" s="400"/>
      <c r="G50" s="400"/>
      <c r="H50" s="400"/>
      <c r="I50" s="400"/>
      <c r="J50" s="400"/>
      <c r="K50" s="400"/>
      <c r="L50" s="400"/>
      <c r="M50" s="400"/>
      <c r="N50" s="400">
        <v>2</v>
      </c>
      <c r="O50" s="400">
        <v>148</v>
      </c>
      <c r="P50" s="424"/>
      <c r="Q50" s="425">
        <v>74</v>
      </c>
    </row>
    <row r="51" spans="1:17" ht="14.4" customHeight="1" x14ac:dyDescent="0.3">
      <c r="A51" s="399" t="s">
        <v>405</v>
      </c>
      <c r="B51" s="423" t="s">
        <v>335</v>
      </c>
      <c r="C51" s="423" t="s">
        <v>336</v>
      </c>
      <c r="D51" s="423" t="s">
        <v>339</v>
      </c>
      <c r="E51" s="423" t="s">
        <v>340</v>
      </c>
      <c r="F51" s="400">
        <v>120</v>
      </c>
      <c r="G51" s="400">
        <v>38760</v>
      </c>
      <c r="H51" s="400">
        <v>0.57154653769022057</v>
      </c>
      <c r="I51" s="400">
        <v>323</v>
      </c>
      <c r="J51" s="400">
        <v>196</v>
      </c>
      <c r="K51" s="400">
        <v>67816</v>
      </c>
      <c r="L51" s="400">
        <v>1</v>
      </c>
      <c r="M51" s="400">
        <v>346</v>
      </c>
      <c r="N51" s="400">
        <v>432</v>
      </c>
      <c r="O51" s="400">
        <v>149904</v>
      </c>
      <c r="P51" s="424">
        <v>2.2104518107821165</v>
      </c>
      <c r="Q51" s="425">
        <v>347</v>
      </c>
    </row>
    <row r="52" spans="1:17" ht="14.4" customHeight="1" x14ac:dyDescent="0.3">
      <c r="A52" s="399" t="s">
        <v>405</v>
      </c>
      <c r="B52" s="423" t="s">
        <v>335</v>
      </c>
      <c r="C52" s="423" t="s">
        <v>336</v>
      </c>
      <c r="D52" s="423" t="s">
        <v>341</v>
      </c>
      <c r="E52" s="423" t="s">
        <v>342</v>
      </c>
      <c r="F52" s="400"/>
      <c r="G52" s="400"/>
      <c r="H52" s="400"/>
      <c r="I52" s="400"/>
      <c r="J52" s="400"/>
      <c r="K52" s="400"/>
      <c r="L52" s="400"/>
      <c r="M52" s="400"/>
      <c r="N52" s="400">
        <v>4</v>
      </c>
      <c r="O52" s="400">
        <v>1388</v>
      </c>
      <c r="P52" s="424"/>
      <c r="Q52" s="425">
        <v>347</v>
      </c>
    </row>
    <row r="53" spans="1:17" ht="14.4" customHeight="1" x14ac:dyDescent="0.3">
      <c r="A53" s="399" t="s">
        <v>405</v>
      </c>
      <c r="B53" s="423" t="s">
        <v>335</v>
      </c>
      <c r="C53" s="423" t="s">
        <v>336</v>
      </c>
      <c r="D53" s="423" t="s">
        <v>347</v>
      </c>
      <c r="E53" s="423" t="s">
        <v>348</v>
      </c>
      <c r="F53" s="400">
        <v>12</v>
      </c>
      <c r="G53" s="400">
        <v>6552</v>
      </c>
      <c r="H53" s="400">
        <v>0.66450304259634885</v>
      </c>
      <c r="I53" s="400">
        <v>546</v>
      </c>
      <c r="J53" s="400">
        <v>17</v>
      </c>
      <c r="K53" s="400">
        <v>9860</v>
      </c>
      <c r="L53" s="400">
        <v>1</v>
      </c>
      <c r="M53" s="400">
        <v>580</v>
      </c>
      <c r="N53" s="400">
        <v>24</v>
      </c>
      <c r="O53" s="400">
        <v>13920</v>
      </c>
      <c r="P53" s="424">
        <v>1.411764705882353</v>
      </c>
      <c r="Q53" s="425">
        <v>580</v>
      </c>
    </row>
    <row r="54" spans="1:17" ht="14.4" customHeight="1" x14ac:dyDescent="0.3">
      <c r="A54" s="399" t="s">
        <v>405</v>
      </c>
      <c r="B54" s="423" t="s">
        <v>335</v>
      </c>
      <c r="C54" s="423" t="s">
        <v>336</v>
      </c>
      <c r="D54" s="423" t="s">
        <v>397</v>
      </c>
      <c r="E54" s="423" t="s">
        <v>398</v>
      </c>
      <c r="F54" s="400"/>
      <c r="G54" s="400"/>
      <c r="H54" s="400"/>
      <c r="I54" s="400"/>
      <c r="J54" s="400"/>
      <c r="K54" s="400"/>
      <c r="L54" s="400"/>
      <c r="M54" s="400"/>
      <c r="N54" s="400">
        <v>6</v>
      </c>
      <c r="O54" s="400">
        <v>1746</v>
      </c>
      <c r="P54" s="424"/>
      <c r="Q54" s="425">
        <v>291</v>
      </c>
    </row>
    <row r="55" spans="1:17" ht="14.4" customHeight="1" x14ac:dyDescent="0.3">
      <c r="A55" s="399" t="s">
        <v>406</v>
      </c>
      <c r="B55" s="423" t="s">
        <v>335</v>
      </c>
      <c r="C55" s="423" t="s">
        <v>336</v>
      </c>
      <c r="D55" s="423" t="s">
        <v>339</v>
      </c>
      <c r="E55" s="423" t="s">
        <v>340</v>
      </c>
      <c r="F55" s="400">
        <v>80</v>
      </c>
      <c r="G55" s="400">
        <v>25840</v>
      </c>
      <c r="H55" s="400">
        <v>2.6672171758876959</v>
      </c>
      <c r="I55" s="400">
        <v>323</v>
      </c>
      <c r="J55" s="400">
        <v>28</v>
      </c>
      <c r="K55" s="400">
        <v>9688</v>
      </c>
      <c r="L55" s="400">
        <v>1</v>
      </c>
      <c r="M55" s="400">
        <v>346</v>
      </c>
      <c r="N55" s="400">
        <v>52</v>
      </c>
      <c r="O55" s="400">
        <v>18044</v>
      </c>
      <c r="P55" s="424">
        <v>1.8625103220478942</v>
      </c>
      <c r="Q55" s="425">
        <v>347</v>
      </c>
    </row>
    <row r="56" spans="1:17" ht="14.4" customHeight="1" x14ac:dyDescent="0.3">
      <c r="A56" s="399" t="s">
        <v>406</v>
      </c>
      <c r="B56" s="423" t="s">
        <v>335</v>
      </c>
      <c r="C56" s="423" t="s">
        <v>336</v>
      </c>
      <c r="D56" s="423" t="s">
        <v>343</v>
      </c>
      <c r="E56" s="423" t="s">
        <v>344</v>
      </c>
      <c r="F56" s="400"/>
      <c r="G56" s="400"/>
      <c r="H56" s="400"/>
      <c r="I56" s="400"/>
      <c r="J56" s="400"/>
      <c r="K56" s="400"/>
      <c r="L56" s="400"/>
      <c r="M56" s="400"/>
      <c r="N56" s="400">
        <v>4</v>
      </c>
      <c r="O56" s="400">
        <v>1388</v>
      </c>
      <c r="P56" s="424"/>
      <c r="Q56" s="425">
        <v>347</v>
      </c>
    </row>
    <row r="57" spans="1:17" ht="14.4" customHeight="1" x14ac:dyDescent="0.3">
      <c r="A57" s="399" t="s">
        <v>406</v>
      </c>
      <c r="B57" s="423" t="s">
        <v>335</v>
      </c>
      <c r="C57" s="423" t="s">
        <v>336</v>
      </c>
      <c r="D57" s="423" t="s">
        <v>347</v>
      </c>
      <c r="E57" s="423" t="s">
        <v>348</v>
      </c>
      <c r="F57" s="400">
        <v>18</v>
      </c>
      <c r="G57" s="400">
        <v>9828</v>
      </c>
      <c r="H57" s="400">
        <v>1.0590517241379311</v>
      </c>
      <c r="I57" s="400">
        <v>546</v>
      </c>
      <c r="J57" s="400">
        <v>16</v>
      </c>
      <c r="K57" s="400">
        <v>9280</v>
      </c>
      <c r="L57" s="400">
        <v>1</v>
      </c>
      <c r="M57" s="400">
        <v>580</v>
      </c>
      <c r="N57" s="400">
        <v>12</v>
      </c>
      <c r="O57" s="400">
        <v>6960</v>
      </c>
      <c r="P57" s="424">
        <v>0.75</v>
      </c>
      <c r="Q57" s="425">
        <v>580</v>
      </c>
    </row>
    <row r="58" spans="1:17" ht="14.4" customHeight="1" x14ac:dyDescent="0.3">
      <c r="A58" s="399" t="s">
        <v>407</v>
      </c>
      <c r="B58" s="423" t="s">
        <v>335</v>
      </c>
      <c r="C58" s="423" t="s">
        <v>336</v>
      </c>
      <c r="D58" s="423" t="s">
        <v>339</v>
      </c>
      <c r="E58" s="423" t="s">
        <v>340</v>
      </c>
      <c r="F58" s="400">
        <v>144</v>
      </c>
      <c r="G58" s="400">
        <v>46512</v>
      </c>
      <c r="H58" s="400">
        <v>1.5275880189174986</v>
      </c>
      <c r="I58" s="400">
        <v>323</v>
      </c>
      <c r="J58" s="400">
        <v>88</v>
      </c>
      <c r="K58" s="400">
        <v>30448</v>
      </c>
      <c r="L58" s="400">
        <v>1</v>
      </c>
      <c r="M58" s="400">
        <v>346</v>
      </c>
      <c r="N58" s="400">
        <v>114</v>
      </c>
      <c r="O58" s="400">
        <v>39558</v>
      </c>
      <c r="P58" s="424">
        <v>1.299198633736206</v>
      </c>
      <c r="Q58" s="425">
        <v>347</v>
      </c>
    </row>
    <row r="59" spans="1:17" ht="14.4" customHeight="1" x14ac:dyDescent="0.3">
      <c r="A59" s="399" t="s">
        <v>407</v>
      </c>
      <c r="B59" s="423" t="s">
        <v>335</v>
      </c>
      <c r="C59" s="423" t="s">
        <v>336</v>
      </c>
      <c r="D59" s="423" t="s">
        <v>341</v>
      </c>
      <c r="E59" s="423" t="s">
        <v>342</v>
      </c>
      <c r="F59" s="400">
        <v>4</v>
      </c>
      <c r="G59" s="400">
        <v>1292</v>
      </c>
      <c r="H59" s="400"/>
      <c r="I59" s="400">
        <v>323</v>
      </c>
      <c r="J59" s="400"/>
      <c r="K59" s="400"/>
      <c r="L59" s="400"/>
      <c r="M59" s="400"/>
      <c r="N59" s="400"/>
      <c r="O59" s="400"/>
      <c r="P59" s="424"/>
      <c r="Q59" s="425"/>
    </row>
    <row r="60" spans="1:17" ht="14.4" customHeight="1" x14ac:dyDescent="0.3">
      <c r="A60" s="399" t="s">
        <v>407</v>
      </c>
      <c r="B60" s="423" t="s">
        <v>335</v>
      </c>
      <c r="C60" s="423" t="s">
        <v>336</v>
      </c>
      <c r="D60" s="423" t="s">
        <v>347</v>
      </c>
      <c r="E60" s="423" t="s">
        <v>348</v>
      </c>
      <c r="F60" s="400">
        <v>6</v>
      </c>
      <c r="G60" s="400">
        <v>3276</v>
      </c>
      <c r="H60" s="400"/>
      <c r="I60" s="400">
        <v>546</v>
      </c>
      <c r="J60" s="400"/>
      <c r="K60" s="400"/>
      <c r="L60" s="400"/>
      <c r="M60" s="400"/>
      <c r="N60" s="400"/>
      <c r="O60" s="400"/>
      <c r="P60" s="424"/>
      <c r="Q60" s="425"/>
    </row>
    <row r="61" spans="1:17" ht="14.4" customHeight="1" x14ac:dyDescent="0.3">
      <c r="A61" s="399" t="s">
        <v>408</v>
      </c>
      <c r="B61" s="423" t="s">
        <v>335</v>
      </c>
      <c r="C61" s="423" t="s">
        <v>336</v>
      </c>
      <c r="D61" s="423" t="s">
        <v>339</v>
      </c>
      <c r="E61" s="423" t="s">
        <v>340</v>
      </c>
      <c r="F61" s="400">
        <v>512</v>
      </c>
      <c r="G61" s="400">
        <v>165376</v>
      </c>
      <c r="H61" s="400">
        <v>0.82836276935714925</v>
      </c>
      <c r="I61" s="400">
        <v>323</v>
      </c>
      <c r="J61" s="400">
        <v>577</v>
      </c>
      <c r="K61" s="400">
        <v>199642</v>
      </c>
      <c r="L61" s="400">
        <v>1</v>
      </c>
      <c r="M61" s="400">
        <v>346</v>
      </c>
      <c r="N61" s="400">
        <v>557</v>
      </c>
      <c r="O61" s="400">
        <v>193279</v>
      </c>
      <c r="P61" s="424">
        <v>0.96812794902876154</v>
      </c>
      <c r="Q61" s="425">
        <v>347</v>
      </c>
    </row>
    <row r="62" spans="1:17" ht="14.4" customHeight="1" x14ac:dyDescent="0.3">
      <c r="A62" s="399" t="s">
        <v>408</v>
      </c>
      <c r="B62" s="423" t="s">
        <v>335</v>
      </c>
      <c r="C62" s="423" t="s">
        <v>336</v>
      </c>
      <c r="D62" s="423" t="s">
        <v>343</v>
      </c>
      <c r="E62" s="423" t="s">
        <v>344</v>
      </c>
      <c r="F62" s="400"/>
      <c r="G62" s="400"/>
      <c r="H62" s="400"/>
      <c r="I62" s="400"/>
      <c r="J62" s="400">
        <v>10</v>
      </c>
      <c r="K62" s="400">
        <v>3460</v>
      </c>
      <c r="L62" s="400">
        <v>1</v>
      </c>
      <c r="M62" s="400">
        <v>346</v>
      </c>
      <c r="N62" s="400"/>
      <c r="O62" s="400"/>
      <c r="P62" s="424"/>
      <c r="Q62" s="425"/>
    </row>
    <row r="63" spans="1:17" ht="14.4" customHeight="1" x14ac:dyDescent="0.3">
      <c r="A63" s="399" t="s">
        <v>408</v>
      </c>
      <c r="B63" s="423" t="s">
        <v>335</v>
      </c>
      <c r="C63" s="423" t="s">
        <v>336</v>
      </c>
      <c r="D63" s="423" t="s">
        <v>347</v>
      </c>
      <c r="E63" s="423" t="s">
        <v>348</v>
      </c>
      <c r="F63" s="400"/>
      <c r="G63" s="400"/>
      <c r="H63" s="400"/>
      <c r="I63" s="400"/>
      <c r="J63" s="400">
        <v>6</v>
      </c>
      <c r="K63" s="400">
        <v>3480</v>
      </c>
      <c r="L63" s="400">
        <v>1</v>
      </c>
      <c r="M63" s="400">
        <v>580</v>
      </c>
      <c r="N63" s="400"/>
      <c r="O63" s="400"/>
      <c r="P63" s="424"/>
      <c r="Q63" s="425"/>
    </row>
    <row r="64" spans="1:17" ht="14.4" customHeight="1" x14ac:dyDescent="0.3">
      <c r="A64" s="399" t="s">
        <v>409</v>
      </c>
      <c r="B64" s="423" t="s">
        <v>335</v>
      </c>
      <c r="C64" s="423" t="s">
        <v>336</v>
      </c>
      <c r="D64" s="423" t="s">
        <v>337</v>
      </c>
      <c r="E64" s="423" t="s">
        <v>338</v>
      </c>
      <c r="F64" s="400"/>
      <c r="G64" s="400"/>
      <c r="H64" s="400"/>
      <c r="I64" s="400"/>
      <c r="J64" s="400"/>
      <c r="K64" s="400"/>
      <c r="L64" s="400"/>
      <c r="M64" s="400"/>
      <c r="N64" s="400">
        <v>1</v>
      </c>
      <c r="O64" s="400">
        <v>74</v>
      </c>
      <c r="P64" s="424"/>
      <c r="Q64" s="425">
        <v>74</v>
      </c>
    </row>
    <row r="65" spans="1:17" ht="14.4" customHeight="1" x14ac:dyDescent="0.3">
      <c r="A65" s="399" t="s">
        <v>409</v>
      </c>
      <c r="B65" s="423" t="s">
        <v>335</v>
      </c>
      <c r="C65" s="423" t="s">
        <v>336</v>
      </c>
      <c r="D65" s="423" t="s">
        <v>339</v>
      </c>
      <c r="E65" s="423" t="s">
        <v>340</v>
      </c>
      <c r="F65" s="400"/>
      <c r="G65" s="400"/>
      <c r="H65" s="400"/>
      <c r="I65" s="400"/>
      <c r="J65" s="400">
        <v>12</v>
      </c>
      <c r="K65" s="400">
        <v>4152</v>
      </c>
      <c r="L65" s="400">
        <v>1</v>
      </c>
      <c r="M65" s="400">
        <v>346</v>
      </c>
      <c r="N65" s="400">
        <v>32</v>
      </c>
      <c r="O65" s="400">
        <v>11104</v>
      </c>
      <c r="P65" s="424">
        <v>2.6743737957610789</v>
      </c>
      <c r="Q65" s="425">
        <v>347</v>
      </c>
    </row>
    <row r="66" spans="1:17" ht="14.4" customHeight="1" x14ac:dyDescent="0.3">
      <c r="A66" s="399" t="s">
        <v>410</v>
      </c>
      <c r="B66" s="423" t="s">
        <v>335</v>
      </c>
      <c r="C66" s="423" t="s">
        <v>336</v>
      </c>
      <c r="D66" s="423" t="s">
        <v>339</v>
      </c>
      <c r="E66" s="423" t="s">
        <v>340</v>
      </c>
      <c r="F66" s="400"/>
      <c r="G66" s="400"/>
      <c r="H66" s="400"/>
      <c r="I66" s="400"/>
      <c r="J66" s="400">
        <v>28</v>
      </c>
      <c r="K66" s="400">
        <v>9688</v>
      </c>
      <c r="L66" s="400">
        <v>1</v>
      </c>
      <c r="M66" s="400">
        <v>346</v>
      </c>
      <c r="N66" s="400">
        <v>17</v>
      </c>
      <c r="O66" s="400">
        <v>5899</v>
      </c>
      <c r="P66" s="424">
        <v>0.60889760528488857</v>
      </c>
      <c r="Q66" s="425">
        <v>347</v>
      </c>
    </row>
    <row r="67" spans="1:17" ht="14.4" customHeight="1" x14ac:dyDescent="0.3">
      <c r="A67" s="399" t="s">
        <v>410</v>
      </c>
      <c r="B67" s="423" t="s">
        <v>335</v>
      </c>
      <c r="C67" s="423" t="s">
        <v>336</v>
      </c>
      <c r="D67" s="423" t="s">
        <v>341</v>
      </c>
      <c r="E67" s="423" t="s">
        <v>342</v>
      </c>
      <c r="F67" s="400"/>
      <c r="G67" s="400"/>
      <c r="H67" s="400"/>
      <c r="I67" s="400"/>
      <c r="J67" s="400"/>
      <c r="K67" s="400"/>
      <c r="L67" s="400"/>
      <c r="M67" s="400"/>
      <c r="N67" s="400">
        <v>4</v>
      </c>
      <c r="O67" s="400">
        <v>1388</v>
      </c>
      <c r="P67" s="424"/>
      <c r="Q67" s="425">
        <v>347</v>
      </c>
    </row>
    <row r="68" spans="1:17" ht="14.4" customHeight="1" thickBot="1" x14ac:dyDescent="0.35">
      <c r="A68" s="403" t="s">
        <v>410</v>
      </c>
      <c r="B68" s="426" t="s">
        <v>335</v>
      </c>
      <c r="C68" s="426" t="s">
        <v>336</v>
      </c>
      <c r="D68" s="426" t="s">
        <v>343</v>
      </c>
      <c r="E68" s="426" t="s">
        <v>344</v>
      </c>
      <c r="F68" s="404">
        <v>8</v>
      </c>
      <c r="G68" s="404">
        <v>2584</v>
      </c>
      <c r="H68" s="404">
        <v>0.93352601156069359</v>
      </c>
      <c r="I68" s="404">
        <v>323</v>
      </c>
      <c r="J68" s="404">
        <v>8</v>
      </c>
      <c r="K68" s="404">
        <v>2768</v>
      </c>
      <c r="L68" s="404">
        <v>1</v>
      </c>
      <c r="M68" s="404">
        <v>346</v>
      </c>
      <c r="N68" s="404">
        <v>4</v>
      </c>
      <c r="O68" s="404">
        <v>1388</v>
      </c>
      <c r="P68" s="427">
        <v>0.50144508670520227</v>
      </c>
      <c r="Q68" s="428">
        <v>347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89" t="s">
        <v>93</v>
      </c>
      <c r="B1" s="289"/>
      <c r="C1" s="290"/>
      <c r="D1" s="290"/>
      <c r="E1" s="290"/>
    </row>
    <row r="2" spans="1:5" ht="14.4" customHeight="1" thickBot="1" x14ac:dyDescent="0.35">
      <c r="A2" s="195" t="s">
        <v>195</v>
      </c>
      <c r="B2" s="120"/>
    </row>
    <row r="3" spans="1:5" ht="14.4" customHeight="1" thickBot="1" x14ac:dyDescent="0.35">
      <c r="A3" s="123"/>
      <c r="C3" s="124" t="s">
        <v>84</v>
      </c>
      <c r="D3" s="125" t="s">
        <v>50</v>
      </c>
      <c r="E3" s="126" t="s">
        <v>52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1976.91754703741</v>
      </c>
      <c r="D4" s="129">
        <f ca="1">IF(ISERROR(VLOOKUP("Náklady celkem",INDIRECT("HI!$A:$G"),5,0)),0,VLOOKUP("Náklady celkem",INDIRECT("HI!$A:$G"),5,0))</f>
        <v>1909.0873500000009</v>
      </c>
      <c r="E4" s="130">
        <f ca="1">IF(C4=0,0,D4/C4)</f>
        <v>0.96568890941402241</v>
      </c>
    </row>
    <row r="5" spans="1:5" ht="14.4" customHeight="1" x14ac:dyDescent="0.3">
      <c r="A5" s="131" t="s">
        <v>106</v>
      </c>
      <c r="B5" s="132"/>
      <c r="C5" s="133"/>
      <c r="D5" s="133"/>
      <c r="E5" s="134"/>
    </row>
    <row r="6" spans="1:5" ht="14.4" customHeight="1" x14ac:dyDescent="0.3">
      <c r="A6" s="135" t="s">
        <v>111</v>
      </c>
      <c r="B6" s="136"/>
      <c r="C6" s="137"/>
      <c r="D6" s="137"/>
      <c r="E6" s="134"/>
    </row>
    <row r="7" spans="1:5" ht="14.4" customHeight="1" x14ac:dyDescent="0.3">
      <c r="A7" s="2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88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" customHeight="1" x14ac:dyDescent="0.3">
      <c r="A8" s="139" t="s">
        <v>107</v>
      </c>
      <c r="B8" s="136"/>
      <c r="C8" s="137"/>
      <c r="D8" s="137"/>
      <c r="E8" s="134"/>
    </row>
    <row r="9" spans="1:5" ht="14.4" customHeight="1" x14ac:dyDescent="0.3">
      <c r="A9" s="139" t="s">
        <v>108</v>
      </c>
      <c r="B9" s="136"/>
      <c r="C9" s="137"/>
      <c r="D9" s="137"/>
      <c r="E9" s="134"/>
    </row>
    <row r="10" spans="1:5" ht="14.4" customHeight="1" x14ac:dyDescent="0.3">
      <c r="A10" s="140" t="s">
        <v>112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88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1920.75</v>
      </c>
      <c r="D12" s="133">
        <f ca="1">IF(ISERROR(VLOOKUP("Osobní náklady (Kč) *",INDIRECT("HI!$A:$G"),5,0)),0,VLOOKUP("Osobní náklady (Kč) *",INDIRECT("HI!$A:$G"),5,0))</f>
        <v>1809.3847300000011</v>
      </c>
      <c r="E12" s="134">
        <f ca="1">IF(C12=0,0,D12/C12)</f>
        <v>0.94201990368345756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1316.7996799999999</v>
      </c>
      <c r="D14" s="152">
        <f ca="1">IF(ISERROR(VLOOKUP("Výnosy celkem",INDIRECT("HI!$A:$G"),5,0)),0,VLOOKUP("Výnosy celkem",INDIRECT("HI!$A:$G"),5,0))</f>
        <v>1029.6683399999999</v>
      </c>
      <c r="E14" s="153">
        <f t="shared" ref="E14:E19" ca="1" si="1">IF(C14=0,0,D14/C14)</f>
        <v>0.78194759281837012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1316.7996799999999</v>
      </c>
      <c r="D15" s="133">
        <f ca="1">IF(ISERROR(VLOOKUP("Ambulance *",INDIRECT("HI!$A:$G"),5,0)),0,VLOOKUP("Ambulance *",INDIRECT("HI!$A:$G"),5,0))</f>
        <v>1029.6683399999999</v>
      </c>
      <c r="E15" s="134">
        <f t="shared" ca="1" si="1"/>
        <v>0.78194759281837012</v>
      </c>
    </row>
    <row r="16" spans="1:5" ht="14.4" customHeight="1" x14ac:dyDescent="0.3">
      <c r="A16" s="254" t="str">
        <f>HYPERLINK("#'ZV Vykáz.-A'!A1","Zdravotní výkony vykázané u ambulantních pacientů (min. 100 % 2016)")</f>
        <v>Zdravotní výkony vykázané u ambulantních pacientů (min. 100 % 2016)</v>
      </c>
      <c r="B16" s="255" t="s">
        <v>95</v>
      </c>
      <c r="C16" s="138">
        <v>1</v>
      </c>
      <c r="D16" s="138">
        <f>IF(ISERROR(VLOOKUP("Celkem:",'ZV Vykáz.-A'!$A:$AB,10,0)),"",VLOOKUP("Celkem:",'ZV Vykáz.-A'!$A:$AB,10,0))</f>
        <v>0.78194759281837001</v>
      </c>
      <c r="E16" s="134">
        <f t="shared" si="1"/>
        <v>0.78194759281837001</v>
      </c>
    </row>
    <row r="17" spans="1:5" ht="14.4" customHeight="1" x14ac:dyDescent="0.3">
      <c r="A17" s="253" t="str">
        <f>HYPERLINK("#'ZV Vykáz.-A'!A1","Specializovaná ambulantní péče")</f>
        <v>Specializovaná ambulantní péče</v>
      </c>
      <c r="B17" s="255" t="s">
        <v>95</v>
      </c>
      <c r="C17" s="138">
        <v>1</v>
      </c>
      <c r="D17" s="246">
        <f>IF(ISERROR(VLOOKUP("Specializovaná ambulantní péče",'ZV Vykáz.-A'!$A:$AB,10,0)),"",VLOOKUP("Specializovaná ambulantní péče",'ZV Vykáz.-A'!$A:$AB,10,0))</f>
        <v>0.78194759281837012</v>
      </c>
      <c r="E17" s="134">
        <f t="shared" si="1"/>
        <v>0.78194759281837012</v>
      </c>
    </row>
    <row r="18" spans="1:5" ht="14.4" customHeight="1" x14ac:dyDescent="0.3">
      <c r="A18" s="253" t="str">
        <f>HYPERLINK("#'ZV Vykáz.-A'!A1","Ambulantní péče ve vyjmenovaných odbornostech (§9)")</f>
        <v>Ambulantní péče ve vyjmenovaných odbornostech (§9)</v>
      </c>
      <c r="B18" s="255" t="s">
        <v>95</v>
      </c>
      <c r="C18" s="138">
        <v>1</v>
      </c>
      <c r="D18" s="246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" customHeight="1" x14ac:dyDescent="0.3">
      <c r="A19" s="155" t="str">
        <f>HYPERLINK("#'ZV Vykáz.-H'!A1","Zdravotní výkony vykázané u hospitalizovaných pacientů (max. 85 %)")</f>
        <v>Zdravotní výkony vykázané u hospitalizovaných pacientů (max. 85 %)</v>
      </c>
      <c r="B19" s="255" t="s">
        <v>97</v>
      </c>
      <c r="C19" s="138">
        <v>0.85</v>
      </c>
      <c r="D19" s="138">
        <f>IF(ISERROR(VLOOKUP("Celkem:",'ZV Vykáz.-H'!$A:$S,7,0)),"",VLOOKUP("Celkem:",'ZV Vykáz.-H'!$A:$S,7,0))</f>
        <v>0.86581202486429276</v>
      </c>
      <c r="E19" s="134">
        <f t="shared" si="1"/>
        <v>1.0186023821932857</v>
      </c>
    </row>
    <row r="20" spans="1:5" ht="14.4" customHeight="1" x14ac:dyDescent="0.3">
      <c r="A20" s="156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" customHeight="1" thickBot="1" x14ac:dyDescent="0.35">
      <c r="A21" s="157" t="s">
        <v>109</v>
      </c>
      <c r="B21" s="143"/>
      <c r="C21" s="144"/>
      <c r="D21" s="144"/>
      <c r="E21" s="145"/>
    </row>
    <row r="22" spans="1:5" ht="14.4" customHeight="1" thickBot="1" x14ac:dyDescent="0.35">
      <c r="A22" s="158"/>
      <c r="B22" s="159"/>
      <c r="C22" s="160"/>
      <c r="D22" s="160"/>
      <c r="E22" s="161"/>
    </row>
    <row r="23" spans="1:5" ht="14.4" customHeight="1" thickBot="1" x14ac:dyDescent="0.35">
      <c r="A23" s="162" t="s">
        <v>110</v>
      </c>
      <c r="B23" s="163"/>
      <c r="C23" s="164"/>
      <c r="D23" s="164"/>
      <c r="E23" s="165"/>
    </row>
  </sheetData>
  <mergeCells count="1">
    <mergeCell ref="A1:E1"/>
  </mergeCells>
  <conditionalFormatting sqref="E5">
    <cfRule type="cellIs" dxfId="4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34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33" priority="35" operator="greaterThan">
      <formula>1</formula>
    </cfRule>
    <cfRule type="iconSet" priority="3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300" t="s">
        <v>102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0" ht="14.4" customHeight="1" thickBot="1" x14ac:dyDescent="0.35">
      <c r="A2" s="195" t="s">
        <v>195</v>
      </c>
      <c r="B2" s="83"/>
      <c r="C2" s="83"/>
      <c r="D2" s="83"/>
      <c r="E2" s="83"/>
      <c r="F2" s="83"/>
    </row>
    <row r="3" spans="1:10" ht="14.4" customHeight="1" x14ac:dyDescent="0.3">
      <c r="A3" s="291"/>
      <c r="B3" s="79">
        <v>2015</v>
      </c>
      <c r="C3" s="40">
        <v>2016</v>
      </c>
      <c r="D3" s="7"/>
      <c r="E3" s="295">
        <v>2017</v>
      </c>
      <c r="F3" s="296"/>
      <c r="G3" s="296"/>
      <c r="H3" s="297"/>
      <c r="I3" s="298">
        <v>2017</v>
      </c>
      <c r="J3" s="299"/>
    </row>
    <row r="4" spans="1:10" ht="14.4" customHeight="1" thickBot="1" x14ac:dyDescent="0.35">
      <c r="A4" s="292"/>
      <c r="B4" s="293" t="s">
        <v>50</v>
      </c>
      <c r="C4" s="294"/>
      <c r="D4" s="7"/>
      <c r="E4" s="100" t="s">
        <v>50</v>
      </c>
      <c r="F4" s="81" t="s">
        <v>51</v>
      </c>
      <c r="G4" s="81" t="s">
        <v>45</v>
      </c>
      <c r="H4" s="82" t="s">
        <v>52</v>
      </c>
      <c r="I4" s="258" t="s">
        <v>186</v>
      </c>
      <c r="J4" s="259" t="s">
        <v>187</v>
      </c>
    </row>
    <row r="5" spans="1:10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1698.3058500000011</v>
      </c>
      <c r="C7" s="31">
        <v>1818.6000600000002</v>
      </c>
      <c r="D7" s="8"/>
      <c r="E7" s="90">
        <v>1809.3847300000011</v>
      </c>
      <c r="F7" s="30">
        <v>1920.75</v>
      </c>
      <c r="G7" s="91">
        <f>E7-F7</f>
        <v>-111.36526999999887</v>
      </c>
      <c r="H7" s="95">
        <f>IF(F7&lt;0.00000001,"",E7/F7)</f>
        <v>0.94201990368345756</v>
      </c>
    </row>
    <row r="8" spans="1:10" ht="14.4" customHeight="1" thickBot="1" x14ac:dyDescent="0.35">
      <c r="A8" s="1" t="s">
        <v>53</v>
      </c>
      <c r="B8" s="11">
        <v>59.204800000000887</v>
      </c>
      <c r="C8" s="33">
        <v>86.488509999999906</v>
      </c>
      <c r="D8" s="8"/>
      <c r="E8" s="92">
        <v>99.702619999999797</v>
      </c>
      <c r="F8" s="32">
        <v>56.167547037410031</v>
      </c>
      <c r="G8" s="93">
        <f>E8-F8</f>
        <v>43.535072962589766</v>
      </c>
      <c r="H8" s="96">
        <f>IF(F8&lt;0.00000001,"",E8/F8)</f>
        <v>1.7750930075973144</v>
      </c>
    </row>
    <row r="9" spans="1:10" ht="14.4" customHeight="1" thickBot="1" x14ac:dyDescent="0.35">
      <c r="A9" s="2" t="s">
        <v>54</v>
      </c>
      <c r="B9" s="3">
        <v>1757.510650000002</v>
      </c>
      <c r="C9" s="35">
        <v>1905.0885700000001</v>
      </c>
      <c r="D9" s="8"/>
      <c r="E9" s="3">
        <v>1909.0873500000009</v>
      </c>
      <c r="F9" s="34">
        <v>1976.91754703741</v>
      </c>
      <c r="G9" s="34">
        <f>E9-F9</f>
        <v>-67.830197037409107</v>
      </c>
      <c r="H9" s="97">
        <f>IF(F9&lt;0.00000001,"",E9/F9)</f>
        <v>0.96568890941402241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980.64</v>
      </c>
      <c r="C11" s="29">
        <f>IF(ISERROR(VLOOKUP("Celkem:",'ZV Vykáz.-A'!A:H,5,0)),0,VLOOKUP("Celkem:",'ZV Vykáz.-A'!A:H,5,0)/1000)</f>
        <v>1316.7996799999999</v>
      </c>
      <c r="D11" s="8"/>
      <c r="E11" s="89">
        <f>IF(ISERROR(VLOOKUP("Celkem:",'ZV Vykáz.-A'!A:H,8,0)),0,VLOOKUP("Celkem:",'ZV Vykáz.-A'!A:H,8,0)/1000)</f>
        <v>1029.6683399999999</v>
      </c>
      <c r="F11" s="28">
        <f>C11</f>
        <v>1316.7996799999999</v>
      </c>
      <c r="G11" s="88">
        <f>E11-F11</f>
        <v>-287.13133999999991</v>
      </c>
      <c r="H11" s="94">
        <f>IF(F11&lt;0.00000001,"",E11/F11)</f>
        <v>0.78194759281837012</v>
      </c>
      <c r="I11" s="88">
        <f>E11-B11</f>
        <v>49.028339999999957</v>
      </c>
      <c r="J11" s="94">
        <f>IF(B11&lt;0.00000001,"",E11/B11)</f>
        <v>1.0499962677435144</v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57</v>
      </c>
      <c r="B13" s="5">
        <f>SUM(B11:B12)</f>
        <v>980.64</v>
      </c>
      <c r="C13" s="37">
        <f>SUM(C11:C12)</f>
        <v>1316.7996799999999</v>
      </c>
      <c r="D13" s="8"/>
      <c r="E13" s="5">
        <f>SUM(E11:E12)</f>
        <v>1029.6683399999999</v>
      </c>
      <c r="F13" s="36">
        <f>SUM(F11:F12)</f>
        <v>1316.7996799999999</v>
      </c>
      <c r="G13" s="36">
        <f>E13-F13</f>
        <v>-287.13133999999991</v>
      </c>
      <c r="H13" s="98">
        <f>IF(F13&lt;0.00000001,"",E13/F13)</f>
        <v>0.78194759281837012</v>
      </c>
      <c r="I13" s="36">
        <f>SUM(I11:I12)</f>
        <v>49.028339999999957</v>
      </c>
      <c r="J13" s="98">
        <f>IF(B13&lt;0.00000001,"",E13/B13)</f>
        <v>1.0499962677435144</v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0.55797101428659845</v>
      </c>
      <c r="C15" s="39">
        <f>IF(C9=0,"",C13/C9)</f>
        <v>0.69120129149690912</v>
      </c>
      <c r="D15" s="8"/>
      <c r="E15" s="6">
        <f>IF(E9=0,"",E13/E9)</f>
        <v>0.53935108836167156</v>
      </c>
      <c r="F15" s="38">
        <f>IF(F9=0,"",F13/F9)</f>
        <v>0.66608730443682052</v>
      </c>
      <c r="G15" s="38">
        <f>IF(ISERROR(F15-E15),"",E15-F15)</f>
        <v>-0.12673621607514896</v>
      </c>
      <c r="H15" s="99">
        <f>IF(ISERROR(F15-E15),"",IF(F15&lt;0.00000001,"",E15/F15))</f>
        <v>0.80973032329102124</v>
      </c>
    </row>
    <row r="17" spans="1:8" ht="14.4" customHeight="1" x14ac:dyDescent="0.3">
      <c r="A17" s="85" t="s">
        <v>113</v>
      </c>
    </row>
    <row r="18" spans="1:8" ht="14.4" customHeight="1" x14ac:dyDescent="0.3">
      <c r="A18" s="234" t="s">
        <v>143</v>
      </c>
      <c r="B18" s="235"/>
      <c r="C18" s="235"/>
      <c r="D18" s="235"/>
      <c r="E18" s="235"/>
      <c r="F18" s="235"/>
      <c r="G18" s="235"/>
      <c r="H18" s="235"/>
    </row>
    <row r="19" spans="1:8" x14ac:dyDescent="0.3">
      <c r="A19" s="233" t="s">
        <v>142</v>
      </c>
      <c r="B19" s="235"/>
      <c r="C19" s="235"/>
      <c r="D19" s="235"/>
      <c r="E19" s="235"/>
      <c r="F19" s="235"/>
      <c r="G19" s="235"/>
      <c r="H19" s="235"/>
    </row>
    <row r="20" spans="1:8" ht="14.4" customHeight="1" x14ac:dyDescent="0.3">
      <c r="A20" s="86" t="s">
        <v>155</v>
      </c>
    </row>
    <row r="21" spans="1:8" ht="14.4" customHeight="1" x14ac:dyDescent="0.3">
      <c r="A21" s="86" t="s">
        <v>114</v>
      </c>
    </row>
    <row r="22" spans="1:8" ht="14.4" customHeight="1" x14ac:dyDescent="0.3">
      <c r="A22" s="87" t="s">
        <v>185</v>
      </c>
    </row>
    <row r="23" spans="1:8" ht="14.4" customHeight="1" x14ac:dyDescent="0.3">
      <c r="A23" s="87" t="s">
        <v>115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2" priority="8" operator="greaterThan">
      <formula>0</formula>
    </cfRule>
  </conditionalFormatting>
  <conditionalFormatting sqref="G11:G13 G15">
    <cfRule type="cellIs" dxfId="31" priority="7" operator="lessThan">
      <formula>0</formula>
    </cfRule>
  </conditionalFormatting>
  <conditionalFormatting sqref="H5:H9">
    <cfRule type="cellIs" dxfId="30" priority="6" operator="greaterThan">
      <formula>1</formula>
    </cfRule>
  </conditionalFormatting>
  <conditionalFormatting sqref="H11:H13 H15">
    <cfRule type="cellIs" dxfId="29" priority="5" operator="lessThan">
      <formula>1</formula>
    </cfRule>
  </conditionalFormatting>
  <conditionalFormatting sqref="I11:I13">
    <cfRule type="cellIs" dxfId="28" priority="4" operator="lessThan">
      <formula>0</formula>
    </cfRule>
  </conditionalFormatting>
  <conditionalFormatting sqref="J11:J13">
    <cfRule type="cellIs" dxfId="2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89" t="s">
        <v>81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3" ht="14.4" customHeight="1" x14ac:dyDescent="0.3">
      <c r="A2" s="195" t="s">
        <v>195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59</v>
      </c>
      <c r="C3" s="169" t="s">
        <v>60</v>
      </c>
      <c r="D3" s="169" t="s">
        <v>61</v>
      </c>
      <c r="E3" s="168" t="s">
        <v>62</v>
      </c>
      <c r="F3" s="169" t="s">
        <v>63</v>
      </c>
      <c r="G3" s="169" t="s">
        <v>64</v>
      </c>
      <c r="H3" s="169" t="s">
        <v>65</v>
      </c>
      <c r="I3" s="169" t="s">
        <v>66</v>
      </c>
      <c r="J3" s="169" t="s">
        <v>67</v>
      </c>
      <c r="K3" s="169" t="s">
        <v>68</v>
      </c>
      <c r="L3" s="169" t="s">
        <v>69</v>
      </c>
      <c r="M3" s="169" t="s">
        <v>70</v>
      </c>
    </row>
    <row r="4" spans="1:13" ht="14.4" customHeight="1" x14ac:dyDescent="0.3">
      <c r="A4" s="167" t="s">
        <v>58</v>
      </c>
      <c r="B4" s="170">
        <f>(B10+B8)/B6</f>
        <v>0.58843937412574077</v>
      </c>
      <c r="C4" s="170">
        <f t="shared" ref="C4:M4" si="0">(C10+C8)/C6</f>
        <v>0.54392443619108655</v>
      </c>
      <c r="D4" s="170">
        <f t="shared" si="0"/>
        <v>0.53935110407598652</v>
      </c>
      <c r="E4" s="170">
        <f t="shared" si="0"/>
        <v>0.53935110407598652</v>
      </c>
      <c r="F4" s="170">
        <f t="shared" si="0"/>
        <v>0.53935110407598652</v>
      </c>
      <c r="G4" s="170">
        <f t="shared" si="0"/>
        <v>0.53935110407598652</v>
      </c>
      <c r="H4" s="170">
        <f t="shared" si="0"/>
        <v>0.53935110407598652</v>
      </c>
      <c r="I4" s="170">
        <f t="shared" si="0"/>
        <v>0.53935110407598652</v>
      </c>
      <c r="J4" s="170">
        <f t="shared" si="0"/>
        <v>0.53935110407598652</v>
      </c>
      <c r="K4" s="170">
        <f t="shared" si="0"/>
        <v>0.53935110407598652</v>
      </c>
      <c r="L4" s="170">
        <f t="shared" si="0"/>
        <v>0.53935110407598652</v>
      </c>
      <c r="M4" s="170">
        <f t="shared" si="0"/>
        <v>0.53935110407598652</v>
      </c>
    </row>
    <row r="5" spans="1:13" ht="14.4" customHeight="1" x14ac:dyDescent="0.3">
      <c r="A5" s="171" t="s">
        <v>30</v>
      </c>
      <c r="B5" s="170">
        <f>IF(ISERROR(VLOOKUP($A5,'Man Tab'!$A:$Q,COLUMN()+2,0)),0,VLOOKUP($A5,'Man Tab'!$A:$Q,COLUMN()+2,0))</f>
        <v>624.71461999999997</v>
      </c>
      <c r="C5" s="170">
        <f>IF(ISERROR(VLOOKUP($A5,'Man Tab'!$A:$Q,COLUMN()+2,0)),0,VLOOKUP($A5,'Man Tab'!$A:$Q,COLUMN()+2,0))</f>
        <v>608.01730999999995</v>
      </c>
      <c r="D5" s="170">
        <f>IF(ISERROR(VLOOKUP($A5,'Man Tab'!$A:$Q,COLUMN()+2,0)),0,VLOOKUP($A5,'Man Tab'!$A:$Q,COLUMN()+2,0))</f>
        <v>676.355420000001</v>
      </c>
      <c r="E5" s="170">
        <f>IF(ISERROR(VLOOKUP($A5,'Man Tab'!$A:$Q,COLUMN()+2,0)),0,VLOOKUP($A5,'Man Tab'!$A:$Q,COLUMN()+2,0))</f>
        <v>0</v>
      </c>
      <c r="F5" s="170">
        <f>IF(ISERROR(VLOOKUP($A5,'Man Tab'!$A:$Q,COLUMN()+2,0)),0,VLOOKUP($A5,'Man Tab'!$A:$Q,COLUMN()+2,0))</f>
        <v>0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54</v>
      </c>
      <c r="B6" s="172">
        <f>B5</f>
        <v>624.71461999999997</v>
      </c>
      <c r="C6" s="172">
        <f t="shared" ref="C6:M6" si="1">C5+B6</f>
        <v>1232.7319299999999</v>
      </c>
      <c r="D6" s="172">
        <f t="shared" si="1"/>
        <v>1909.0873500000009</v>
      </c>
      <c r="E6" s="172">
        <f t="shared" si="1"/>
        <v>1909.0873500000009</v>
      </c>
      <c r="F6" s="172">
        <f t="shared" si="1"/>
        <v>1909.0873500000009</v>
      </c>
      <c r="G6" s="172">
        <f t="shared" si="1"/>
        <v>1909.0873500000009</v>
      </c>
      <c r="H6" s="172">
        <f t="shared" si="1"/>
        <v>1909.0873500000009</v>
      </c>
      <c r="I6" s="172">
        <f t="shared" si="1"/>
        <v>1909.0873500000009</v>
      </c>
      <c r="J6" s="172">
        <f t="shared" si="1"/>
        <v>1909.0873500000009</v>
      </c>
      <c r="K6" s="172">
        <f t="shared" si="1"/>
        <v>1909.0873500000009</v>
      </c>
      <c r="L6" s="172">
        <f t="shared" si="1"/>
        <v>1909.0873500000009</v>
      </c>
      <c r="M6" s="172">
        <f t="shared" si="1"/>
        <v>1909.0873500000009</v>
      </c>
    </row>
    <row r="7" spans="1:13" ht="14.4" customHeight="1" x14ac:dyDescent="0.3">
      <c r="A7" s="171" t="s">
        <v>79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55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80</v>
      </c>
      <c r="B9" s="171">
        <v>367606.68</v>
      </c>
      <c r="C9" s="171">
        <v>302906.33999999997</v>
      </c>
      <c r="D9" s="171">
        <v>359155.35000000003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56</v>
      </c>
      <c r="B10" s="172">
        <f>B9/1000</f>
        <v>367.60667999999998</v>
      </c>
      <c r="C10" s="172">
        <f t="shared" ref="C10:M10" si="3">C9/1000+B10</f>
        <v>670.51301999999987</v>
      </c>
      <c r="D10" s="172">
        <f t="shared" si="3"/>
        <v>1029.6683699999999</v>
      </c>
      <c r="E10" s="172">
        <f t="shared" si="3"/>
        <v>1029.6683699999999</v>
      </c>
      <c r="F10" s="172">
        <f t="shared" si="3"/>
        <v>1029.6683699999999</v>
      </c>
      <c r="G10" s="172">
        <f t="shared" si="3"/>
        <v>1029.6683699999999</v>
      </c>
      <c r="H10" s="172">
        <f t="shared" si="3"/>
        <v>1029.6683699999999</v>
      </c>
      <c r="I10" s="172">
        <f t="shared" si="3"/>
        <v>1029.6683699999999</v>
      </c>
      <c r="J10" s="172">
        <f t="shared" si="3"/>
        <v>1029.6683699999999</v>
      </c>
      <c r="K10" s="172">
        <f t="shared" si="3"/>
        <v>1029.6683699999999</v>
      </c>
      <c r="L10" s="172">
        <f t="shared" si="3"/>
        <v>1029.6683699999999</v>
      </c>
      <c r="M10" s="172">
        <f t="shared" si="3"/>
        <v>1029.6683699999999</v>
      </c>
    </row>
    <row r="11" spans="1:13" ht="14.4" customHeight="1" x14ac:dyDescent="0.3">
      <c r="A11" s="167"/>
      <c r="B11" s="167" t="s">
        <v>71</v>
      </c>
      <c r="C11" s="167">
        <f ca="1">IF(MONTH(TODAY())=1,12,MONTH(TODAY())-1)</f>
        <v>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0.66608730443682052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0.66608730443682052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301" t="s">
        <v>197</v>
      </c>
      <c r="B1" s="301"/>
      <c r="C1" s="301"/>
      <c r="D1" s="301"/>
      <c r="E1" s="301"/>
      <c r="F1" s="301"/>
      <c r="G1" s="301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s="173" customFormat="1" ht="14.4" customHeight="1" thickBot="1" x14ac:dyDescent="0.3">
      <c r="A2" s="195" t="s">
        <v>195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302" t="s">
        <v>6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109"/>
      <c r="Q3" s="111"/>
    </row>
    <row r="4" spans="1:17" ht="14.4" customHeight="1" x14ac:dyDescent="0.3">
      <c r="A4" s="60"/>
      <c r="B4" s="20">
        <v>2017</v>
      </c>
      <c r="C4" s="110" t="s">
        <v>7</v>
      </c>
      <c r="D4" s="252" t="s">
        <v>161</v>
      </c>
      <c r="E4" s="252" t="s">
        <v>162</v>
      </c>
      <c r="F4" s="252" t="s">
        <v>163</v>
      </c>
      <c r="G4" s="252" t="s">
        <v>164</v>
      </c>
      <c r="H4" s="252" t="s">
        <v>165</v>
      </c>
      <c r="I4" s="252" t="s">
        <v>166</v>
      </c>
      <c r="J4" s="252" t="s">
        <v>167</v>
      </c>
      <c r="K4" s="252" t="s">
        <v>168</v>
      </c>
      <c r="L4" s="252" t="s">
        <v>169</v>
      </c>
      <c r="M4" s="252" t="s">
        <v>170</v>
      </c>
      <c r="N4" s="252" t="s">
        <v>171</v>
      </c>
      <c r="O4" s="252" t="s">
        <v>172</v>
      </c>
      <c r="P4" s="304" t="s">
        <v>3</v>
      </c>
      <c r="Q4" s="305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196</v>
      </c>
    </row>
    <row r="7" spans="1:17" ht="14.4" customHeight="1" x14ac:dyDescent="0.3">
      <c r="A7" s="15" t="s">
        <v>12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196</v>
      </c>
    </row>
    <row r="8" spans="1:17" ht="14.4" customHeight="1" x14ac:dyDescent="0.3">
      <c r="A8" s="15" t="s">
        <v>13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196</v>
      </c>
    </row>
    <row r="9" spans="1:17" ht="14.4" customHeight="1" x14ac:dyDescent="0.3">
      <c r="A9" s="15" t="s">
        <v>14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196</v>
      </c>
    </row>
    <row r="10" spans="1:17" ht="14.4" customHeight="1" x14ac:dyDescent="0.3">
      <c r="A10" s="15" t="s">
        <v>15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196</v>
      </c>
    </row>
    <row r="11" spans="1:17" ht="14.4" customHeight="1" x14ac:dyDescent="0.3">
      <c r="A11" s="15" t="s">
        <v>16</v>
      </c>
      <c r="B11" s="46">
        <v>34.522128919346997</v>
      </c>
      <c r="C11" s="47">
        <v>2.876844076612</v>
      </c>
      <c r="D11" s="47">
        <v>0.46723999999999999</v>
      </c>
      <c r="E11" s="47">
        <v>0.80818000000000001</v>
      </c>
      <c r="F11" s="47">
        <v>6.7627199999999998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8.0381400000000003</v>
      </c>
      <c r="Q11" s="70">
        <v>0.93136086928799999</v>
      </c>
    </row>
    <row r="12" spans="1:17" ht="14.4" customHeight="1" x14ac:dyDescent="0.3">
      <c r="A12" s="15" t="s">
        <v>17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196</v>
      </c>
    </row>
    <row r="13" spans="1:17" ht="14.4" customHeight="1" x14ac:dyDescent="0.3">
      <c r="A13" s="15" t="s">
        <v>18</v>
      </c>
      <c r="B13" s="46">
        <v>3</v>
      </c>
      <c r="C13" s="47">
        <v>0.25</v>
      </c>
      <c r="D13" s="47">
        <v>2.0860599999999998</v>
      </c>
      <c r="E13" s="47">
        <v>0</v>
      </c>
      <c r="F13" s="47">
        <v>2.2807900000000001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4.3668500000000003</v>
      </c>
      <c r="Q13" s="70">
        <v>5.8224666666660001</v>
      </c>
    </row>
    <row r="14" spans="1:17" ht="14.4" customHeight="1" x14ac:dyDescent="0.3">
      <c r="A14" s="15" t="s">
        <v>19</v>
      </c>
      <c r="B14" s="46">
        <v>87.626498654738</v>
      </c>
      <c r="C14" s="47">
        <v>7.3022082212279997</v>
      </c>
      <c r="D14" s="47">
        <v>12.116</v>
      </c>
      <c r="E14" s="47">
        <v>9.3719999999999999</v>
      </c>
      <c r="F14" s="47">
        <v>8.3230000000000004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29.811</v>
      </c>
      <c r="Q14" s="70">
        <v>1.360821233652</v>
      </c>
    </row>
    <row r="15" spans="1:17" ht="14.4" customHeight="1" x14ac:dyDescent="0.3">
      <c r="A15" s="15" t="s">
        <v>20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196</v>
      </c>
    </row>
    <row r="16" spans="1:17" ht="14.4" customHeight="1" x14ac:dyDescent="0.3">
      <c r="A16" s="15" t="s">
        <v>21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196</v>
      </c>
    </row>
    <row r="17" spans="1:17" ht="14.4" customHeight="1" x14ac:dyDescent="0.3">
      <c r="A17" s="15" t="s">
        <v>22</v>
      </c>
      <c r="B17" s="46">
        <v>0.99999999999900002</v>
      </c>
      <c r="C17" s="47">
        <v>8.3333333332999998E-2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>
        <v>0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3.165</v>
      </c>
      <c r="E18" s="47">
        <v>1.637</v>
      </c>
      <c r="F18" s="47">
        <v>5.1210000000000004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9.923</v>
      </c>
      <c r="Q18" s="70" t="s">
        <v>196</v>
      </c>
    </row>
    <row r="19" spans="1:17" ht="14.4" customHeight="1" x14ac:dyDescent="0.3">
      <c r="A19" s="15" t="s">
        <v>24</v>
      </c>
      <c r="B19" s="46">
        <v>53.521560575551</v>
      </c>
      <c r="C19" s="47">
        <v>4.4601300479620001</v>
      </c>
      <c r="D19" s="47">
        <v>4.9418699999999998</v>
      </c>
      <c r="E19" s="47">
        <v>4.1465800000000002</v>
      </c>
      <c r="F19" s="47">
        <v>4.1684799999999997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13.256930000000001</v>
      </c>
      <c r="Q19" s="70">
        <v>0.99077305350800005</v>
      </c>
    </row>
    <row r="20" spans="1:17" ht="14.4" customHeight="1" x14ac:dyDescent="0.3">
      <c r="A20" s="15" t="s">
        <v>25</v>
      </c>
      <c r="B20" s="46">
        <v>7683</v>
      </c>
      <c r="C20" s="47">
        <v>640.25</v>
      </c>
      <c r="D20" s="47">
        <v>593.22645</v>
      </c>
      <c r="E20" s="47">
        <v>587.61554999999998</v>
      </c>
      <c r="F20" s="47">
        <v>628.54273000000103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1809.38473</v>
      </c>
      <c r="Q20" s="70">
        <v>0.94201990368300004</v>
      </c>
    </row>
    <row r="21" spans="1:17" ht="14.4" customHeight="1" x14ac:dyDescent="0.3">
      <c r="A21" s="16" t="s">
        <v>26</v>
      </c>
      <c r="B21" s="46">
        <v>45</v>
      </c>
      <c r="C21" s="47">
        <v>3.75</v>
      </c>
      <c r="D21" s="47">
        <v>3.7120000000000002</v>
      </c>
      <c r="E21" s="47">
        <v>3.738</v>
      </c>
      <c r="F21" s="47">
        <v>3.7570000000000001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11.207000000000001</v>
      </c>
      <c r="Q21" s="70">
        <v>0.99617777777700001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196</v>
      </c>
    </row>
    <row r="23" spans="1:17" ht="14.4" customHeight="1" x14ac:dyDescent="0.3">
      <c r="A23" s="16" t="s">
        <v>28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196</v>
      </c>
    </row>
    <row r="24" spans="1:17" ht="14.4" customHeight="1" x14ac:dyDescent="0.3">
      <c r="A24" s="16" t="s">
        <v>29</v>
      </c>
      <c r="B24" s="46">
        <v>0</v>
      </c>
      <c r="C24" s="47">
        <v>0</v>
      </c>
      <c r="D24" s="47">
        <v>5</v>
      </c>
      <c r="E24" s="47">
        <v>0.7</v>
      </c>
      <c r="F24" s="47">
        <v>17.399699999999001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23.099699999999999</v>
      </c>
      <c r="Q24" s="70"/>
    </row>
    <row r="25" spans="1:17" ht="14.4" customHeight="1" x14ac:dyDescent="0.3">
      <c r="A25" s="17" t="s">
        <v>30</v>
      </c>
      <c r="B25" s="49">
        <v>7907.6701881496401</v>
      </c>
      <c r="C25" s="50">
        <v>658.97251567913702</v>
      </c>
      <c r="D25" s="50">
        <v>624.71461999999997</v>
      </c>
      <c r="E25" s="50">
        <v>608.01730999999995</v>
      </c>
      <c r="F25" s="50">
        <v>676.355420000001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1909.08735</v>
      </c>
      <c r="Q25" s="71">
        <v>0.96568890941399999</v>
      </c>
    </row>
    <row r="26" spans="1:17" ht="14.4" customHeight="1" x14ac:dyDescent="0.3">
      <c r="A26" s="15" t="s">
        <v>31</v>
      </c>
      <c r="B26" s="46">
        <v>894.69706485726795</v>
      </c>
      <c r="C26" s="47">
        <v>74.558088738104999</v>
      </c>
      <c r="D26" s="47">
        <v>68.157719999999998</v>
      </c>
      <c r="E26" s="47">
        <v>64.856049999999996</v>
      </c>
      <c r="F26" s="47">
        <v>81.867419999999996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214.88119</v>
      </c>
      <c r="Q26" s="70">
        <v>0.96068802923399998</v>
      </c>
    </row>
    <row r="27" spans="1:17" ht="14.4" customHeight="1" x14ac:dyDescent="0.3">
      <c r="A27" s="18" t="s">
        <v>32</v>
      </c>
      <c r="B27" s="49">
        <v>8802.3672530069107</v>
      </c>
      <c r="C27" s="50">
        <v>733.53060441724199</v>
      </c>
      <c r="D27" s="50">
        <v>692.87234000000001</v>
      </c>
      <c r="E27" s="50">
        <v>672.87336000000005</v>
      </c>
      <c r="F27" s="50">
        <v>758.22284000000104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2123.9685399999998</v>
      </c>
      <c r="Q27" s="71">
        <v>0.96518060605699996</v>
      </c>
    </row>
    <row r="28" spans="1:17" ht="14.4" customHeight="1" x14ac:dyDescent="0.3">
      <c r="A28" s="16" t="s">
        <v>33</v>
      </c>
      <c r="B28" s="46">
        <v>60</v>
      </c>
      <c r="C28" s="47">
        <v>5</v>
      </c>
      <c r="D28" s="47">
        <v>0</v>
      </c>
      <c r="E28" s="47">
        <v>3.8976000000000002</v>
      </c>
      <c r="F28" s="47">
        <v>3.8976000000000002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7.7952000000000004</v>
      </c>
      <c r="Q28" s="70">
        <v>0.51968000000000003</v>
      </c>
    </row>
    <row r="29" spans="1:17" ht="14.4" customHeight="1" x14ac:dyDescent="0.3">
      <c r="A29" s="16" t="s">
        <v>34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196</v>
      </c>
    </row>
    <row r="30" spans="1:17" ht="14.4" customHeight="1" x14ac:dyDescent="0.3">
      <c r="A30" s="16" t="s">
        <v>35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196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113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173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37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301" t="s">
        <v>38</v>
      </c>
      <c r="B1" s="301"/>
      <c r="C1" s="301"/>
      <c r="D1" s="301"/>
      <c r="E1" s="301"/>
      <c r="F1" s="301"/>
      <c r="G1" s="301"/>
      <c r="H1" s="306"/>
      <c r="I1" s="306"/>
      <c r="J1" s="306"/>
      <c r="K1" s="306"/>
    </row>
    <row r="2" spans="1:11" s="55" customFormat="1" ht="14.4" customHeight="1" thickBot="1" x14ac:dyDescent="0.35">
      <c r="A2" s="195" t="s">
        <v>195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302" t="s">
        <v>39</v>
      </c>
      <c r="C3" s="303"/>
      <c r="D3" s="303"/>
      <c r="E3" s="303"/>
      <c r="F3" s="309" t="s">
        <v>40</v>
      </c>
      <c r="G3" s="303"/>
      <c r="H3" s="303"/>
      <c r="I3" s="303"/>
      <c r="J3" s="303"/>
      <c r="K3" s="310"/>
    </row>
    <row r="4" spans="1:11" ht="14.4" customHeight="1" x14ac:dyDescent="0.3">
      <c r="A4" s="60"/>
      <c r="B4" s="307"/>
      <c r="C4" s="308"/>
      <c r="D4" s="308"/>
      <c r="E4" s="308"/>
      <c r="F4" s="311" t="s">
        <v>174</v>
      </c>
      <c r="G4" s="313" t="s">
        <v>41</v>
      </c>
      <c r="H4" s="112" t="s">
        <v>105</v>
      </c>
      <c r="I4" s="311" t="s">
        <v>42</v>
      </c>
      <c r="J4" s="313" t="s">
        <v>181</v>
      </c>
      <c r="K4" s="314" t="s">
        <v>175</v>
      </c>
    </row>
    <row r="5" spans="1:11" ht="42" thickBot="1" x14ac:dyDescent="0.35">
      <c r="A5" s="61"/>
      <c r="B5" s="24" t="s">
        <v>177</v>
      </c>
      <c r="C5" s="25" t="s">
        <v>178</v>
      </c>
      <c r="D5" s="26" t="s">
        <v>179</v>
      </c>
      <c r="E5" s="26" t="s">
        <v>180</v>
      </c>
      <c r="F5" s="312"/>
      <c r="G5" s="312"/>
      <c r="H5" s="25" t="s">
        <v>176</v>
      </c>
      <c r="I5" s="312"/>
      <c r="J5" s="312"/>
      <c r="K5" s="315"/>
    </row>
    <row r="6" spans="1:11" ht="14.4" customHeight="1" thickBot="1" x14ac:dyDescent="0.35">
      <c r="A6" s="364" t="s">
        <v>198</v>
      </c>
      <c r="B6" s="346">
        <v>7526.7545318370403</v>
      </c>
      <c r="C6" s="346">
        <v>8011.1520899999996</v>
      </c>
      <c r="D6" s="347">
        <v>484.39755816296099</v>
      </c>
      <c r="E6" s="348">
        <v>1.0643567630790001</v>
      </c>
      <c r="F6" s="346">
        <v>7907.6701881496401</v>
      </c>
      <c r="G6" s="347">
        <v>1976.91754703741</v>
      </c>
      <c r="H6" s="349">
        <v>676.355420000001</v>
      </c>
      <c r="I6" s="346">
        <v>1909.08735</v>
      </c>
      <c r="J6" s="347">
        <v>-67.830197037407999</v>
      </c>
      <c r="K6" s="350">
        <v>0.24142222735300001</v>
      </c>
    </row>
    <row r="7" spans="1:11" ht="14.4" customHeight="1" thickBot="1" x14ac:dyDescent="0.35">
      <c r="A7" s="365" t="s">
        <v>199</v>
      </c>
      <c r="B7" s="346">
        <v>229.01235840474499</v>
      </c>
      <c r="C7" s="346">
        <v>115.83204000000001</v>
      </c>
      <c r="D7" s="347">
        <v>-113.18031840474499</v>
      </c>
      <c r="E7" s="348">
        <v>0.50578947270200003</v>
      </c>
      <c r="F7" s="346">
        <v>125.14862757408601</v>
      </c>
      <c r="G7" s="347">
        <v>31.287156893521001</v>
      </c>
      <c r="H7" s="349">
        <v>17.366510000000002</v>
      </c>
      <c r="I7" s="346">
        <v>42.215989999999998</v>
      </c>
      <c r="J7" s="347">
        <v>10.928833106478001</v>
      </c>
      <c r="K7" s="350">
        <v>0.33732683144999998</v>
      </c>
    </row>
    <row r="8" spans="1:11" ht="14.4" customHeight="1" thickBot="1" x14ac:dyDescent="0.35">
      <c r="A8" s="366" t="s">
        <v>200</v>
      </c>
      <c r="B8" s="346">
        <v>143.70594880863399</v>
      </c>
      <c r="C8" s="346">
        <v>29.165040000000001</v>
      </c>
      <c r="D8" s="347">
        <v>-114.540908808634</v>
      </c>
      <c r="E8" s="348">
        <v>0.202949427228</v>
      </c>
      <c r="F8" s="346">
        <v>37.522128919346997</v>
      </c>
      <c r="G8" s="347">
        <v>9.3805322298359997</v>
      </c>
      <c r="H8" s="349">
        <v>9.0435099999999995</v>
      </c>
      <c r="I8" s="346">
        <v>12.40499</v>
      </c>
      <c r="J8" s="347">
        <v>3.024457770163</v>
      </c>
      <c r="K8" s="350">
        <v>0.33060464204099999</v>
      </c>
    </row>
    <row r="9" spans="1:11" ht="14.4" customHeight="1" thickBot="1" x14ac:dyDescent="0.35">
      <c r="A9" s="367" t="s">
        <v>201</v>
      </c>
      <c r="B9" s="351">
        <v>1.0000000902790001</v>
      </c>
      <c r="C9" s="351">
        <v>0</v>
      </c>
      <c r="D9" s="352">
        <v>-1.0000000902790001</v>
      </c>
      <c r="E9" s="353">
        <v>0</v>
      </c>
      <c r="F9" s="351">
        <v>0</v>
      </c>
      <c r="G9" s="352">
        <v>0</v>
      </c>
      <c r="H9" s="354">
        <v>0</v>
      </c>
      <c r="I9" s="351">
        <v>0</v>
      </c>
      <c r="J9" s="352">
        <v>0</v>
      </c>
      <c r="K9" s="355" t="s">
        <v>196</v>
      </c>
    </row>
    <row r="10" spans="1:11" ht="14.4" customHeight="1" thickBot="1" x14ac:dyDescent="0.35">
      <c r="A10" s="368" t="s">
        <v>202</v>
      </c>
      <c r="B10" s="346">
        <v>1.0000000902790001</v>
      </c>
      <c r="C10" s="346">
        <v>0</v>
      </c>
      <c r="D10" s="347">
        <v>-1.0000000902790001</v>
      </c>
      <c r="E10" s="348">
        <v>0</v>
      </c>
      <c r="F10" s="346">
        <v>0</v>
      </c>
      <c r="G10" s="347">
        <v>0</v>
      </c>
      <c r="H10" s="349">
        <v>0</v>
      </c>
      <c r="I10" s="346">
        <v>0</v>
      </c>
      <c r="J10" s="347">
        <v>0</v>
      </c>
      <c r="K10" s="350">
        <v>3</v>
      </c>
    </row>
    <row r="11" spans="1:11" ht="14.4" customHeight="1" thickBot="1" x14ac:dyDescent="0.35">
      <c r="A11" s="367" t="s">
        <v>203</v>
      </c>
      <c r="B11" s="351">
        <v>142.70594871835399</v>
      </c>
      <c r="C11" s="351">
        <v>26.475239999999999</v>
      </c>
      <c r="D11" s="352">
        <v>-116.23070871835399</v>
      </c>
      <c r="E11" s="353">
        <v>0.18552302996299999</v>
      </c>
      <c r="F11" s="351">
        <v>34.522128919346997</v>
      </c>
      <c r="G11" s="352">
        <v>8.6305322298359997</v>
      </c>
      <c r="H11" s="354">
        <v>6.7627199999999998</v>
      </c>
      <c r="I11" s="351">
        <v>8.0381400000000003</v>
      </c>
      <c r="J11" s="352">
        <v>-0.59239222983600004</v>
      </c>
      <c r="K11" s="356">
        <v>0.232840217322</v>
      </c>
    </row>
    <row r="12" spans="1:11" ht="14.4" customHeight="1" thickBot="1" x14ac:dyDescent="0.35">
      <c r="A12" s="368" t="s">
        <v>204</v>
      </c>
      <c r="B12" s="346">
        <v>0.67503448220399997</v>
      </c>
      <c r="C12" s="346">
        <v>1.0529999999999999</v>
      </c>
      <c r="D12" s="347">
        <v>0.37796551779499998</v>
      </c>
      <c r="E12" s="348">
        <v>1.559920311865</v>
      </c>
      <c r="F12" s="346">
        <v>0</v>
      </c>
      <c r="G12" s="347">
        <v>0</v>
      </c>
      <c r="H12" s="349">
        <v>0</v>
      </c>
      <c r="I12" s="346">
        <v>0</v>
      </c>
      <c r="J12" s="347">
        <v>0</v>
      </c>
      <c r="K12" s="357" t="s">
        <v>196</v>
      </c>
    </row>
    <row r="13" spans="1:11" ht="14.4" customHeight="1" thickBot="1" x14ac:dyDescent="0.35">
      <c r="A13" s="368" t="s">
        <v>205</v>
      </c>
      <c r="B13" s="346">
        <v>8.4277704253999997E-2</v>
      </c>
      <c r="C13" s="346">
        <v>0.51585999999999999</v>
      </c>
      <c r="D13" s="347">
        <v>0.43158229574500001</v>
      </c>
      <c r="E13" s="348">
        <v>6.1209545818290003</v>
      </c>
      <c r="F13" s="346">
        <v>1</v>
      </c>
      <c r="G13" s="347">
        <v>0.25</v>
      </c>
      <c r="H13" s="349">
        <v>0</v>
      </c>
      <c r="I13" s="346">
        <v>0</v>
      </c>
      <c r="J13" s="347">
        <v>-0.25</v>
      </c>
      <c r="K13" s="350">
        <v>0</v>
      </c>
    </row>
    <row r="14" spans="1:11" ht="14.4" customHeight="1" thickBot="1" x14ac:dyDescent="0.35">
      <c r="A14" s="368" t="s">
        <v>206</v>
      </c>
      <c r="B14" s="346">
        <v>4.3448788551649997</v>
      </c>
      <c r="C14" s="346">
        <v>0</v>
      </c>
      <c r="D14" s="347">
        <v>-4.3448788551649997</v>
      </c>
      <c r="E14" s="348">
        <v>0</v>
      </c>
      <c r="F14" s="346">
        <v>0</v>
      </c>
      <c r="G14" s="347">
        <v>0</v>
      </c>
      <c r="H14" s="349">
        <v>0</v>
      </c>
      <c r="I14" s="346">
        <v>0</v>
      </c>
      <c r="J14" s="347">
        <v>0</v>
      </c>
      <c r="K14" s="350">
        <v>0</v>
      </c>
    </row>
    <row r="15" spans="1:11" ht="14.4" customHeight="1" thickBot="1" x14ac:dyDescent="0.35">
      <c r="A15" s="368" t="s">
        <v>207</v>
      </c>
      <c r="B15" s="346">
        <v>127.00001146549501</v>
      </c>
      <c r="C15" s="346">
        <v>14.017099999999999</v>
      </c>
      <c r="D15" s="347">
        <v>-112.98291146549499</v>
      </c>
      <c r="E15" s="348">
        <v>0.110370856177</v>
      </c>
      <c r="F15" s="346">
        <v>20</v>
      </c>
      <c r="G15" s="347">
        <v>5</v>
      </c>
      <c r="H15" s="349">
        <v>4.66378</v>
      </c>
      <c r="I15" s="346">
        <v>4.66378</v>
      </c>
      <c r="J15" s="347">
        <v>-0.33621999999899999</v>
      </c>
      <c r="K15" s="350">
        <v>0.23318900000000001</v>
      </c>
    </row>
    <row r="16" spans="1:11" ht="14.4" customHeight="1" thickBot="1" x14ac:dyDescent="0.35">
      <c r="A16" s="368" t="s">
        <v>208</v>
      </c>
      <c r="B16" s="346">
        <v>0.30975407730499999</v>
      </c>
      <c r="C16" s="346">
        <v>0.3301</v>
      </c>
      <c r="D16" s="347">
        <v>2.0345922693999999E-2</v>
      </c>
      <c r="E16" s="348">
        <v>1.0656841158370001</v>
      </c>
      <c r="F16" s="346">
        <v>0.35671415024399999</v>
      </c>
      <c r="G16" s="347">
        <v>8.9178537560999999E-2</v>
      </c>
      <c r="H16" s="349">
        <v>0</v>
      </c>
      <c r="I16" s="346">
        <v>0</v>
      </c>
      <c r="J16" s="347">
        <v>-8.9178537560999999E-2</v>
      </c>
      <c r="K16" s="350">
        <v>0</v>
      </c>
    </row>
    <row r="17" spans="1:11" ht="14.4" customHeight="1" thickBot="1" x14ac:dyDescent="0.35">
      <c r="A17" s="368" t="s">
        <v>209</v>
      </c>
      <c r="B17" s="346">
        <v>9.3275206526590004</v>
      </c>
      <c r="C17" s="346">
        <v>8.6697600000000001</v>
      </c>
      <c r="D17" s="347">
        <v>-0.65776065265899997</v>
      </c>
      <c r="E17" s="348">
        <v>0.92948172647799998</v>
      </c>
      <c r="F17" s="346">
        <v>11.165414769103</v>
      </c>
      <c r="G17" s="347">
        <v>2.791353692275</v>
      </c>
      <c r="H17" s="349">
        <v>1.80149</v>
      </c>
      <c r="I17" s="346">
        <v>2.6096699999999999</v>
      </c>
      <c r="J17" s="347">
        <v>-0.181683692275</v>
      </c>
      <c r="K17" s="350">
        <v>0.23372799434300001</v>
      </c>
    </row>
    <row r="18" spans="1:11" ht="14.4" customHeight="1" thickBot="1" x14ac:dyDescent="0.35">
      <c r="A18" s="368" t="s">
        <v>210</v>
      </c>
      <c r="B18" s="346">
        <v>0.96447148127000004</v>
      </c>
      <c r="C18" s="346">
        <v>1.8894200000000001</v>
      </c>
      <c r="D18" s="347">
        <v>0.92494851872899997</v>
      </c>
      <c r="E18" s="348">
        <v>1.9590211184990001</v>
      </c>
      <c r="F18" s="346">
        <v>2</v>
      </c>
      <c r="G18" s="347">
        <v>0.5</v>
      </c>
      <c r="H18" s="349">
        <v>0.29744999999999999</v>
      </c>
      <c r="I18" s="346">
        <v>0.76468999999999998</v>
      </c>
      <c r="J18" s="347">
        <v>0.26468999999999998</v>
      </c>
      <c r="K18" s="350">
        <v>0.38234499999999999</v>
      </c>
    </row>
    <row r="19" spans="1:11" ht="14.4" customHeight="1" thickBot="1" x14ac:dyDescent="0.35">
      <c r="A19" s="367" t="s">
        <v>211</v>
      </c>
      <c r="B19" s="351">
        <v>0</v>
      </c>
      <c r="C19" s="351">
        <v>2.6898</v>
      </c>
      <c r="D19" s="352">
        <v>2.6898</v>
      </c>
      <c r="E19" s="358" t="s">
        <v>196</v>
      </c>
      <c r="F19" s="351">
        <v>3</v>
      </c>
      <c r="G19" s="352">
        <v>0.75</v>
      </c>
      <c r="H19" s="354">
        <v>2.2807900000000001</v>
      </c>
      <c r="I19" s="351">
        <v>4.3668500000000003</v>
      </c>
      <c r="J19" s="352">
        <v>3.6168499999999999</v>
      </c>
      <c r="K19" s="356">
        <v>1.455616666666</v>
      </c>
    </row>
    <row r="20" spans="1:11" ht="14.4" customHeight="1" thickBot="1" x14ac:dyDescent="0.35">
      <c r="A20" s="368" t="s">
        <v>212</v>
      </c>
      <c r="B20" s="346">
        <v>0</v>
      </c>
      <c r="C20" s="346">
        <v>2.6898</v>
      </c>
      <c r="D20" s="347">
        <v>2.6898</v>
      </c>
      <c r="E20" s="359" t="s">
        <v>196</v>
      </c>
      <c r="F20" s="346">
        <v>3</v>
      </c>
      <c r="G20" s="347">
        <v>0.75</v>
      </c>
      <c r="H20" s="349">
        <v>2.2807900000000001</v>
      </c>
      <c r="I20" s="346">
        <v>4.3668500000000003</v>
      </c>
      <c r="J20" s="347">
        <v>3.6168499999999999</v>
      </c>
      <c r="K20" s="350">
        <v>1.455616666666</v>
      </c>
    </row>
    <row r="21" spans="1:11" ht="14.4" customHeight="1" thickBot="1" x14ac:dyDescent="0.35">
      <c r="A21" s="366" t="s">
        <v>19</v>
      </c>
      <c r="B21" s="346">
        <v>85.306409596110996</v>
      </c>
      <c r="C21" s="346">
        <v>86.667000000000002</v>
      </c>
      <c r="D21" s="347">
        <v>1.3605904038879999</v>
      </c>
      <c r="E21" s="348">
        <v>1.015949451047</v>
      </c>
      <c r="F21" s="346">
        <v>87.626498654738</v>
      </c>
      <c r="G21" s="347">
        <v>21.906624663683999</v>
      </c>
      <c r="H21" s="349">
        <v>8.3230000000000004</v>
      </c>
      <c r="I21" s="346">
        <v>29.811</v>
      </c>
      <c r="J21" s="347">
        <v>7.9043753363149998</v>
      </c>
      <c r="K21" s="350">
        <v>0.34020530841300001</v>
      </c>
    </row>
    <row r="22" spans="1:11" ht="14.4" customHeight="1" thickBot="1" x14ac:dyDescent="0.35">
      <c r="A22" s="367" t="s">
        <v>213</v>
      </c>
      <c r="B22" s="351">
        <v>85.306409596110996</v>
      </c>
      <c r="C22" s="351">
        <v>86.667000000000002</v>
      </c>
      <c r="D22" s="352">
        <v>1.3605904038879999</v>
      </c>
      <c r="E22" s="353">
        <v>1.015949451047</v>
      </c>
      <c r="F22" s="351">
        <v>87.626498654738</v>
      </c>
      <c r="G22" s="352">
        <v>21.906624663683999</v>
      </c>
      <c r="H22" s="354">
        <v>8.3230000000000004</v>
      </c>
      <c r="I22" s="351">
        <v>29.811</v>
      </c>
      <c r="J22" s="352">
        <v>7.9043753363149998</v>
      </c>
      <c r="K22" s="356">
        <v>0.34020530841300001</v>
      </c>
    </row>
    <row r="23" spans="1:11" ht="14.4" customHeight="1" thickBot="1" x14ac:dyDescent="0.35">
      <c r="A23" s="368" t="s">
        <v>214</v>
      </c>
      <c r="B23" s="346">
        <v>15.239606635123</v>
      </c>
      <c r="C23" s="346">
        <v>13.85</v>
      </c>
      <c r="D23" s="347">
        <v>-1.3896066351230001</v>
      </c>
      <c r="E23" s="348">
        <v>0.908816108683</v>
      </c>
      <c r="F23" s="346">
        <v>13.999999999999</v>
      </c>
      <c r="G23" s="347">
        <v>3.4999999999989999</v>
      </c>
      <c r="H23" s="349">
        <v>1.1539999999999999</v>
      </c>
      <c r="I23" s="346">
        <v>3.5169999999999999</v>
      </c>
      <c r="J23" s="347">
        <v>1.7000000000000001E-2</v>
      </c>
      <c r="K23" s="350">
        <v>0.25121428571400001</v>
      </c>
    </row>
    <row r="24" spans="1:11" ht="14.4" customHeight="1" thickBot="1" x14ac:dyDescent="0.35">
      <c r="A24" s="368" t="s">
        <v>215</v>
      </c>
      <c r="B24" s="346">
        <v>12.970312640247</v>
      </c>
      <c r="C24" s="346">
        <v>13.544</v>
      </c>
      <c r="D24" s="347">
        <v>0.57368735975200003</v>
      </c>
      <c r="E24" s="348">
        <v>1.044230804273</v>
      </c>
      <c r="F24" s="346">
        <v>14.626498654738</v>
      </c>
      <c r="G24" s="347">
        <v>3.6566246636840001</v>
      </c>
      <c r="H24" s="349">
        <v>1.272</v>
      </c>
      <c r="I24" s="346">
        <v>3.8220000000000001</v>
      </c>
      <c r="J24" s="347">
        <v>0.16537533631500001</v>
      </c>
      <c r="K24" s="350">
        <v>0.261306556696</v>
      </c>
    </row>
    <row r="25" spans="1:11" ht="14.4" customHeight="1" thickBot="1" x14ac:dyDescent="0.35">
      <c r="A25" s="368" t="s">
        <v>216</v>
      </c>
      <c r="B25" s="346">
        <v>57.096490320740003</v>
      </c>
      <c r="C25" s="346">
        <v>59.273000000000003</v>
      </c>
      <c r="D25" s="347">
        <v>2.176509679259</v>
      </c>
      <c r="E25" s="348">
        <v>1.038119850572</v>
      </c>
      <c r="F25" s="346">
        <v>58.999999999998998</v>
      </c>
      <c r="G25" s="347">
        <v>14.749999999999</v>
      </c>
      <c r="H25" s="349">
        <v>5.8970000000000002</v>
      </c>
      <c r="I25" s="346">
        <v>22.472000000000001</v>
      </c>
      <c r="J25" s="347">
        <v>7.7220000000000004</v>
      </c>
      <c r="K25" s="350">
        <v>0.38088135593200001</v>
      </c>
    </row>
    <row r="26" spans="1:11" ht="14.4" customHeight="1" thickBot="1" x14ac:dyDescent="0.35">
      <c r="A26" s="369" t="s">
        <v>217</v>
      </c>
      <c r="B26" s="351">
        <v>58.741424482898999</v>
      </c>
      <c r="C26" s="351">
        <v>85.298820000000006</v>
      </c>
      <c r="D26" s="352">
        <v>26.557395517100002</v>
      </c>
      <c r="E26" s="353">
        <v>1.452106767087</v>
      </c>
      <c r="F26" s="351">
        <v>54.521560575551</v>
      </c>
      <c r="G26" s="352">
        <v>13.630390143887</v>
      </c>
      <c r="H26" s="354">
        <v>9.2894799999999993</v>
      </c>
      <c r="I26" s="351">
        <v>23.179929999999999</v>
      </c>
      <c r="J26" s="352">
        <v>9.5495398561120002</v>
      </c>
      <c r="K26" s="356">
        <v>0.42515162360100001</v>
      </c>
    </row>
    <row r="27" spans="1:11" ht="14.4" customHeight="1" thickBot="1" x14ac:dyDescent="0.35">
      <c r="A27" s="366" t="s">
        <v>22</v>
      </c>
      <c r="B27" s="346">
        <v>4.5623317729219997</v>
      </c>
      <c r="C27" s="346">
        <v>0</v>
      </c>
      <c r="D27" s="347">
        <v>-4.5623317729219997</v>
      </c>
      <c r="E27" s="348">
        <v>0</v>
      </c>
      <c r="F27" s="346">
        <v>0.99999999999900002</v>
      </c>
      <c r="G27" s="347">
        <v>0.24999999999899999</v>
      </c>
      <c r="H27" s="349">
        <v>0</v>
      </c>
      <c r="I27" s="346">
        <v>0</v>
      </c>
      <c r="J27" s="347">
        <v>-0.24999999999899999</v>
      </c>
      <c r="K27" s="350">
        <v>0</v>
      </c>
    </row>
    <row r="28" spans="1:11" ht="14.4" customHeight="1" thickBot="1" x14ac:dyDescent="0.35">
      <c r="A28" s="370" t="s">
        <v>218</v>
      </c>
      <c r="B28" s="346">
        <v>4.5623317729219997</v>
      </c>
      <c r="C28" s="346">
        <v>0</v>
      </c>
      <c r="D28" s="347">
        <v>-4.5623317729219997</v>
      </c>
      <c r="E28" s="348">
        <v>0</v>
      </c>
      <c r="F28" s="346">
        <v>0.99999999999900002</v>
      </c>
      <c r="G28" s="347">
        <v>0.24999999999899999</v>
      </c>
      <c r="H28" s="349">
        <v>0</v>
      </c>
      <c r="I28" s="346">
        <v>0</v>
      </c>
      <c r="J28" s="347">
        <v>-0.24999999999899999</v>
      </c>
      <c r="K28" s="350">
        <v>0</v>
      </c>
    </row>
    <row r="29" spans="1:11" ht="14.4" customHeight="1" thickBot="1" x14ac:dyDescent="0.35">
      <c r="A29" s="368" t="s">
        <v>219</v>
      </c>
      <c r="B29" s="346">
        <v>2.9861159676079998</v>
      </c>
      <c r="C29" s="346">
        <v>0</v>
      </c>
      <c r="D29" s="347">
        <v>-2.9861159676079998</v>
      </c>
      <c r="E29" s="348">
        <v>0</v>
      </c>
      <c r="F29" s="346">
        <v>0</v>
      </c>
      <c r="G29" s="347">
        <v>0</v>
      </c>
      <c r="H29" s="349">
        <v>0</v>
      </c>
      <c r="I29" s="346">
        <v>0</v>
      </c>
      <c r="J29" s="347">
        <v>0</v>
      </c>
      <c r="K29" s="350">
        <v>0</v>
      </c>
    </row>
    <row r="30" spans="1:11" ht="14.4" customHeight="1" thickBot="1" x14ac:dyDescent="0.35">
      <c r="A30" s="368" t="s">
        <v>220</v>
      </c>
      <c r="B30" s="346">
        <v>1.085631331711</v>
      </c>
      <c r="C30" s="346">
        <v>0</v>
      </c>
      <c r="D30" s="347">
        <v>-1.085631331711</v>
      </c>
      <c r="E30" s="348">
        <v>0</v>
      </c>
      <c r="F30" s="346">
        <v>0</v>
      </c>
      <c r="G30" s="347">
        <v>0</v>
      </c>
      <c r="H30" s="349">
        <v>0</v>
      </c>
      <c r="I30" s="346">
        <v>0</v>
      </c>
      <c r="J30" s="347">
        <v>0</v>
      </c>
      <c r="K30" s="350">
        <v>0</v>
      </c>
    </row>
    <row r="31" spans="1:11" ht="14.4" customHeight="1" thickBot="1" x14ac:dyDescent="0.35">
      <c r="A31" s="368" t="s">
        <v>221</v>
      </c>
      <c r="B31" s="346">
        <v>0.49058447360099999</v>
      </c>
      <c r="C31" s="346">
        <v>0</v>
      </c>
      <c r="D31" s="347">
        <v>-0.49058447360099999</v>
      </c>
      <c r="E31" s="348">
        <v>0</v>
      </c>
      <c r="F31" s="346">
        <v>0.99999999999900002</v>
      </c>
      <c r="G31" s="347">
        <v>0.24999999999899999</v>
      </c>
      <c r="H31" s="349">
        <v>0</v>
      </c>
      <c r="I31" s="346">
        <v>0</v>
      </c>
      <c r="J31" s="347">
        <v>-0.24999999999899999</v>
      </c>
      <c r="K31" s="350">
        <v>0</v>
      </c>
    </row>
    <row r="32" spans="1:11" ht="14.4" customHeight="1" thickBot="1" x14ac:dyDescent="0.35">
      <c r="A32" s="371" t="s">
        <v>23</v>
      </c>
      <c r="B32" s="351">
        <v>0</v>
      </c>
      <c r="C32" s="351">
        <v>28.83</v>
      </c>
      <c r="D32" s="352">
        <v>28.83</v>
      </c>
      <c r="E32" s="358" t="s">
        <v>196</v>
      </c>
      <c r="F32" s="351">
        <v>0</v>
      </c>
      <c r="G32" s="352">
        <v>0</v>
      </c>
      <c r="H32" s="354">
        <v>5.1210000000000004</v>
      </c>
      <c r="I32" s="351">
        <v>9.923</v>
      </c>
      <c r="J32" s="352">
        <v>9.923</v>
      </c>
      <c r="K32" s="355" t="s">
        <v>196</v>
      </c>
    </row>
    <row r="33" spans="1:11" ht="14.4" customHeight="1" thickBot="1" x14ac:dyDescent="0.35">
      <c r="A33" s="367" t="s">
        <v>222</v>
      </c>
      <c r="B33" s="351">
        <v>0</v>
      </c>
      <c r="C33" s="351">
        <v>28.83</v>
      </c>
      <c r="D33" s="352">
        <v>28.83</v>
      </c>
      <c r="E33" s="358" t="s">
        <v>196</v>
      </c>
      <c r="F33" s="351">
        <v>0</v>
      </c>
      <c r="G33" s="352">
        <v>0</v>
      </c>
      <c r="H33" s="354">
        <v>5.1210000000000004</v>
      </c>
      <c r="I33" s="351">
        <v>9.923</v>
      </c>
      <c r="J33" s="352">
        <v>9.923</v>
      </c>
      <c r="K33" s="355" t="s">
        <v>196</v>
      </c>
    </row>
    <row r="34" spans="1:11" ht="14.4" customHeight="1" thickBot="1" x14ac:dyDescent="0.35">
      <c r="A34" s="368" t="s">
        <v>223</v>
      </c>
      <c r="B34" s="346">
        <v>0</v>
      </c>
      <c r="C34" s="346">
        <v>25.13</v>
      </c>
      <c r="D34" s="347">
        <v>25.13</v>
      </c>
      <c r="E34" s="359" t="s">
        <v>196</v>
      </c>
      <c r="F34" s="346">
        <v>0</v>
      </c>
      <c r="G34" s="347">
        <v>0</v>
      </c>
      <c r="H34" s="349">
        <v>5.1210000000000004</v>
      </c>
      <c r="I34" s="346">
        <v>9.923</v>
      </c>
      <c r="J34" s="347">
        <v>9.923</v>
      </c>
      <c r="K34" s="357" t="s">
        <v>196</v>
      </c>
    </row>
    <row r="35" spans="1:11" ht="14.4" customHeight="1" thickBot="1" x14ac:dyDescent="0.35">
      <c r="A35" s="368" t="s">
        <v>224</v>
      </c>
      <c r="B35" s="346">
        <v>0</v>
      </c>
      <c r="C35" s="346">
        <v>3.7</v>
      </c>
      <c r="D35" s="347">
        <v>3.7</v>
      </c>
      <c r="E35" s="359" t="s">
        <v>225</v>
      </c>
      <c r="F35" s="346">
        <v>0</v>
      </c>
      <c r="G35" s="347">
        <v>0</v>
      </c>
      <c r="H35" s="349">
        <v>0</v>
      </c>
      <c r="I35" s="346">
        <v>0</v>
      </c>
      <c r="J35" s="347">
        <v>0</v>
      </c>
      <c r="K35" s="357" t="s">
        <v>196</v>
      </c>
    </row>
    <row r="36" spans="1:11" ht="14.4" customHeight="1" thickBot="1" x14ac:dyDescent="0.35">
      <c r="A36" s="366" t="s">
        <v>24</v>
      </c>
      <c r="B36" s="346">
        <v>54.179092709975997</v>
      </c>
      <c r="C36" s="346">
        <v>56.468820000000001</v>
      </c>
      <c r="D36" s="347">
        <v>2.2897272900229999</v>
      </c>
      <c r="E36" s="348">
        <v>1.04226219332</v>
      </c>
      <c r="F36" s="346">
        <v>53.521560575551</v>
      </c>
      <c r="G36" s="347">
        <v>13.380390143887</v>
      </c>
      <c r="H36" s="349">
        <v>4.1684799999999997</v>
      </c>
      <c r="I36" s="346">
        <v>13.256930000000001</v>
      </c>
      <c r="J36" s="347">
        <v>-0.123460143887</v>
      </c>
      <c r="K36" s="350">
        <v>0.24769326337700001</v>
      </c>
    </row>
    <row r="37" spans="1:11" ht="14.4" customHeight="1" thickBot="1" x14ac:dyDescent="0.35">
      <c r="A37" s="367" t="s">
        <v>226</v>
      </c>
      <c r="B37" s="351">
        <v>6.3396987651850001</v>
      </c>
      <c r="C37" s="351">
        <v>8.5523900000000008</v>
      </c>
      <c r="D37" s="352">
        <v>2.2126912348140002</v>
      </c>
      <c r="E37" s="353">
        <v>1.349021509817</v>
      </c>
      <c r="F37" s="351">
        <v>8.5215605755509998</v>
      </c>
      <c r="G37" s="352">
        <v>2.1303901438869999</v>
      </c>
      <c r="H37" s="354">
        <v>0.67305000000000004</v>
      </c>
      <c r="I37" s="351">
        <v>1.84788</v>
      </c>
      <c r="J37" s="352">
        <v>-0.28251014388700002</v>
      </c>
      <c r="K37" s="356">
        <v>0.216847604803</v>
      </c>
    </row>
    <row r="38" spans="1:11" ht="14.4" customHeight="1" thickBot="1" x14ac:dyDescent="0.35">
      <c r="A38" s="368" t="s">
        <v>227</v>
      </c>
      <c r="B38" s="346">
        <v>4.4386294620950002</v>
      </c>
      <c r="C38" s="346">
        <v>5.4626999999999999</v>
      </c>
      <c r="D38" s="347">
        <v>1.024070537904</v>
      </c>
      <c r="E38" s="348">
        <v>1.230717735429</v>
      </c>
      <c r="F38" s="346">
        <v>4.9981097399200003</v>
      </c>
      <c r="G38" s="347">
        <v>1.2495274349800001</v>
      </c>
      <c r="H38" s="349">
        <v>0.4254</v>
      </c>
      <c r="I38" s="346">
        <v>0.96589999999999998</v>
      </c>
      <c r="J38" s="347">
        <v>-0.28362743497999998</v>
      </c>
      <c r="K38" s="350">
        <v>0.193253059708</v>
      </c>
    </row>
    <row r="39" spans="1:11" ht="14.4" customHeight="1" thickBot="1" x14ac:dyDescent="0.35">
      <c r="A39" s="368" t="s">
        <v>228</v>
      </c>
      <c r="B39" s="346">
        <v>1.901069303089</v>
      </c>
      <c r="C39" s="346">
        <v>3.08969</v>
      </c>
      <c r="D39" s="347">
        <v>1.1886206969099999</v>
      </c>
      <c r="E39" s="348">
        <v>1.625237962118</v>
      </c>
      <c r="F39" s="346">
        <v>3.5234508356299998</v>
      </c>
      <c r="G39" s="347">
        <v>0.88086270890700002</v>
      </c>
      <c r="H39" s="349">
        <v>0.24765000000000001</v>
      </c>
      <c r="I39" s="346">
        <v>0.88197999999999999</v>
      </c>
      <c r="J39" s="347">
        <v>1.1172910919999999E-3</v>
      </c>
      <c r="K39" s="350">
        <v>0.25031710137099999</v>
      </c>
    </row>
    <row r="40" spans="1:11" ht="14.4" customHeight="1" thickBot="1" x14ac:dyDescent="0.35">
      <c r="A40" s="367" t="s">
        <v>229</v>
      </c>
      <c r="B40" s="351">
        <v>3.9999936338570001</v>
      </c>
      <c r="C40" s="351">
        <v>4.32</v>
      </c>
      <c r="D40" s="352">
        <v>0.32000636614200001</v>
      </c>
      <c r="E40" s="353">
        <v>1.080001718861</v>
      </c>
      <c r="F40" s="351">
        <v>4</v>
      </c>
      <c r="G40" s="352">
        <v>1</v>
      </c>
      <c r="H40" s="354">
        <v>0</v>
      </c>
      <c r="I40" s="351">
        <v>1.08</v>
      </c>
      <c r="J40" s="352">
        <v>7.9999999998999996E-2</v>
      </c>
      <c r="K40" s="356">
        <v>0.27</v>
      </c>
    </row>
    <row r="41" spans="1:11" ht="14.4" customHeight="1" thickBot="1" x14ac:dyDescent="0.35">
      <c r="A41" s="368" t="s">
        <v>230</v>
      </c>
      <c r="B41" s="346">
        <v>3.9999936338570001</v>
      </c>
      <c r="C41" s="346">
        <v>4.32</v>
      </c>
      <c r="D41" s="347">
        <v>0.32000636614200001</v>
      </c>
      <c r="E41" s="348">
        <v>1.080001718861</v>
      </c>
      <c r="F41" s="346">
        <v>4</v>
      </c>
      <c r="G41" s="347">
        <v>1</v>
      </c>
      <c r="H41" s="349">
        <v>0</v>
      </c>
      <c r="I41" s="346">
        <v>1.08</v>
      </c>
      <c r="J41" s="347">
        <v>7.9999999998999996E-2</v>
      </c>
      <c r="K41" s="350">
        <v>0.27</v>
      </c>
    </row>
    <row r="42" spans="1:11" ht="14.4" customHeight="1" thickBot="1" x14ac:dyDescent="0.35">
      <c r="A42" s="367" t="s">
        <v>231</v>
      </c>
      <c r="B42" s="351">
        <v>39.839406677074997</v>
      </c>
      <c r="C42" s="351">
        <v>39.543430000000001</v>
      </c>
      <c r="D42" s="352">
        <v>-0.29597667707500003</v>
      </c>
      <c r="E42" s="353">
        <v>0.99257075589800003</v>
      </c>
      <c r="F42" s="351">
        <v>41</v>
      </c>
      <c r="G42" s="352">
        <v>10.25</v>
      </c>
      <c r="H42" s="354">
        <v>3.4954299999999998</v>
      </c>
      <c r="I42" s="351">
        <v>10.329050000000001</v>
      </c>
      <c r="J42" s="352">
        <v>7.9049999999000004E-2</v>
      </c>
      <c r="K42" s="356">
        <v>0.25192804878000002</v>
      </c>
    </row>
    <row r="43" spans="1:11" ht="14.4" customHeight="1" thickBot="1" x14ac:dyDescent="0.35">
      <c r="A43" s="368" t="s">
        <v>232</v>
      </c>
      <c r="B43" s="346">
        <v>39.839406677074997</v>
      </c>
      <c r="C43" s="346">
        <v>39.543430000000001</v>
      </c>
      <c r="D43" s="347">
        <v>-0.29597667707500003</v>
      </c>
      <c r="E43" s="348">
        <v>0.99257075589800003</v>
      </c>
      <c r="F43" s="346">
        <v>41</v>
      </c>
      <c r="G43" s="347">
        <v>10.25</v>
      </c>
      <c r="H43" s="349">
        <v>3.4954299999999998</v>
      </c>
      <c r="I43" s="346">
        <v>10.329050000000001</v>
      </c>
      <c r="J43" s="347">
        <v>7.9049999999000004E-2</v>
      </c>
      <c r="K43" s="350">
        <v>0.25192804878000002</v>
      </c>
    </row>
    <row r="44" spans="1:11" ht="14.4" customHeight="1" thickBot="1" x14ac:dyDescent="0.35">
      <c r="A44" s="367" t="s">
        <v>233</v>
      </c>
      <c r="B44" s="351">
        <v>3.9999936338570001</v>
      </c>
      <c r="C44" s="351">
        <v>4.0529999999999999</v>
      </c>
      <c r="D44" s="352">
        <v>5.3006366142000001E-2</v>
      </c>
      <c r="E44" s="353">
        <v>1.013251612625</v>
      </c>
      <c r="F44" s="351">
        <v>0</v>
      </c>
      <c r="G44" s="352">
        <v>0</v>
      </c>
      <c r="H44" s="354">
        <v>0</v>
      </c>
      <c r="I44" s="351">
        <v>0</v>
      </c>
      <c r="J44" s="352">
        <v>0</v>
      </c>
      <c r="K44" s="355" t="s">
        <v>196</v>
      </c>
    </row>
    <row r="45" spans="1:11" ht="14.4" customHeight="1" thickBot="1" x14ac:dyDescent="0.35">
      <c r="A45" s="368" t="s">
        <v>234</v>
      </c>
      <c r="B45" s="346">
        <v>3.9999936338570001</v>
      </c>
      <c r="C45" s="346">
        <v>4.0529999999999999</v>
      </c>
      <c r="D45" s="347">
        <v>5.3006366142000001E-2</v>
      </c>
      <c r="E45" s="348">
        <v>1.013251612625</v>
      </c>
      <c r="F45" s="346">
        <v>0</v>
      </c>
      <c r="G45" s="347">
        <v>0</v>
      </c>
      <c r="H45" s="349">
        <v>0</v>
      </c>
      <c r="I45" s="346">
        <v>0</v>
      </c>
      <c r="J45" s="347">
        <v>0</v>
      </c>
      <c r="K45" s="357" t="s">
        <v>196</v>
      </c>
    </row>
    <row r="46" spans="1:11" ht="14.4" customHeight="1" thickBot="1" x14ac:dyDescent="0.35">
      <c r="A46" s="365" t="s">
        <v>25</v>
      </c>
      <c r="B46" s="346">
        <v>7196.0006496512297</v>
      </c>
      <c r="C46" s="346">
        <v>7683.30123</v>
      </c>
      <c r="D46" s="347">
        <v>487.30058034876998</v>
      </c>
      <c r="E46" s="348">
        <v>1.0677182513000001</v>
      </c>
      <c r="F46" s="346">
        <v>7683</v>
      </c>
      <c r="G46" s="347">
        <v>1920.75</v>
      </c>
      <c r="H46" s="349">
        <v>628.54273000000103</v>
      </c>
      <c r="I46" s="346">
        <v>1809.38473</v>
      </c>
      <c r="J46" s="347">
        <v>-111.365269999999</v>
      </c>
      <c r="K46" s="350">
        <v>0.23550497592</v>
      </c>
    </row>
    <row r="47" spans="1:11" ht="14.4" customHeight="1" thickBot="1" x14ac:dyDescent="0.35">
      <c r="A47" s="371" t="s">
        <v>235</v>
      </c>
      <c r="B47" s="351">
        <v>5315.0004798355103</v>
      </c>
      <c r="C47" s="351">
        <v>5678.5010000000002</v>
      </c>
      <c r="D47" s="352">
        <v>363.50052016449598</v>
      </c>
      <c r="E47" s="353">
        <v>1.068391436942</v>
      </c>
      <c r="F47" s="351">
        <v>5654</v>
      </c>
      <c r="G47" s="352">
        <v>1413.5</v>
      </c>
      <c r="H47" s="354">
        <v>462.16500000000099</v>
      </c>
      <c r="I47" s="351">
        <v>1331.5550000000001</v>
      </c>
      <c r="J47" s="352">
        <v>-81.944999999999993</v>
      </c>
      <c r="K47" s="356">
        <v>0.23550672090499999</v>
      </c>
    </row>
    <row r="48" spans="1:11" ht="14.4" customHeight="1" thickBot="1" x14ac:dyDescent="0.35">
      <c r="A48" s="367" t="s">
        <v>236</v>
      </c>
      <c r="B48" s="351">
        <v>5300.00047848131</v>
      </c>
      <c r="C48" s="351">
        <v>5645.9560000000001</v>
      </c>
      <c r="D48" s="352">
        <v>345.95552151868799</v>
      </c>
      <c r="E48" s="353">
        <v>1.065274620808</v>
      </c>
      <c r="F48" s="351">
        <v>5638</v>
      </c>
      <c r="G48" s="352">
        <v>1409.5</v>
      </c>
      <c r="H48" s="354">
        <v>462.16500000000099</v>
      </c>
      <c r="I48" s="351">
        <v>1327.066</v>
      </c>
      <c r="J48" s="352">
        <v>-82.433999999999997</v>
      </c>
      <c r="K48" s="356">
        <v>0.23537885775</v>
      </c>
    </row>
    <row r="49" spans="1:11" ht="14.4" customHeight="1" thickBot="1" x14ac:dyDescent="0.35">
      <c r="A49" s="368" t="s">
        <v>237</v>
      </c>
      <c r="B49" s="346">
        <v>5300.00047848131</v>
      </c>
      <c r="C49" s="346">
        <v>5645.9560000000001</v>
      </c>
      <c r="D49" s="347">
        <v>345.95552151868799</v>
      </c>
      <c r="E49" s="348">
        <v>1.065274620808</v>
      </c>
      <c r="F49" s="346">
        <v>5638</v>
      </c>
      <c r="G49" s="347">
        <v>1409.5</v>
      </c>
      <c r="H49" s="349">
        <v>462.16500000000099</v>
      </c>
      <c r="I49" s="346">
        <v>1327.066</v>
      </c>
      <c r="J49" s="347">
        <v>-82.433999999999997</v>
      </c>
      <c r="K49" s="350">
        <v>0.23537885775</v>
      </c>
    </row>
    <row r="50" spans="1:11" ht="14.4" customHeight="1" thickBot="1" x14ac:dyDescent="0.35">
      <c r="A50" s="367" t="s">
        <v>238</v>
      </c>
      <c r="B50" s="351">
        <v>15.000001354191999</v>
      </c>
      <c r="C50" s="351">
        <v>32.545000000000002</v>
      </c>
      <c r="D50" s="352">
        <v>17.544998645806999</v>
      </c>
      <c r="E50" s="353">
        <v>2.1696664707900002</v>
      </c>
      <c r="F50" s="351">
        <v>16</v>
      </c>
      <c r="G50" s="352">
        <v>4</v>
      </c>
      <c r="H50" s="354">
        <v>0</v>
      </c>
      <c r="I50" s="351">
        <v>4.4889999999999999</v>
      </c>
      <c r="J50" s="352">
        <v>0.48899999999900001</v>
      </c>
      <c r="K50" s="356">
        <v>0.28056249999999999</v>
      </c>
    </row>
    <row r="51" spans="1:11" ht="14.4" customHeight="1" thickBot="1" x14ac:dyDescent="0.35">
      <c r="A51" s="368" t="s">
        <v>239</v>
      </c>
      <c r="B51" s="346">
        <v>15.000001354191999</v>
      </c>
      <c r="C51" s="346">
        <v>32.545000000000002</v>
      </c>
      <c r="D51" s="347">
        <v>17.544998645806999</v>
      </c>
      <c r="E51" s="348">
        <v>2.1696664707900002</v>
      </c>
      <c r="F51" s="346">
        <v>16</v>
      </c>
      <c r="G51" s="347">
        <v>4</v>
      </c>
      <c r="H51" s="349">
        <v>0</v>
      </c>
      <c r="I51" s="346">
        <v>4.4889999999999999</v>
      </c>
      <c r="J51" s="347">
        <v>0.48899999999900001</v>
      </c>
      <c r="K51" s="350">
        <v>0.28056249999999999</v>
      </c>
    </row>
    <row r="52" spans="1:11" ht="14.4" customHeight="1" thickBot="1" x14ac:dyDescent="0.35">
      <c r="A52" s="366" t="s">
        <v>240</v>
      </c>
      <c r="B52" s="346">
        <v>1802.0001626836499</v>
      </c>
      <c r="C52" s="346">
        <v>1919.6213399999999</v>
      </c>
      <c r="D52" s="347">
        <v>117.62117731635399</v>
      </c>
      <c r="E52" s="348">
        <v>1.065272567534</v>
      </c>
      <c r="F52" s="346">
        <v>1916</v>
      </c>
      <c r="G52" s="347">
        <v>478.99999999999898</v>
      </c>
      <c r="H52" s="349">
        <v>157.13425000000001</v>
      </c>
      <c r="I52" s="346">
        <v>451.20001999999999</v>
      </c>
      <c r="J52" s="347">
        <v>-27.799979999999</v>
      </c>
      <c r="K52" s="350">
        <v>0.23549061586600001</v>
      </c>
    </row>
    <row r="53" spans="1:11" ht="14.4" customHeight="1" thickBot="1" x14ac:dyDescent="0.35">
      <c r="A53" s="367" t="s">
        <v>241</v>
      </c>
      <c r="B53" s="351">
        <v>477.000043063318</v>
      </c>
      <c r="C53" s="351">
        <v>508.13234</v>
      </c>
      <c r="D53" s="352">
        <v>31.132296936681001</v>
      </c>
      <c r="E53" s="353">
        <v>1.065266863995</v>
      </c>
      <c r="F53" s="351">
        <v>506.99999999999801</v>
      </c>
      <c r="G53" s="352">
        <v>126.74999999999901</v>
      </c>
      <c r="H53" s="354">
        <v>41.593000000000004</v>
      </c>
      <c r="I53" s="351">
        <v>119.43352</v>
      </c>
      <c r="J53" s="352">
        <v>-7.3164799999990002</v>
      </c>
      <c r="K53" s="356">
        <v>0.235569072978</v>
      </c>
    </row>
    <row r="54" spans="1:11" ht="14.4" customHeight="1" thickBot="1" x14ac:dyDescent="0.35">
      <c r="A54" s="368" t="s">
        <v>242</v>
      </c>
      <c r="B54" s="346">
        <v>477.000043063318</v>
      </c>
      <c r="C54" s="346">
        <v>508.13234</v>
      </c>
      <c r="D54" s="347">
        <v>31.132296936681001</v>
      </c>
      <c r="E54" s="348">
        <v>1.065266863995</v>
      </c>
      <c r="F54" s="346">
        <v>506.99999999999801</v>
      </c>
      <c r="G54" s="347">
        <v>126.74999999999901</v>
      </c>
      <c r="H54" s="349">
        <v>41.593000000000004</v>
      </c>
      <c r="I54" s="346">
        <v>119.43352</v>
      </c>
      <c r="J54" s="347">
        <v>-7.3164799999990002</v>
      </c>
      <c r="K54" s="350">
        <v>0.235569072978</v>
      </c>
    </row>
    <row r="55" spans="1:11" ht="14.4" customHeight="1" thickBot="1" x14ac:dyDescent="0.35">
      <c r="A55" s="367" t="s">
        <v>243</v>
      </c>
      <c r="B55" s="351">
        <v>1325.00011962033</v>
      </c>
      <c r="C55" s="351">
        <v>1411.489</v>
      </c>
      <c r="D55" s="352">
        <v>86.488880379671002</v>
      </c>
      <c r="E55" s="353">
        <v>1.065274620808</v>
      </c>
      <c r="F55" s="351">
        <v>1409</v>
      </c>
      <c r="G55" s="352">
        <v>352.25</v>
      </c>
      <c r="H55" s="354">
        <v>115.54125000000001</v>
      </c>
      <c r="I55" s="351">
        <v>331.76650000000001</v>
      </c>
      <c r="J55" s="352">
        <v>-20.483499999999001</v>
      </c>
      <c r="K55" s="356">
        <v>0.23546238466899999</v>
      </c>
    </row>
    <row r="56" spans="1:11" ht="14.4" customHeight="1" thickBot="1" x14ac:dyDescent="0.35">
      <c r="A56" s="368" t="s">
        <v>244</v>
      </c>
      <c r="B56" s="346">
        <v>1325.00011962033</v>
      </c>
      <c r="C56" s="346">
        <v>1411.489</v>
      </c>
      <c r="D56" s="347">
        <v>86.488880379671002</v>
      </c>
      <c r="E56" s="348">
        <v>1.065274620808</v>
      </c>
      <c r="F56" s="346">
        <v>1409</v>
      </c>
      <c r="G56" s="347">
        <v>352.25</v>
      </c>
      <c r="H56" s="349">
        <v>115.54125000000001</v>
      </c>
      <c r="I56" s="346">
        <v>331.76650000000001</v>
      </c>
      <c r="J56" s="347">
        <v>-20.483499999999001</v>
      </c>
      <c r="K56" s="350">
        <v>0.23546238466899999</v>
      </c>
    </row>
    <row r="57" spans="1:11" ht="14.4" customHeight="1" thickBot="1" x14ac:dyDescent="0.35">
      <c r="A57" s="366" t="s">
        <v>245</v>
      </c>
      <c r="B57" s="346">
        <v>79.00000713208</v>
      </c>
      <c r="C57" s="346">
        <v>85.178889999999996</v>
      </c>
      <c r="D57" s="347">
        <v>6.1788828679199996</v>
      </c>
      <c r="E57" s="348">
        <v>1.078213700127</v>
      </c>
      <c r="F57" s="346">
        <v>113</v>
      </c>
      <c r="G57" s="347">
        <v>28.25</v>
      </c>
      <c r="H57" s="349">
        <v>9.2434799999999999</v>
      </c>
      <c r="I57" s="346">
        <v>26.629709999999999</v>
      </c>
      <c r="J57" s="347">
        <v>-1.62029</v>
      </c>
      <c r="K57" s="350">
        <v>0.23566115044200001</v>
      </c>
    </row>
    <row r="58" spans="1:11" ht="14.4" customHeight="1" thickBot="1" x14ac:dyDescent="0.35">
      <c r="A58" s="367" t="s">
        <v>246</v>
      </c>
      <c r="B58" s="351">
        <v>79.00000713208</v>
      </c>
      <c r="C58" s="351">
        <v>85.178889999999996</v>
      </c>
      <c r="D58" s="352">
        <v>6.1788828679199996</v>
      </c>
      <c r="E58" s="353">
        <v>1.078213700127</v>
      </c>
      <c r="F58" s="351">
        <v>113</v>
      </c>
      <c r="G58" s="352">
        <v>28.25</v>
      </c>
      <c r="H58" s="354">
        <v>9.2434799999999999</v>
      </c>
      <c r="I58" s="351">
        <v>26.629709999999999</v>
      </c>
      <c r="J58" s="352">
        <v>-1.62029</v>
      </c>
      <c r="K58" s="356">
        <v>0.23566115044200001</v>
      </c>
    </row>
    <row r="59" spans="1:11" ht="14.4" customHeight="1" thickBot="1" x14ac:dyDescent="0.35">
      <c r="A59" s="368" t="s">
        <v>247</v>
      </c>
      <c r="B59" s="346">
        <v>79.00000713208</v>
      </c>
      <c r="C59" s="346">
        <v>85.178889999999996</v>
      </c>
      <c r="D59" s="347">
        <v>6.1788828679199996</v>
      </c>
      <c r="E59" s="348">
        <v>1.078213700127</v>
      </c>
      <c r="F59" s="346">
        <v>113</v>
      </c>
      <c r="G59" s="347">
        <v>28.25</v>
      </c>
      <c r="H59" s="349">
        <v>9.2434799999999999</v>
      </c>
      <c r="I59" s="346">
        <v>26.629709999999999</v>
      </c>
      <c r="J59" s="347">
        <v>-1.62029</v>
      </c>
      <c r="K59" s="350">
        <v>0.23566115044200001</v>
      </c>
    </row>
    <row r="60" spans="1:11" ht="14.4" customHeight="1" thickBot="1" x14ac:dyDescent="0.35">
      <c r="A60" s="365" t="s">
        <v>248</v>
      </c>
      <c r="B60" s="346">
        <v>0</v>
      </c>
      <c r="C60" s="346">
        <v>83.55</v>
      </c>
      <c r="D60" s="347">
        <v>83.55</v>
      </c>
      <c r="E60" s="359" t="s">
        <v>196</v>
      </c>
      <c r="F60" s="346">
        <v>0</v>
      </c>
      <c r="G60" s="347">
        <v>0</v>
      </c>
      <c r="H60" s="349">
        <v>17.399699999999999</v>
      </c>
      <c r="I60" s="346">
        <v>23.099699999999999</v>
      </c>
      <c r="J60" s="347">
        <v>23.099699999999999</v>
      </c>
      <c r="K60" s="357" t="s">
        <v>196</v>
      </c>
    </row>
    <row r="61" spans="1:11" ht="14.4" customHeight="1" thickBot="1" x14ac:dyDescent="0.35">
      <c r="A61" s="366" t="s">
        <v>249</v>
      </c>
      <c r="B61" s="346">
        <v>0</v>
      </c>
      <c r="C61" s="346">
        <v>83.55</v>
      </c>
      <c r="D61" s="347">
        <v>83.55</v>
      </c>
      <c r="E61" s="359" t="s">
        <v>196</v>
      </c>
      <c r="F61" s="346">
        <v>0</v>
      </c>
      <c r="G61" s="347">
        <v>0</v>
      </c>
      <c r="H61" s="349">
        <v>17.399699999999999</v>
      </c>
      <c r="I61" s="346">
        <v>23.099699999999999</v>
      </c>
      <c r="J61" s="347">
        <v>23.099699999999999</v>
      </c>
      <c r="K61" s="357" t="s">
        <v>196</v>
      </c>
    </row>
    <row r="62" spans="1:11" ht="14.4" customHeight="1" thickBot="1" x14ac:dyDescent="0.35">
      <c r="A62" s="367" t="s">
        <v>250</v>
      </c>
      <c r="B62" s="351">
        <v>0</v>
      </c>
      <c r="C62" s="351">
        <v>0</v>
      </c>
      <c r="D62" s="352">
        <v>0</v>
      </c>
      <c r="E62" s="358" t="s">
        <v>196</v>
      </c>
      <c r="F62" s="351">
        <v>0</v>
      </c>
      <c r="G62" s="352">
        <v>0</v>
      </c>
      <c r="H62" s="354">
        <v>0.68969999999999998</v>
      </c>
      <c r="I62" s="351">
        <v>0.68969999999999998</v>
      </c>
      <c r="J62" s="352">
        <v>0.68969999999999998</v>
      </c>
      <c r="K62" s="355" t="s">
        <v>225</v>
      </c>
    </row>
    <row r="63" spans="1:11" ht="14.4" customHeight="1" thickBot="1" x14ac:dyDescent="0.35">
      <c r="A63" s="368" t="s">
        <v>251</v>
      </c>
      <c r="B63" s="346">
        <v>0</v>
      </c>
      <c r="C63" s="346">
        <v>0</v>
      </c>
      <c r="D63" s="347">
        <v>0</v>
      </c>
      <c r="E63" s="359" t="s">
        <v>196</v>
      </c>
      <c r="F63" s="346">
        <v>0</v>
      </c>
      <c r="G63" s="347">
        <v>0</v>
      </c>
      <c r="H63" s="349">
        <v>0.68969999999999998</v>
      </c>
      <c r="I63" s="346">
        <v>0.68969999999999998</v>
      </c>
      <c r="J63" s="347">
        <v>0.68969999999999998</v>
      </c>
      <c r="K63" s="357" t="s">
        <v>225</v>
      </c>
    </row>
    <row r="64" spans="1:11" ht="14.4" customHeight="1" thickBot="1" x14ac:dyDescent="0.35">
      <c r="A64" s="370" t="s">
        <v>252</v>
      </c>
      <c r="B64" s="346">
        <v>0</v>
      </c>
      <c r="C64" s="346">
        <v>83.55</v>
      </c>
      <c r="D64" s="347">
        <v>83.55</v>
      </c>
      <c r="E64" s="359" t="s">
        <v>196</v>
      </c>
      <c r="F64" s="346">
        <v>0</v>
      </c>
      <c r="G64" s="347">
        <v>0</v>
      </c>
      <c r="H64" s="349">
        <v>16.71</v>
      </c>
      <c r="I64" s="346">
        <v>22.41</v>
      </c>
      <c r="J64" s="347">
        <v>22.41</v>
      </c>
      <c r="K64" s="357" t="s">
        <v>196</v>
      </c>
    </row>
    <row r="65" spans="1:11" ht="14.4" customHeight="1" thickBot="1" x14ac:dyDescent="0.35">
      <c r="A65" s="368" t="s">
        <v>253</v>
      </c>
      <c r="B65" s="346">
        <v>0</v>
      </c>
      <c r="C65" s="346">
        <v>83.55</v>
      </c>
      <c r="D65" s="347">
        <v>83.55</v>
      </c>
      <c r="E65" s="359" t="s">
        <v>196</v>
      </c>
      <c r="F65" s="346">
        <v>0</v>
      </c>
      <c r="G65" s="347">
        <v>0</v>
      </c>
      <c r="H65" s="349">
        <v>16.71</v>
      </c>
      <c r="I65" s="346">
        <v>22.41</v>
      </c>
      <c r="J65" s="347">
        <v>22.41</v>
      </c>
      <c r="K65" s="357" t="s">
        <v>196</v>
      </c>
    </row>
    <row r="66" spans="1:11" ht="14.4" customHeight="1" thickBot="1" x14ac:dyDescent="0.35">
      <c r="A66" s="365" t="s">
        <v>254</v>
      </c>
      <c r="B66" s="346">
        <v>43.000099298164997</v>
      </c>
      <c r="C66" s="346">
        <v>43.17</v>
      </c>
      <c r="D66" s="347">
        <v>0.169900701834</v>
      </c>
      <c r="E66" s="348">
        <v>1.0039511699879999</v>
      </c>
      <c r="F66" s="346">
        <v>45</v>
      </c>
      <c r="G66" s="347">
        <v>11.25</v>
      </c>
      <c r="H66" s="349">
        <v>3.7570000000000001</v>
      </c>
      <c r="I66" s="346">
        <v>11.207000000000001</v>
      </c>
      <c r="J66" s="347">
        <v>-4.2999999999999997E-2</v>
      </c>
      <c r="K66" s="350">
        <v>0.24904444444400001</v>
      </c>
    </row>
    <row r="67" spans="1:11" ht="14.4" customHeight="1" thickBot="1" x14ac:dyDescent="0.35">
      <c r="A67" s="366" t="s">
        <v>255</v>
      </c>
      <c r="B67" s="346">
        <v>43.000099298164997</v>
      </c>
      <c r="C67" s="346">
        <v>43.17</v>
      </c>
      <c r="D67" s="347">
        <v>0.169900701834</v>
      </c>
      <c r="E67" s="348">
        <v>1.0039511699879999</v>
      </c>
      <c r="F67" s="346">
        <v>45</v>
      </c>
      <c r="G67" s="347">
        <v>11.25</v>
      </c>
      <c r="H67" s="349">
        <v>3.7570000000000001</v>
      </c>
      <c r="I67" s="346">
        <v>11.207000000000001</v>
      </c>
      <c r="J67" s="347">
        <v>-4.2999999999999997E-2</v>
      </c>
      <c r="K67" s="350">
        <v>0.24904444444400001</v>
      </c>
    </row>
    <row r="68" spans="1:11" ht="14.4" customHeight="1" thickBot="1" x14ac:dyDescent="0.35">
      <c r="A68" s="367" t="s">
        <v>256</v>
      </c>
      <c r="B68" s="351">
        <v>43.000099298164997</v>
      </c>
      <c r="C68" s="351">
        <v>43.17</v>
      </c>
      <c r="D68" s="352">
        <v>0.169900701834</v>
      </c>
      <c r="E68" s="353">
        <v>1.0039511699879999</v>
      </c>
      <c r="F68" s="351">
        <v>45</v>
      </c>
      <c r="G68" s="352">
        <v>11.25</v>
      </c>
      <c r="H68" s="354">
        <v>3.7570000000000001</v>
      </c>
      <c r="I68" s="351">
        <v>11.207000000000001</v>
      </c>
      <c r="J68" s="352">
        <v>-4.2999999999999997E-2</v>
      </c>
      <c r="K68" s="356">
        <v>0.24904444444400001</v>
      </c>
    </row>
    <row r="69" spans="1:11" ht="14.4" customHeight="1" thickBot="1" x14ac:dyDescent="0.35">
      <c r="A69" s="368" t="s">
        <v>257</v>
      </c>
      <c r="B69" s="346">
        <v>25.000057731491001</v>
      </c>
      <c r="C69" s="346">
        <v>25.434000000000001</v>
      </c>
      <c r="D69" s="347">
        <v>0.433942268508</v>
      </c>
      <c r="E69" s="348">
        <v>1.0173576506569999</v>
      </c>
      <c r="F69" s="346">
        <v>27</v>
      </c>
      <c r="G69" s="347">
        <v>6.75</v>
      </c>
      <c r="H69" s="349">
        <v>2.2669999999999999</v>
      </c>
      <c r="I69" s="346">
        <v>6.7430000000000003</v>
      </c>
      <c r="J69" s="347">
        <v>-7.0000000000000001E-3</v>
      </c>
      <c r="K69" s="350">
        <v>0.24974074073999999</v>
      </c>
    </row>
    <row r="70" spans="1:11" ht="14.4" customHeight="1" thickBot="1" x14ac:dyDescent="0.35">
      <c r="A70" s="368" t="s">
        <v>258</v>
      </c>
      <c r="B70" s="346">
        <v>10.000023092596001</v>
      </c>
      <c r="C70" s="346">
        <v>9.9120000000000008</v>
      </c>
      <c r="D70" s="347">
        <v>-8.8023092595999997E-2</v>
      </c>
      <c r="E70" s="348">
        <v>0.99119771106700005</v>
      </c>
      <c r="F70" s="346">
        <v>10</v>
      </c>
      <c r="G70" s="347">
        <v>2.5</v>
      </c>
      <c r="H70" s="349">
        <v>0.82599999999999996</v>
      </c>
      <c r="I70" s="346">
        <v>2.4780000000000002</v>
      </c>
      <c r="J70" s="347">
        <v>-2.1999999999999999E-2</v>
      </c>
      <c r="K70" s="350">
        <v>0.24779999999999999</v>
      </c>
    </row>
    <row r="71" spans="1:11" ht="14.4" customHeight="1" thickBot="1" x14ac:dyDescent="0.35">
      <c r="A71" s="368" t="s">
        <v>259</v>
      </c>
      <c r="B71" s="346">
        <v>8.0000184740770006</v>
      </c>
      <c r="C71" s="346">
        <v>7.8239999999999998</v>
      </c>
      <c r="D71" s="347">
        <v>-0.176018474077</v>
      </c>
      <c r="E71" s="348">
        <v>0.97799774154899999</v>
      </c>
      <c r="F71" s="346">
        <v>8</v>
      </c>
      <c r="G71" s="347">
        <v>2</v>
      </c>
      <c r="H71" s="349">
        <v>0.66400000000000003</v>
      </c>
      <c r="I71" s="346">
        <v>1.986</v>
      </c>
      <c r="J71" s="347">
        <v>-1.4E-2</v>
      </c>
      <c r="K71" s="350">
        <v>0.24825</v>
      </c>
    </row>
    <row r="72" spans="1:11" ht="14.4" customHeight="1" thickBot="1" x14ac:dyDescent="0.35">
      <c r="A72" s="364" t="s">
        <v>260</v>
      </c>
      <c r="B72" s="346">
        <v>8846.4635074222206</v>
      </c>
      <c r="C72" s="346">
        <v>9514.4940100000003</v>
      </c>
      <c r="D72" s="347">
        <v>668.030502577785</v>
      </c>
      <c r="E72" s="348">
        <v>1.0755138482190001</v>
      </c>
      <c r="F72" s="346">
        <v>9565.3450051072996</v>
      </c>
      <c r="G72" s="347">
        <v>2391.3362512768199</v>
      </c>
      <c r="H72" s="349">
        <v>868.60618999999997</v>
      </c>
      <c r="I72" s="346">
        <v>2363.4853699999999</v>
      </c>
      <c r="J72" s="347">
        <v>-27.850881276824001</v>
      </c>
      <c r="K72" s="350">
        <v>0.247088355802</v>
      </c>
    </row>
    <row r="73" spans="1:11" ht="14.4" customHeight="1" thickBot="1" x14ac:dyDescent="0.35">
      <c r="A73" s="365" t="s">
        <v>261</v>
      </c>
      <c r="B73" s="346">
        <v>8806.0725152696305</v>
      </c>
      <c r="C73" s="346">
        <v>9471.5033600000006</v>
      </c>
      <c r="D73" s="347">
        <v>665.43084473037004</v>
      </c>
      <c r="E73" s="348">
        <v>1.075564997174</v>
      </c>
      <c r="F73" s="346">
        <v>9525.7046443160707</v>
      </c>
      <c r="G73" s="347">
        <v>2381.4261610790199</v>
      </c>
      <c r="H73" s="349">
        <v>865.77984000000004</v>
      </c>
      <c r="I73" s="346">
        <v>2350.42785</v>
      </c>
      <c r="J73" s="347">
        <v>-30.998311079015998</v>
      </c>
      <c r="K73" s="350">
        <v>0.246745824877</v>
      </c>
    </row>
    <row r="74" spans="1:11" ht="14.4" customHeight="1" thickBot="1" x14ac:dyDescent="0.35">
      <c r="A74" s="366" t="s">
        <v>262</v>
      </c>
      <c r="B74" s="346">
        <v>8806.0725152696305</v>
      </c>
      <c r="C74" s="346">
        <v>9471.5033600000006</v>
      </c>
      <c r="D74" s="347">
        <v>665.43084473037004</v>
      </c>
      <c r="E74" s="348">
        <v>1.075564997174</v>
      </c>
      <c r="F74" s="346">
        <v>9525.7046443160707</v>
      </c>
      <c r="G74" s="347">
        <v>2381.4261610790199</v>
      </c>
      <c r="H74" s="349">
        <v>865.77984000000004</v>
      </c>
      <c r="I74" s="346">
        <v>2350.42785</v>
      </c>
      <c r="J74" s="347">
        <v>-30.998311079015998</v>
      </c>
      <c r="K74" s="350">
        <v>0.246745824877</v>
      </c>
    </row>
    <row r="75" spans="1:11" ht="14.4" customHeight="1" thickBot="1" x14ac:dyDescent="0.35">
      <c r="A75" s="367" t="s">
        <v>263</v>
      </c>
      <c r="B75" s="351">
        <v>25.256597930760002</v>
      </c>
      <c r="C75" s="351">
        <v>59.369320000000002</v>
      </c>
      <c r="D75" s="352">
        <v>34.112722069238998</v>
      </c>
      <c r="E75" s="353">
        <v>2.3506459643830002</v>
      </c>
      <c r="F75" s="351">
        <v>60</v>
      </c>
      <c r="G75" s="352">
        <v>15</v>
      </c>
      <c r="H75" s="354">
        <v>3.8976000000000002</v>
      </c>
      <c r="I75" s="351">
        <v>7.7952000000000004</v>
      </c>
      <c r="J75" s="352">
        <v>-7.2047999999999996</v>
      </c>
      <c r="K75" s="356">
        <v>0.12992000000000001</v>
      </c>
    </row>
    <row r="76" spans="1:11" ht="14.4" customHeight="1" thickBot="1" x14ac:dyDescent="0.35">
      <c r="A76" s="368" t="s">
        <v>264</v>
      </c>
      <c r="B76" s="346">
        <v>2.3863759235059998</v>
      </c>
      <c r="C76" s="346">
        <v>0</v>
      </c>
      <c r="D76" s="347">
        <v>-2.3863759235059998</v>
      </c>
      <c r="E76" s="348">
        <v>0</v>
      </c>
      <c r="F76" s="346">
        <v>0</v>
      </c>
      <c r="G76" s="347">
        <v>0</v>
      </c>
      <c r="H76" s="349">
        <v>0</v>
      </c>
      <c r="I76" s="346">
        <v>0</v>
      </c>
      <c r="J76" s="347">
        <v>0</v>
      </c>
      <c r="K76" s="350">
        <v>3</v>
      </c>
    </row>
    <row r="77" spans="1:11" ht="14.4" customHeight="1" thickBot="1" x14ac:dyDescent="0.35">
      <c r="A77" s="368" t="s">
        <v>265</v>
      </c>
      <c r="B77" s="346">
        <v>22.870222007252998</v>
      </c>
      <c r="C77" s="346">
        <v>59.369320000000002</v>
      </c>
      <c r="D77" s="347">
        <v>36.499097992746002</v>
      </c>
      <c r="E77" s="348">
        <v>2.595922329969</v>
      </c>
      <c r="F77" s="346">
        <v>60</v>
      </c>
      <c r="G77" s="347">
        <v>15</v>
      </c>
      <c r="H77" s="349">
        <v>3.8976000000000002</v>
      </c>
      <c r="I77" s="346">
        <v>7.7952000000000004</v>
      </c>
      <c r="J77" s="347">
        <v>-7.2047999999999996</v>
      </c>
      <c r="K77" s="350">
        <v>0.12992000000000001</v>
      </c>
    </row>
    <row r="78" spans="1:11" ht="14.4" customHeight="1" thickBot="1" x14ac:dyDescent="0.35">
      <c r="A78" s="367" t="s">
        <v>266</v>
      </c>
      <c r="B78" s="351">
        <v>22.817816053093001</v>
      </c>
      <c r="C78" s="351">
        <v>20.674399999999999</v>
      </c>
      <c r="D78" s="352">
        <v>-2.143416053093</v>
      </c>
      <c r="E78" s="353">
        <v>0.90606392618300002</v>
      </c>
      <c r="F78" s="351">
        <v>26.704644316067998</v>
      </c>
      <c r="G78" s="352">
        <v>6.6761610790169996</v>
      </c>
      <c r="H78" s="354">
        <v>0</v>
      </c>
      <c r="I78" s="351">
        <v>0</v>
      </c>
      <c r="J78" s="352">
        <v>-6.6761610790169996</v>
      </c>
      <c r="K78" s="356">
        <v>0</v>
      </c>
    </row>
    <row r="79" spans="1:11" ht="14.4" customHeight="1" thickBot="1" x14ac:dyDescent="0.35">
      <c r="A79" s="368" t="s">
        <v>267</v>
      </c>
      <c r="B79" s="346">
        <v>13.000001303492001</v>
      </c>
      <c r="C79" s="346">
        <v>20.674399999999999</v>
      </c>
      <c r="D79" s="347">
        <v>7.6743986965069997</v>
      </c>
      <c r="E79" s="348">
        <v>1.5903383020770001</v>
      </c>
      <c r="F79" s="346">
        <v>21.704644316067998</v>
      </c>
      <c r="G79" s="347">
        <v>5.4261610790169996</v>
      </c>
      <c r="H79" s="349">
        <v>0</v>
      </c>
      <c r="I79" s="346">
        <v>0</v>
      </c>
      <c r="J79" s="347">
        <v>-5.4261610790169996</v>
      </c>
      <c r="K79" s="350">
        <v>0</v>
      </c>
    </row>
    <row r="80" spans="1:11" ht="14.4" customHeight="1" thickBot="1" x14ac:dyDescent="0.35">
      <c r="A80" s="368" t="s">
        <v>268</v>
      </c>
      <c r="B80" s="346">
        <v>9.8178147496010002</v>
      </c>
      <c r="C80" s="346">
        <v>0</v>
      </c>
      <c r="D80" s="347">
        <v>-9.8178147496010002</v>
      </c>
      <c r="E80" s="348">
        <v>0</v>
      </c>
      <c r="F80" s="346">
        <v>5</v>
      </c>
      <c r="G80" s="347">
        <v>1.25</v>
      </c>
      <c r="H80" s="349">
        <v>0</v>
      </c>
      <c r="I80" s="346">
        <v>0</v>
      </c>
      <c r="J80" s="347">
        <v>-1.25</v>
      </c>
      <c r="K80" s="350">
        <v>0</v>
      </c>
    </row>
    <row r="81" spans="1:11" ht="14.4" customHeight="1" thickBot="1" x14ac:dyDescent="0.35">
      <c r="A81" s="367" t="s">
        <v>269</v>
      </c>
      <c r="B81" s="351">
        <v>11.997224336101</v>
      </c>
      <c r="C81" s="351">
        <v>5.5014000000000003</v>
      </c>
      <c r="D81" s="352">
        <v>-6.4958243361010002</v>
      </c>
      <c r="E81" s="353">
        <v>0.45855606645899999</v>
      </c>
      <c r="F81" s="351">
        <v>18</v>
      </c>
      <c r="G81" s="352">
        <v>4.5</v>
      </c>
      <c r="H81" s="354">
        <v>0</v>
      </c>
      <c r="I81" s="351">
        <v>0</v>
      </c>
      <c r="J81" s="352">
        <v>-4.5</v>
      </c>
      <c r="K81" s="356">
        <v>0</v>
      </c>
    </row>
    <row r="82" spans="1:11" ht="14.4" customHeight="1" thickBot="1" x14ac:dyDescent="0.35">
      <c r="A82" s="368" t="s">
        <v>270</v>
      </c>
      <c r="B82" s="346">
        <v>1.9972233334139999</v>
      </c>
      <c r="C82" s="346">
        <v>3.7584</v>
      </c>
      <c r="D82" s="347">
        <v>1.7611766665849999</v>
      </c>
      <c r="E82" s="348">
        <v>1.881812583059</v>
      </c>
      <c r="F82" s="346">
        <v>3</v>
      </c>
      <c r="G82" s="347">
        <v>0.75</v>
      </c>
      <c r="H82" s="349">
        <v>0</v>
      </c>
      <c r="I82" s="346">
        <v>0</v>
      </c>
      <c r="J82" s="347">
        <v>-0.75</v>
      </c>
      <c r="K82" s="350">
        <v>0</v>
      </c>
    </row>
    <row r="83" spans="1:11" ht="14.4" customHeight="1" thickBot="1" x14ac:dyDescent="0.35">
      <c r="A83" s="368" t="s">
        <v>271</v>
      </c>
      <c r="B83" s="346">
        <v>10.000001002686</v>
      </c>
      <c r="C83" s="346">
        <v>1.7430000000000001</v>
      </c>
      <c r="D83" s="347">
        <v>-8.2570010026859997</v>
      </c>
      <c r="E83" s="348">
        <v>0.174299982523</v>
      </c>
      <c r="F83" s="346">
        <v>15</v>
      </c>
      <c r="G83" s="347">
        <v>3.75</v>
      </c>
      <c r="H83" s="349">
        <v>0</v>
      </c>
      <c r="I83" s="346">
        <v>0</v>
      </c>
      <c r="J83" s="347">
        <v>-3.75</v>
      </c>
      <c r="K83" s="350">
        <v>0</v>
      </c>
    </row>
    <row r="84" spans="1:11" ht="14.4" customHeight="1" thickBot="1" x14ac:dyDescent="0.35">
      <c r="A84" s="367" t="s">
        <v>272</v>
      </c>
      <c r="B84" s="351">
        <v>8746.0008769496799</v>
      </c>
      <c r="C84" s="351">
        <v>8854.7393699999993</v>
      </c>
      <c r="D84" s="352">
        <v>108.738493050325</v>
      </c>
      <c r="E84" s="353">
        <v>1.012432938731</v>
      </c>
      <c r="F84" s="351">
        <v>9421</v>
      </c>
      <c r="G84" s="352">
        <v>2355.25</v>
      </c>
      <c r="H84" s="354">
        <v>861.88224000000002</v>
      </c>
      <c r="I84" s="351">
        <v>2342.5407799999998</v>
      </c>
      <c r="J84" s="352">
        <v>-12.709219999999</v>
      </c>
      <c r="K84" s="356">
        <v>0.24865096911099999</v>
      </c>
    </row>
    <row r="85" spans="1:11" ht="14.4" customHeight="1" thickBot="1" x14ac:dyDescent="0.35">
      <c r="A85" s="368" t="s">
        <v>273</v>
      </c>
      <c r="B85" s="346">
        <v>3259.0003267755501</v>
      </c>
      <c r="C85" s="346">
        <v>3136.7258900000002</v>
      </c>
      <c r="D85" s="347">
        <v>-122.274436775553</v>
      </c>
      <c r="E85" s="348">
        <v>0.96248099892100003</v>
      </c>
      <c r="F85" s="346">
        <v>3443</v>
      </c>
      <c r="G85" s="347">
        <v>860.75</v>
      </c>
      <c r="H85" s="349">
        <v>288.20778999999999</v>
      </c>
      <c r="I85" s="346">
        <v>761.97334000000001</v>
      </c>
      <c r="J85" s="347">
        <v>-98.776659999998998</v>
      </c>
      <c r="K85" s="350">
        <v>0.22131087423699999</v>
      </c>
    </row>
    <row r="86" spans="1:11" ht="14.4" customHeight="1" thickBot="1" x14ac:dyDescent="0.35">
      <c r="A86" s="368" t="s">
        <v>274</v>
      </c>
      <c r="B86" s="346">
        <v>5487.0005501741198</v>
      </c>
      <c r="C86" s="346">
        <v>5718.0134799999996</v>
      </c>
      <c r="D86" s="347">
        <v>231.01292982587799</v>
      </c>
      <c r="E86" s="348">
        <v>1.0421018601530001</v>
      </c>
      <c r="F86" s="346">
        <v>5978</v>
      </c>
      <c r="G86" s="347">
        <v>1494.5</v>
      </c>
      <c r="H86" s="349">
        <v>573.67444999999998</v>
      </c>
      <c r="I86" s="346">
        <v>1580.56744</v>
      </c>
      <c r="J86" s="347">
        <v>86.067440000000005</v>
      </c>
      <c r="K86" s="350">
        <v>0.26439736366599997</v>
      </c>
    </row>
    <row r="87" spans="1:11" ht="14.4" customHeight="1" thickBot="1" x14ac:dyDescent="0.35">
      <c r="A87" s="367" t="s">
        <v>275</v>
      </c>
      <c r="B87" s="351">
        <v>0</v>
      </c>
      <c r="C87" s="351">
        <v>531.21887000000004</v>
      </c>
      <c r="D87" s="352">
        <v>531.21887000000004</v>
      </c>
      <c r="E87" s="358" t="s">
        <v>196</v>
      </c>
      <c r="F87" s="351">
        <v>0</v>
      </c>
      <c r="G87" s="352">
        <v>0</v>
      </c>
      <c r="H87" s="354">
        <v>0</v>
      </c>
      <c r="I87" s="351">
        <v>9.1869999999999993E-2</v>
      </c>
      <c r="J87" s="352">
        <v>9.1869999999999993E-2</v>
      </c>
      <c r="K87" s="355" t="s">
        <v>196</v>
      </c>
    </row>
    <row r="88" spans="1:11" ht="14.4" customHeight="1" thickBot="1" x14ac:dyDescent="0.35">
      <c r="A88" s="368" t="s">
        <v>276</v>
      </c>
      <c r="B88" s="346">
        <v>0</v>
      </c>
      <c r="C88" s="346">
        <v>51.932510000000001</v>
      </c>
      <c r="D88" s="347">
        <v>51.932510000000001</v>
      </c>
      <c r="E88" s="359" t="s">
        <v>196</v>
      </c>
      <c r="F88" s="346">
        <v>0</v>
      </c>
      <c r="G88" s="347">
        <v>0</v>
      </c>
      <c r="H88" s="349">
        <v>0</v>
      </c>
      <c r="I88" s="346">
        <v>0</v>
      </c>
      <c r="J88" s="347">
        <v>0</v>
      </c>
      <c r="K88" s="357" t="s">
        <v>196</v>
      </c>
    </row>
    <row r="89" spans="1:11" ht="14.4" customHeight="1" thickBot="1" x14ac:dyDescent="0.35">
      <c r="A89" s="368" t="s">
        <v>277</v>
      </c>
      <c r="B89" s="346">
        <v>0</v>
      </c>
      <c r="C89" s="346">
        <v>479.28636</v>
      </c>
      <c r="D89" s="347">
        <v>479.28636</v>
      </c>
      <c r="E89" s="359" t="s">
        <v>196</v>
      </c>
      <c r="F89" s="346">
        <v>0</v>
      </c>
      <c r="G89" s="347">
        <v>0</v>
      </c>
      <c r="H89" s="349">
        <v>0</v>
      </c>
      <c r="I89" s="346">
        <v>9.1869999999999993E-2</v>
      </c>
      <c r="J89" s="347">
        <v>9.1869999999999993E-2</v>
      </c>
      <c r="K89" s="357" t="s">
        <v>196</v>
      </c>
    </row>
    <row r="90" spans="1:11" ht="14.4" customHeight="1" thickBot="1" x14ac:dyDescent="0.35">
      <c r="A90" s="365" t="s">
        <v>278</v>
      </c>
      <c r="B90" s="346">
        <v>40.390992152583003</v>
      </c>
      <c r="C90" s="346">
        <v>42.990650000000002</v>
      </c>
      <c r="D90" s="347">
        <v>2.5996578474160001</v>
      </c>
      <c r="E90" s="348">
        <v>1.064362317162</v>
      </c>
      <c r="F90" s="346">
        <v>39.640360791230002</v>
      </c>
      <c r="G90" s="347">
        <v>9.9100901978069995</v>
      </c>
      <c r="H90" s="349">
        <v>2.8263500000000001</v>
      </c>
      <c r="I90" s="346">
        <v>13.05752</v>
      </c>
      <c r="J90" s="347">
        <v>3.1474298021920002</v>
      </c>
      <c r="K90" s="350">
        <v>0.32939962551700003</v>
      </c>
    </row>
    <row r="91" spans="1:11" ht="14.4" customHeight="1" thickBot="1" x14ac:dyDescent="0.35">
      <c r="A91" s="371" t="s">
        <v>279</v>
      </c>
      <c r="B91" s="351">
        <v>40.390992152583003</v>
      </c>
      <c r="C91" s="351">
        <v>42.990650000000002</v>
      </c>
      <c r="D91" s="352">
        <v>2.5996578474160001</v>
      </c>
      <c r="E91" s="353">
        <v>1.064362317162</v>
      </c>
      <c r="F91" s="351">
        <v>39.640360791230002</v>
      </c>
      <c r="G91" s="352">
        <v>9.9100901978069995</v>
      </c>
      <c r="H91" s="354">
        <v>2.8263500000000001</v>
      </c>
      <c r="I91" s="351">
        <v>13.05752</v>
      </c>
      <c r="J91" s="352">
        <v>3.1474298021920002</v>
      </c>
      <c r="K91" s="356">
        <v>0.32939962551700003</v>
      </c>
    </row>
    <row r="92" spans="1:11" ht="14.4" customHeight="1" thickBot="1" x14ac:dyDescent="0.35">
      <c r="A92" s="367" t="s">
        <v>280</v>
      </c>
      <c r="B92" s="351">
        <v>0</v>
      </c>
      <c r="C92" s="351">
        <v>8.0000000000000007E-5</v>
      </c>
      <c r="D92" s="352">
        <v>8.0000000000000007E-5</v>
      </c>
      <c r="E92" s="358" t="s">
        <v>196</v>
      </c>
      <c r="F92" s="351">
        <v>0</v>
      </c>
      <c r="G92" s="352">
        <v>0</v>
      </c>
      <c r="H92" s="354">
        <v>0</v>
      </c>
      <c r="I92" s="351">
        <v>0</v>
      </c>
      <c r="J92" s="352">
        <v>0</v>
      </c>
      <c r="K92" s="355" t="s">
        <v>196</v>
      </c>
    </row>
    <row r="93" spans="1:11" ht="14.4" customHeight="1" thickBot="1" x14ac:dyDescent="0.35">
      <c r="A93" s="368" t="s">
        <v>281</v>
      </c>
      <c r="B93" s="346">
        <v>0</v>
      </c>
      <c r="C93" s="346">
        <v>8.0000000000000007E-5</v>
      </c>
      <c r="D93" s="347">
        <v>8.0000000000000007E-5</v>
      </c>
      <c r="E93" s="359" t="s">
        <v>196</v>
      </c>
      <c r="F93" s="346">
        <v>0</v>
      </c>
      <c r="G93" s="347">
        <v>0</v>
      </c>
      <c r="H93" s="349">
        <v>0</v>
      </c>
      <c r="I93" s="346">
        <v>0</v>
      </c>
      <c r="J93" s="347">
        <v>0</v>
      </c>
      <c r="K93" s="357" t="s">
        <v>196</v>
      </c>
    </row>
    <row r="94" spans="1:11" ht="14.4" customHeight="1" thickBot="1" x14ac:dyDescent="0.35">
      <c r="A94" s="367" t="s">
        <v>282</v>
      </c>
      <c r="B94" s="351">
        <v>40.390992152583003</v>
      </c>
      <c r="C94" s="351">
        <v>42.990569999999998</v>
      </c>
      <c r="D94" s="352">
        <v>2.5995778474160001</v>
      </c>
      <c r="E94" s="353">
        <v>1.064360336522</v>
      </c>
      <c r="F94" s="351">
        <v>39.640360791230002</v>
      </c>
      <c r="G94" s="352">
        <v>9.9100901978069995</v>
      </c>
      <c r="H94" s="354">
        <v>2.8263500000000001</v>
      </c>
      <c r="I94" s="351">
        <v>13.05752</v>
      </c>
      <c r="J94" s="352">
        <v>3.1474298021920002</v>
      </c>
      <c r="K94" s="356">
        <v>0.32939962551700003</v>
      </c>
    </row>
    <row r="95" spans="1:11" ht="14.4" customHeight="1" thickBot="1" x14ac:dyDescent="0.35">
      <c r="A95" s="368" t="s">
        <v>283</v>
      </c>
      <c r="B95" s="346">
        <v>2.4745445117000001E-2</v>
      </c>
      <c r="C95" s="346">
        <v>0</v>
      </c>
      <c r="D95" s="347">
        <v>-2.4745445117000001E-2</v>
      </c>
      <c r="E95" s="348">
        <v>0</v>
      </c>
      <c r="F95" s="346">
        <v>0</v>
      </c>
      <c r="G95" s="347">
        <v>0</v>
      </c>
      <c r="H95" s="349">
        <v>0</v>
      </c>
      <c r="I95" s="346">
        <v>0</v>
      </c>
      <c r="J95" s="347">
        <v>0</v>
      </c>
      <c r="K95" s="350">
        <v>3</v>
      </c>
    </row>
    <row r="96" spans="1:11" ht="14.4" customHeight="1" thickBot="1" x14ac:dyDescent="0.35">
      <c r="A96" s="368" t="s">
        <v>284</v>
      </c>
      <c r="B96" s="346">
        <v>40.366246707465997</v>
      </c>
      <c r="C96" s="346">
        <v>42.990569999999998</v>
      </c>
      <c r="D96" s="347">
        <v>2.624323292533</v>
      </c>
      <c r="E96" s="348">
        <v>1.0650128140849999</v>
      </c>
      <c r="F96" s="346">
        <v>39.640360791230002</v>
      </c>
      <c r="G96" s="347">
        <v>9.9100901978069995</v>
      </c>
      <c r="H96" s="349">
        <v>2.8263500000000001</v>
      </c>
      <c r="I96" s="346">
        <v>13.05752</v>
      </c>
      <c r="J96" s="347">
        <v>3.1474298021920002</v>
      </c>
      <c r="K96" s="350">
        <v>0.32939962551700003</v>
      </c>
    </row>
    <row r="97" spans="1:11" ht="14.4" customHeight="1" thickBot="1" x14ac:dyDescent="0.35">
      <c r="A97" s="364" t="s">
        <v>285</v>
      </c>
      <c r="B97" s="346">
        <v>1033.3683016167499</v>
      </c>
      <c r="C97" s="346">
        <v>1019.62553</v>
      </c>
      <c r="D97" s="347">
        <v>-13.742771616752</v>
      </c>
      <c r="E97" s="348">
        <v>0.98670099363800001</v>
      </c>
      <c r="F97" s="346">
        <v>894.69706485726795</v>
      </c>
      <c r="G97" s="347">
        <v>223.67426621431699</v>
      </c>
      <c r="H97" s="349">
        <v>81.867419999999996</v>
      </c>
      <c r="I97" s="346">
        <v>214.88119</v>
      </c>
      <c r="J97" s="347">
        <v>-8.7930762143170007</v>
      </c>
      <c r="K97" s="350">
        <v>0.24017200730800001</v>
      </c>
    </row>
    <row r="98" spans="1:11" ht="14.4" customHeight="1" thickBot="1" x14ac:dyDescent="0.35">
      <c r="A98" s="369" t="s">
        <v>286</v>
      </c>
      <c r="B98" s="351">
        <v>1033.3683016167499</v>
      </c>
      <c r="C98" s="351">
        <v>1019.62553</v>
      </c>
      <c r="D98" s="352">
        <v>-13.742771616752</v>
      </c>
      <c r="E98" s="353">
        <v>0.98670099363800001</v>
      </c>
      <c r="F98" s="351">
        <v>894.69706485726795</v>
      </c>
      <c r="G98" s="352">
        <v>223.67426621431699</v>
      </c>
      <c r="H98" s="354">
        <v>81.867419999999996</v>
      </c>
      <c r="I98" s="351">
        <v>214.88119</v>
      </c>
      <c r="J98" s="352">
        <v>-8.7930762143170007</v>
      </c>
      <c r="K98" s="356">
        <v>0.24017200730800001</v>
      </c>
    </row>
    <row r="99" spans="1:11" ht="14.4" customHeight="1" thickBot="1" x14ac:dyDescent="0.35">
      <c r="A99" s="371" t="s">
        <v>31</v>
      </c>
      <c r="B99" s="351">
        <v>1033.3683016167499</v>
      </c>
      <c r="C99" s="351">
        <v>1019.62553</v>
      </c>
      <c r="D99" s="352">
        <v>-13.742771616752</v>
      </c>
      <c r="E99" s="353">
        <v>0.98670099363800001</v>
      </c>
      <c r="F99" s="351">
        <v>894.69706485726795</v>
      </c>
      <c r="G99" s="352">
        <v>223.67426621431699</v>
      </c>
      <c r="H99" s="354">
        <v>81.867419999999996</v>
      </c>
      <c r="I99" s="351">
        <v>214.88119</v>
      </c>
      <c r="J99" s="352">
        <v>-8.7930762143170007</v>
      </c>
      <c r="K99" s="356">
        <v>0.24017200730800001</v>
      </c>
    </row>
    <row r="100" spans="1:11" ht="14.4" customHeight="1" thickBot="1" x14ac:dyDescent="0.35">
      <c r="A100" s="367" t="s">
        <v>287</v>
      </c>
      <c r="B100" s="351">
        <v>6.4096279428210003</v>
      </c>
      <c r="C100" s="351">
        <v>5.9279999999999999</v>
      </c>
      <c r="D100" s="352">
        <v>-0.48162794282100002</v>
      </c>
      <c r="E100" s="353">
        <v>0.92485867399499999</v>
      </c>
      <c r="F100" s="351">
        <v>6.4036590588889997</v>
      </c>
      <c r="G100" s="352">
        <v>1.6009147647219999</v>
      </c>
      <c r="H100" s="354">
        <v>0.49399999999999999</v>
      </c>
      <c r="I100" s="351">
        <v>1.482</v>
      </c>
      <c r="J100" s="352">
        <v>-0.11891476472199999</v>
      </c>
      <c r="K100" s="356">
        <v>0.231430184894</v>
      </c>
    </row>
    <row r="101" spans="1:11" ht="14.4" customHeight="1" thickBot="1" x14ac:dyDescent="0.35">
      <c r="A101" s="368" t="s">
        <v>288</v>
      </c>
      <c r="B101" s="346">
        <v>6.4096279428210003</v>
      </c>
      <c r="C101" s="346">
        <v>5.9279999999999999</v>
      </c>
      <c r="D101" s="347">
        <v>-0.48162794282100002</v>
      </c>
      <c r="E101" s="348">
        <v>0.92485867399499999</v>
      </c>
      <c r="F101" s="346">
        <v>6.4036590588889997</v>
      </c>
      <c r="G101" s="347">
        <v>1.6009147647219999</v>
      </c>
      <c r="H101" s="349">
        <v>0.49399999999999999</v>
      </c>
      <c r="I101" s="346">
        <v>1.482</v>
      </c>
      <c r="J101" s="347">
        <v>-0.11891476472199999</v>
      </c>
      <c r="K101" s="350">
        <v>0.231430184894</v>
      </c>
    </row>
    <row r="102" spans="1:11" ht="14.4" customHeight="1" thickBot="1" x14ac:dyDescent="0.35">
      <c r="A102" s="367" t="s">
        <v>289</v>
      </c>
      <c r="B102" s="351">
        <v>0</v>
      </c>
      <c r="C102" s="351">
        <v>7.3499999999999996E-2</v>
      </c>
      <c r="D102" s="352">
        <v>7.3499999999999996E-2</v>
      </c>
      <c r="E102" s="358" t="s">
        <v>225</v>
      </c>
      <c r="F102" s="351">
        <v>7.8691135140999999E-2</v>
      </c>
      <c r="G102" s="352">
        <v>1.9672783784999998E-2</v>
      </c>
      <c r="H102" s="354">
        <v>0</v>
      </c>
      <c r="I102" s="351">
        <v>1.617</v>
      </c>
      <c r="J102" s="352">
        <v>1.597327216214</v>
      </c>
      <c r="K102" s="356">
        <v>0</v>
      </c>
    </row>
    <row r="103" spans="1:11" ht="14.4" customHeight="1" thickBot="1" x14ac:dyDescent="0.35">
      <c r="A103" s="368" t="s">
        <v>290</v>
      </c>
      <c r="B103" s="346">
        <v>0</v>
      </c>
      <c r="C103" s="346">
        <v>7.3499999999999996E-2</v>
      </c>
      <c r="D103" s="347">
        <v>7.3499999999999996E-2</v>
      </c>
      <c r="E103" s="359" t="s">
        <v>225</v>
      </c>
      <c r="F103" s="346">
        <v>7.8691135140999999E-2</v>
      </c>
      <c r="G103" s="347">
        <v>1.9672783784999998E-2</v>
      </c>
      <c r="H103" s="349">
        <v>0</v>
      </c>
      <c r="I103" s="346">
        <v>1.617</v>
      </c>
      <c r="J103" s="347">
        <v>1.597327216214</v>
      </c>
      <c r="K103" s="350">
        <v>0</v>
      </c>
    </row>
    <row r="104" spans="1:11" ht="14.4" customHeight="1" thickBot="1" x14ac:dyDescent="0.35">
      <c r="A104" s="367" t="s">
        <v>291</v>
      </c>
      <c r="B104" s="351">
        <v>0</v>
      </c>
      <c r="C104" s="351">
        <v>0.33600000000000002</v>
      </c>
      <c r="D104" s="352">
        <v>0.33600000000000002</v>
      </c>
      <c r="E104" s="358" t="s">
        <v>225</v>
      </c>
      <c r="F104" s="351">
        <v>0</v>
      </c>
      <c r="G104" s="352">
        <v>0</v>
      </c>
      <c r="H104" s="354">
        <v>0</v>
      </c>
      <c r="I104" s="351">
        <v>0</v>
      </c>
      <c r="J104" s="352">
        <v>0</v>
      </c>
      <c r="K104" s="356">
        <v>0</v>
      </c>
    </row>
    <row r="105" spans="1:11" ht="14.4" customHeight="1" thickBot="1" x14ac:dyDescent="0.35">
      <c r="A105" s="368" t="s">
        <v>292</v>
      </c>
      <c r="B105" s="346">
        <v>0</v>
      </c>
      <c r="C105" s="346">
        <v>0.33600000000000002</v>
      </c>
      <c r="D105" s="347">
        <v>0.33600000000000002</v>
      </c>
      <c r="E105" s="359" t="s">
        <v>225</v>
      </c>
      <c r="F105" s="346">
        <v>0</v>
      </c>
      <c r="G105" s="347">
        <v>0</v>
      </c>
      <c r="H105" s="349">
        <v>0</v>
      </c>
      <c r="I105" s="346">
        <v>0</v>
      </c>
      <c r="J105" s="347">
        <v>0</v>
      </c>
      <c r="K105" s="350">
        <v>0</v>
      </c>
    </row>
    <row r="106" spans="1:11" ht="14.4" customHeight="1" thickBot="1" x14ac:dyDescent="0.35">
      <c r="A106" s="367" t="s">
        <v>293</v>
      </c>
      <c r="B106" s="351">
        <v>235.37519811461101</v>
      </c>
      <c r="C106" s="351">
        <v>225.20414</v>
      </c>
      <c r="D106" s="352">
        <v>-10.171058114611</v>
      </c>
      <c r="E106" s="353">
        <v>0.95678789355799998</v>
      </c>
      <c r="F106" s="351">
        <v>210.792017746835</v>
      </c>
      <c r="G106" s="352">
        <v>52.698004436707997</v>
      </c>
      <c r="H106" s="354">
        <v>16.294720000000002</v>
      </c>
      <c r="I106" s="351">
        <v>39.575060000000001</v>
      </c>
      <c r="J106" s="352">
        <v>-13.122944436708</v>
      </c>
      <c r="K106" s="356">
        <v>0.18774458550600001</v>
      </c>
    </row>
    <row r="107" spans="1:11" ht="14.4" customHeight="1" thickBot="1" x14ac:dyDescent="0.35">
      <c r="A107" s="368" t="s">
        <v>294</v>
      </c>
      <c r="B107" s="346">
        <v>235.37519811461101</v>
      </c>
      <c r="C107" s="346">
        <v>225.20414</v>
      </c>
      <c r="D107" s="347">
        <v>-10.171058114611</v>
      </c>
      <c r="E107" s="348">
        <v>0.95678789355799998</v>
      </c>
      <c r="F107" s="346">
        <v>210.792017746835</v>
      </c>
      <c r="G107" s="347">
        <v>52.698004436707997</v>
      </c>
      <c r="H107" s="349">
        <v>16.294720000000002</v>
      </c>
      <c r="I107" s="346">
        <v>39.575060000000001</v>
      </c>
      <c r="J107" s="347">
        <v>-13.122944436708</v>
      </c>
      <c r="K107" s="350">
        <v>0.18774458550600001</v>
      </c>
    </row>
    <row r="108" spans="1:11" ht="14.4" customHeight="1" thickBot="1" x14ac:dyDescent="0.35">
      <c r="A108" s="367" t="s">
        <v>295</v>
      </c>
      <c r="B108" s="351">
        <v>791.58347555932005</v>
      </c>
      <c r="C108" s="351">
        <v>788.08389</v>
      </c>
      <c r="D108" s="352">
        <v>-3.4995855593190002</v>
      </c>
      <c r="E108" s="353">
        <v>0.995579006298</v>
      </c>
      <c r="F108" s="351">
        <v>677.42269691640104</v>
      </c>
      <c r="G108" s="352">
        <v>169.3556742291</v>
      </c>
      <c r="H108" s="354">
        <v>65.078699999999998</v>
      </c>
      <c r="I108" s="351">
        <v>172.20713000000001</v>
      </c>
      <c r="J108" s="352">
        <v>2.8514557708989998</v>
      </c>
      <c r="K108" s="356">
        <v>0.25420927108500002</v>
      </c>
    </row>
    <row r="109" spans="1:11" ht="14.4" customHeight="1" thickBot="1" x14ac:dyDescent="0.35">
      <c r="A109" s="368" t="s">
        <v>296</v>
      </c>
      <c r="B109" s="346">
        <v>791.58347555932005</v>
      </c>
      <c r="C109" s="346">
        <v>788.08389</v>
      </c>
      <c r="D109" s="347">
        <v>-3.4995855593190002</v>
      </c>
      <c r="E109" s="348">
        <v>0.995579006298</v>
      </c>
      <c r="F109" s="346">
        <v>677.42269691640104</v>
      </c>
      <c r="G109" s="347">
        <v>169.3556742291</v>
      </c>
      <c r="H109" s="349">
        <v>65.078699999999998</v>
      </c>
      <c r="I109" s="346">
        <v>172.20713000000001</v>
      </c>
      <c r="J109" s="347">
        <v>2.8514557708989998</v>
      </c>
      <c r="K109" s="350">
        <v>0.25420927108500002</v>
      </c>
    </row>
    <row r="110" spans="1:11" ht="14.4" customHeight="1" thickBot="1" x14ac:dyDescent="0.35">
      <c r="A110" s="372"/>
      <c r="B110" s="346">
        <v>286.34067396842102</v>
      </c>
      <c r="C110" s="346">
        <v>483.716389999998</v>
      </c>
      <c r="D110" s="347">
        <v>197.37571603157599</v>
      </c>
      <c r="E110" s="348">
        <v>1.6893038047860001</v>
      </c>
      <c r="F110" s="346">
        <v>762.97775210039094</v>
      </c>
      <c r="G110" s="347">
        <v>190.74443802509799</v>
      </c>
      <c r="H110" s="349">
        <v>110.383349999999</v>
      </c>
      <c r="I110" s="346">
        <v>239.516829999999</v>
      </c>
      <c r="J110" s="347">
        <v>48.772391974900998</v>
      </c>
      <c r="K110" s="350">
        <v>0.31392374068599999</v>
      </c>
    </row>
    <row r="111" spans="1:11" ht="14.4" customHeight="1" thickBot="1" x14ac:dyDescent="0.35">
      <c r="A111" s="373" t="s">
        <v>43</v>
      </c>
      <c r="B111" s="360">
        <v>286.34067396842102</v>
      </c>
      <c r="C111" s="360">
        <v>483.716389999998</v>
      </c>
      <c r="D111" s="361">
        <v>197.37571603157599</v>
      </c>
      <c r="E111" s="362">
        <v>-0.97554390849799999</v>
      </c>
      <c r="F111" s="360">
        <v>762.97775210039094</v>
      </c>
      <c r="G111" s="361">
        <v>190.74443802509799</v>
      </c>
      <c r="H111" s="360">
        <v>110.383349999999</v>
      </c>
      <c r="I111" s="360">
        <v>239.516829999999</v>
      </c>
      <c r="J111" s="361">
        <v>48.772391974900998</v>
      </c>
      <c r="K111" s="363">
        <v>0.31392374068599999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19" t="s">
        <v>103</v>
      </c>
      <c r="B1" s="320"/>
      <c r="C1" s="320"/>
      <c r="D1" s="320"/>
      <c r="E1" s="320"/>
      <c r="F1" s="320"/>
      <c r="G1" s="290"/>
      <c r="H1" s="321"/>
      <c r="I1" s="321"/>
    </row>
    <row r="2" spans="1:10" ht="14.4" customHeight="1" thickBot="1" x14ac:dyDescent="0.35">
      <c r="A2" s="195" t="s">
        <v>195</v>
      </c>
      <c r="B2" s="175"/>
      <c r="C2" s="175"/>
      <c r="D2" s="175"/>
      <c r="E2" s="175"/>
      <c r="F2" s="175"/>
    </row>
    <row r="3" spans="1:10" ht="14.4" customHeight="1" thickBot="1" x14ac:dyDescent="0.35">
      <c r="A3" s="195"/>
      <c r="B3" s="262"/>
      <c r="C3" s="261">
        <v>2015</v>
      </c>
      <c r="D3" s="239">
        <v>2016</v>
      </c>
      <c r="E3" s="7"/>
      <c r="F3" s="298">
        <v>2017</v>
      </c>
      <c r="G3" s="316"/>
      <c r="H3" s="316"/>
      <c r="I3" s="299"/>
    </row>
    <row r="4" spans="1:10" ht="14.4" customHeight="1" thickBot="1" x14ac:dyDescent="0.35">
      <c r="A4" s="243" t="s">
        <v>0</v>
      </c>
      <c r="B4" s="244" t="s">
        <v>154</v>
      </c>
      <c r="C4" s="317" t="s">
        <v>50</v>
      </c>
      <c r="D4" s="318"/>
      <c r="E4" s="245"/>
      <c r="F4" s="240" t="s">
        <v>50</v>
      </c>
      <c r="G4" s="241" t="s">
        <v>51</v>
      </c>
      <c r="H4" s="241" t="s">
        <v>45</v>
      </c>
      <c r="I4" s="242" t="s">
        <v>52</v>
      </c>
    </row>
    <row r="5" spans="1:10" ht="14.4" customHeight="1" x14ac:dyDescent="0.3">
      <c r="A5" s="374" t="s">
        <v>297</v>
      </c>
      <c r="B5" s="375" t="s">
        <v>298</v>
      </c>
      <c r="C5" s="376" t="s">
        <v>299</v>
      </c>
      <c r="D5" s="376" t="s">
        <v>299</v>
      </c>
      <c r="E5" s="376"/>
      <c r="F5" s="376" t="s">
        <v>299</v>
      </c>
      <c r="G5" s="376" t="s">
        <v>299</v>
      </c>
      <c r="H5" s="376" t="s">
        <v>299</v>
      </c>
      <c r="I5" s="377" t="s">
        <v>299</v>
      </c>
      <c r="J5" s="378" t="s">
        <v>46</v>
      </c>
    </row>
    <row r="6" spans="1:10" ht="14.4" customHeight="1" x14ac:dyDescent="0.3">
      <c r="A6" s="374" t="s">
        <v>297</v>
      </c>
      <c r="B6" s="375" t="s">
        <v>202</v>
      </c>
      <c r="C6" s="376">
        <v>0</v>
      </c>
      <c r="D6" s="376">
        <v>0</v>
      </c>
      <c r="E6" s="376"/>
      <c r="F6" s="376" t="s">
        <v>299</v>
      </c>
      <c r="G6" s="376" t="s">
        <v>299</v>
      </c>
      <c r="H6" s="376" t="s">
        <v>299</v>
      </c>
      <c r="I6" s="377" t="s">
        <v>299</v>
      </c>
      <c r="J6" s="378" t="s">
        <v>1</v>
      </c>
    </row>
    <row r="7" spans="1:10" ht="14.4" customHeight="1" x14ac:dyDescent="0.3">
      <c r="A7" s="374" t="s">
        <v>297</v>
      </c>
      <c r="B7" s="375" t="s">
        <v>300</v>
      </c>
      <c r="C7" s="376">
        <v>0</v>
      </c>
      <c r="D7" s="376">
        <v>0</v>
      </c>
      <c r="E7" s="376"/>
      <c r="F7" s="376" t="s">
        <v>299</v>
      </c>
      <c r="G7" s="376" t="s">
        <v>299</v>
      </c>
      <c r="H7" s="376" t="s">
        <v>299</v>
      </c>
      <c r="I7" s="377" t="s">
        <v>299</v>
      </c>
      <c r="J7" s="378" t="s">
        <v>301</v>
      </c>
    </row>
    <row r="9" spans="1:10" ht="14.4" customHeight="1" x14ac:dyDescent="0.3">
      <c r="A9" s="374" t="s">
        <v>297</v>
      </c>
      <c r="B9" s="375" t="s">
        <v>298</v>
      </c>
      <c r="C9" s="376" t="s">
        <v>299</v>
      </c>
      <c r="D9" s="376" t="s">
        <v>299</v>
      </c>
      <c r="E9" s="376"/>
      <c r="F9" s="376" t="s">
        <v>299</v>
      </c>
      <c r="G9" s="376" t="s">
        <v>299</v>
      </c>
      <c r="H9" s="376" t="s">
        <v>299</v>
      </c>
      <c r="I9" s="377" t="s">
        <v>299</v>
      </c>
      <c r="J9" s="378" t="s">
        <v>46</v>
      </c>
    </row>
    <row r="10" spans="1:10" ht="14.4" customHeight="1" x14ac:dyDescent="0.3">
      <c r="A10" s="374" t="s">
        <v>302</v>
      </c>
      <c r="B10" s="375" t="s">
        <v>303</v>
      </c>
      <c r="C10" s="376" t="s">
        <v>299</v>
      </c>
      <c r="D10" s="376" t="s">
        <v>299</v>
      </c>
      <c r="E10" s="376"/>
      <c r="F10" s="376" t="s">
        <v>299</v>
      </c>
      <c r="G10" s="376" t="s">
        <v>299</v>
      </c>
      <c r="H10" s="376" t="s">
        <v>299</v>
      </c>
      <c r="I10" s="377" t="s">
        <v>299</v>
      </c>
      <c r="J10" s="378" t="s">
        <v>0</v>
      </c>
    </row>
    <row r="11" spans="1:10" ht="14.4" customHeight="1" x14ac:dyDescent="0.3">
      <c r="A11" s="374" t="s">
        <v>302</v>
      </c>
      <c r="B11" s="375" t="s">
        <v>202</v>
      </c>
      <c r="C11" s="376">
        <v>0</v>
      </c>
      <c r="D11" s="376">
        <v>0</v>
      </c>
      <c r="E11" s="376"/>
      <c r="F11" s="376" t="s">
        <v>299</v>
      </c>
      <c r="G11" s="376" t="s">
        <v>299</v>
      </c>
      <c r="H11" s="376" t="s">
        <v>299</v>
      </c>
      <c r="I11" s="377" t="s">
        <v>299</v>
      </c>
      <c r="J11" s="378" t="s">
        <v>1</v>
      </c>
    </row>
    <row r="12" spans="1:10" ht="14.4" customHeight="1" x14ac:dyDescent="0.3">
      <c r="A12" s="374" t="s">
        <v>302</v>
      </c>
      <c r="B12" s="375" t="s">
        <v>304</v>
      </c>
      <c r="C12" s="376">
        <v>0</v>
      </c>
      <c r="D12" s="376">
        <v>0</v>
      </c>
      <c r="E12" s="376"/>
      <c r="F12" s="376" t="s">
        <v>299</v>
      </c>
      <c r="G12" s="376" t="s">
        <v>299</v>
      </c>
      <c r="H12" s="376" t="s">
        <v>299</v>
      </c>
      <c r="I12" s="377" t="s">
        <v>299</v>
      </c>
      <c r="J12" s="378" t="s">
        <v>305</v>
      </c>
    </row>
    <row r="13" spans="1:10" ht="14.4" customHeight="1" x14ac:dyDescent="0.3">
      <c r="A13" s="374" t="s">
        <v>299</v>
      </c>
      <c r="B13" s="375" t="s">
        <v>299</v>
      </c>
      <c r="C13" s="376" t="s">
        <v>299</v>
      </c>
      <c r="D13" s="376" t="s">
        <v>299</v>
      </c>
      <c r="E13" s="376"/>
      <c r="F13" s="376" t="s">
        <v>299</v>
      </c>
      <c r="G13" s="376" t="s">
        <v>299</v>
      </c>
      <c r="H13" s="376" t="s">
        <v>299</v>
      </c>
      <c r="I13" s="377" t="s">
        <v>299</v>
      </c>
      <c r="J13" s="378" t="s">
        <v>306</v>
      </c>
    </row>
    <row r="14" spans="1:10" ht="14.4" customHeight="1" x14ac:dyDescent="0.3">
      <c r="A14" s="374" t="s">
        <v>297</v>
      </c>
      <c r="B14" s="375" t="s">
        <v>300</v>
      </c>
      <c r="C14" s="376">
        <v>0</v>
      </c>
      <c r="D14" s="376">
        <v>0</v>
      </c>
      <c r="E14" s="376"/>
      <c r="F14" s="376" t="s">
        <v>299</v>
      </c>
      <c r="G14" s="376" t="s">
        <v>299</v>
      </c>
      <c r="H14" s="376" t="s">
        <v>299</v>
      </c>
      <c r="I14" s="377" t="s">
        <v>299</v>
      </c>
      <c r="J14" s="378" t="s">
        <v>301</v>
      </c>
    </row>
  </sheetData>
  <mergeCells count="3">
    <mergeCell ref="F3:I3"/>
    <mergeCell ref="C4:D4"/>
    <mergeCell ref="A1:I1"/>
  </mergeCells>
  <conditionalFormatting sqref="F8 F15:F65537">
    <cfRule type="cellIs" dxfId="26" priority="18" stopIfTrue="1" operator="greaterThan">
      <formula>1</formula>
    </cfRule>
  </conditionalFormatting>
  <conditionalFormatting sqref="H5:H7">
    <cfRule type="expression" dxfId="25" priority="14">
      <formula>$H5&gt;0</formula>
    </cfRule>
  </conditionalFormatting>
  <conditionalFormatting sqref="I5:I7">
    <cfRule type="expression" dxfId="24" priority="15">
      <formula>$I5&gt;1</formula>
    </cfRule>
  </conditionalFormatting>
  <conditionalFormatting sqref="B5:B7">
    <cfRule type="expression" dxfId="23" priority="11">
      <formula>OR($J5="NS",$J5="SumaNS",$J5="Účet")</formula>
    </cfRule>
  </conditionalFormatting>
  <conditionalFormatting sqref="B5:D7 F5:I7">
    <cfRule type="expression" dxfId="22" priority="17">
      <formula>AND($J5&lt;&gt;"",$J5&lt;&gt;"mezeraKL")</formula>
    </cfRule>
  </conditionalFormatting>
  <conditionalFormatting sqref="B5:D7 F5:I7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0" priority="13">
      <formula>OR($J5="SumaNS",$J5="NS")</formula>
    </cfRule>
  </conditionalFormatting>
  <conditionalFormatting sqref="A5:A7">
    <cfRule type="expression" dxfId="19" priority="9">
      <formula>AND($J5&lt;&gt;"mezeraKL",$J5&lt;&gt;"")</formula>
    </cfRule>
  </conditionalFormatting>
  <conditionalFormatting sqref="A5:A7">
    <cfRule type="expression" dxfId="18" priority="10">
      <formula>AND($J5&lt;&gt;"",$J5&lt;&gt;"mezeraKL")</formula>
    </cfRule>
  </conditionalFormatting>
  <conditionalFormatting sqref="H9:H14">
    <cfRule type="expression" dxfId="17" priority="5">
      <formula>$H9&gt;0</formula>
    </cfRule>
  </conditionalFormatting>
  <conditionalFormatting sqref="A9:A14">
    <cfRule type="expression" dxfId="16" priority="2">
      <formula>AND($J9&lt;&gt;"mezeraKL",$J9&lt;&gt;"")</formula>
    </cfRule>
  </conditionalFormatting>
  <conditionalFormatting sqref="I9:I14">
    <cfRule type="expression" dxfId="15" priority="6">
      <formula>$I9&gt;1</formula>
    </cfRule>
  </conditionalFormatting>
  <conditionalFormatting sqref="B9:B14">
    <cfRule type="expression" dxfId="14" priority="1">
      <formula>OR($J9="NS",$J9="SumaNS",$J9="Účet")</formula>
    </cfRule>
  </conditionalFormatting>
  <conditionalFormatting sqref="A9:D14 F9:I14">
    <cfRule type="expression" dxfId="13" priority="8">
      <formula>AND($J9&lt;&gt;"",$J9&lt;&gt;"mezeraKL")</formula>
    </cfRule>
  </conditionalFormatting>
  <conditionalFormatting sqref="B9:D14 F9:I14">
    <cfRule type="expression" dxfId="1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1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7" ht="18.600000000000001" thickBot="1" x14ac:dyDescent="0.4">
      <c r="A1" s="324" t="s">
        <v>83</v>
      </c>
      <c r="B1" s="324"/>
      <c r="C1" s="284"/>
      <c r="D1" s="284"/>
      <c r="E1" s="284"/>
      <c r="F1" s="284"/>
      <c r="G1" s="260"/>
    </row>
    <row r="2" spans="1:7" ht="15" thickBot="1" x14ac:dyDescent="0.35">
      <c r="A2" s="195" t="s">
        <v>195</v>
      </c>
      <c r="B2" s="196"/>
      <c r="C2" s="196"/>
      <c r="D2" s="196"/>
      <c r="E2" s="196"/>
      <c r="G2" s="260"/>
    </row>
    <row r="3" spans="1:7" x14ac:dyDescent="0.3">
      <c r="A3" s="212" t="s">
        <v>146</v>
      </c>
      <c r="B3" s="322" t="s">
        <v>130</v>
      </c>
      <c r="C3" s="197">
        <v>30</v>
      </c>
      <c r="D3" s="215">
        <v>521</v>
      </c>
      <c r="E3" s="215">
        <v>522</v>
      </c>
      <c r="F3" s="197">
        <v>743</v>
      </c>
      <c r="G3" s="260"/>
    </row>
    <row r="4" spans="1:7" ht="36.6" outlineLevel="1" thickBot="1" x14ac:dyDescent="0.35">
      <c r="A4" s="213">
        <v>2017</v>
      </c>
      <c r="B4" s="323"/>
      <c r="C4" s="198" t="s">
        <v>148</v>
      </c>
      <c r="D4" s="216" t="s">
        <v>159</v>
      </c>
      <c r="E4" s="216" t="s">
        <v>160</v>
      </c>
      <c r="F4" s="198" t="s">
        <v>153</v>
      </c>
      <c r="G4" s="260"/>
    </row>
    <row r="5" spans="1:7" x14ac:dyDescent="0.3">
      <c r="A5" s="199" t="s">
        <v>131</v>
      </c>
      <c r="B5" s="227"/>
      <c r="C5" s="228"/>
      <c r="D5" s="228"/>
      <c r="E5" s="228"/>
      <c r="F5" s="228"/>
      <c r="G5" s="260"/>
    </row>
    <row r="6" spans="1:7" ht="15" collapsed="1" thickBot="1" x14ac:dyDescent="0.35">
      <c r="A6" s="200" t="s">
        <v>50</v>
      </c>
      <c r="B6" s="229">
        <f xml:space="preserve">
TRUNC(IF($A$4&lt;=12,SUMIFS('ON Data'!F:F,'ON Data'!$D:$D,$A$4,'ON Data'!$E:$E,1),SUMIFS('ON Data'!F:F,'ON Data'!$E:$E,1)/'ON Data'!$D$3),1)</f>
        <v>13.1</v>
      </c>
      <c r="C6" s="230">
        <f xml:space="preserve">
TRUNC(IF($A$4&lt;=12,SUMIFS('ON Data'!I:I,'ON Data'!$D:$D,$A$4,'ON Data'!$E:$E,1),SUMIFS('ON Data'!I:I,'ON Data'!$E:$E,1)/'ON Data'!$D$3),1)</f>
        <v>1</v>
      </c>
      <c r="D6" s="230">
        <f xml:space="preserve">
TRUNC(IF($A$4&lt;=12,SUMIFS('ON Data'!AG:AG,'ON Data'!$D:$D,$A$4,'ON Data'!$E:$E,1),SUMIFS('ON Data'!AG:AG,'ON Data'!$E:$E,1)/'ON Data'!$D$3),1)</f>
        <v>9.1999999999999993</v>
      </c>
      <c r="E6" s="230">
        <f xml:space="preserve">
TRUNC(IF($A$4&lt;=12,SUMIFS('ON Data'!AH:AH,'ON Data'!$D:$D,$A$4,'ON Data'!$E:$E,1),SUMIFS('ON Data'!AH:AH,'ON Data'!$E:$E,1)/'ON Data'!$D$3),1)</f>
        <v>1</v>
      </c>
      <c r="F6" s="230">
        <f xml:space="preserve">
TRUNC(IF($A$4&lt;=12,SUMIFS('ON Data'!AU:AU,'ON Data'!$D:$D,$A$4,'ON Data'!$E:$E,1),SUMIFS('ON Data'!AU:AU,'ON Data'!$E:$E,1)/'ON Data'!$D$3),1)</f>
        <v>1.8</v>
      </c>
      <c r="G6" s="260"/>
    </row>
    <row r="7" spans="1:7" ht="15" hidden="1" outlineLevel="1" thickBot="1" x14ac:dyDescent="0.35">
      <c r="A7" s="200" t="s">
        <v>84</v>
      </c>
      <c r="B7" s="229"/>
      <c r="C7" s="230"/>
      <c r="D7" s="230"/>
      <c r="E7" s="230"/>
      <c r="F7" s="230"/>
      <c r="G7" s="260"/>
    </row>
    <row r="8" spans="1:7" ht="15" hidden="1" outlineLevel="1" thickBot="1" x14ac:dyDescent="0.35">
      <c r="A8" s="200" t="s">
        <v>52</v>
      </c>
      <c r="B8" s="229"/>
      <c r="C8" s="230"/>
      <c r="D8" s="230"/>
      <c r="E8" s="230"/>
      <c r="F8" s="230"/>
      <c r="G8" s="260"/>
    </row>
    <row r="9" spans="1:7" ht="15" hidden="1" outlineLevel="1" thickBot="1" x14ac:dyDescent="0.35">
      <c r="A9" s="201" t="s">
        <v>45</v>
      </c>
      <c r="B9" s="231"/>
      <c r="C9" s="232"/>
      <c r="D9" s="232"/>
      <c r="E9" s="232"/>
      <c r="F9" s="232"/>
      <c r="G9" s="260"/>
    </row>
    <row r="10" spans="1:7" x14ac:dyDescent="0.3">
      <c r="A10" s="202" t="s">
        <v>132</v>
      </c>
      <c r="B10" s="217"/>
      <c r="C10" s="218"/>
      <c r="D10" s="218"/>
      <c r="E10" s="218"/>
      <c r="F10" s="218"/>
      <c r="G10" s="260"/>
    </row>
    <row r="11" spans="1:7" x14ac:dyDescent="0.3">
      <c r="A11" s="203" t="s">
        <v>133</v>
      </c>
      <c r="B11" s="219">
        <f xml:space="preserve">
IF($A$4&lt;=12,SUMIFS('ON Data'!F:F,'ON Data'!$D:$D,$A$4,'ON Data'!$E:$E,2),SUMIFS('ON Data'!F:F,'ON Data'!$E:$E,2))</f>
        <v>5749</v>
      </c>
      <c r="C11" s="220"/>
      <c r="D11" s="220">
        <f xml:space="preserve">
IF($A$4&lt;=12,SUMIFS('ON Data'!AG:AG,'ON Data'!$D:$D,$A$4,'ON Data'!$E:$E,2),SUMIFS('ON Data'!AG:AG,'ON Data'!$E:$E,2))</f>
        <v>4323</v>
      </c>
      <c r="E11" s="220">
        <f xml:space="preserve">
IF($A$4&lt;=12,SUMIFS('ON Data'!AH:AH,'ON Data'!$D:$D,$A$4,'ON Data'!$E:$E,2),SUMIFS('ON Data'!AH:AH,'ON Data'!$E:$E,2))</f>
        <v>492</v>
      </c>
      <c r="F11" s="220">
        <f xml:space="preserve">
IF($A$4&lt;=12,SUMIFS('ON Data'!AU:AU,'ON Data'!$D:$D,$A$4,'ON Data'!$E:$E,2),SUMIFS('ON Data'!AU:AU,'ON Data'!$E:$E,2))</f>
        <v>418</v>
      </c>
      <c r="G11" s="260"/>
    </row>
    <row r="12" spans="1:7" x14ac:dyDescent="0.3">
      <c r="A12" s="203" t="s">
        <v>134</v>
      </c>
      <c r="B12" s="219">
        <f xml:space="preserve">
IF($A$4&lt;=12,SUMIFS('ON Data'!F:F,'ON Data'!$D:$D,$A$4,'ON Data'!$E:$E,3),SUMIFS('ON Data'!F:F,'ON Data'!$E:$E,3))</f>
        <v>0</v>
      </c>
      <c r="C12" s="220"/>
      <c r="D12" s="220">
        <f xml:space="preserve">
IF($A$4&lt;=12,SUMIFS('ON Data'!AG:AG,'ON Data'!$D:$D,$A$4,'ON Data'!$E:$E,3),SUMIFS('ON Data'!AG:AG,'ON Data'!$E:$E,3))</f>
        <v>0</v>
      </c>
      <c r="E12" s="220">
        <f xml:space="preserve">
IF($A$4&lt;=12,SUMIFS('ON Data'!AH:AH,'ON Data'!$D:$D,$A$4,'ON Data'!$E:$E,3),SUMIFS('ON Data'!AH:AH,'ON Data'!$E:$E,3))</f>
        <v>0</v>
      </c>
      <c r="F12" s="220">
        <f xml:space="preserve">
IF($A$4&lt;=12,SUMIFS('ON Data'!AU:AU,'ON Data'!$D:$D,$A$4,'ON Data'!$E:$E,3),SUMIFS('ON Data'!AU:AU,'ON Data'!$E:$E,3))</f>
        <v>0</v>
      </c>
      <c r="G12" s="260"/>
    </row>
    <row r="13" spans="1:7" x14ac:dyDescent="0.3">
      <c r="A13" s="203" t="s">
        <v>141</v>
      </c>
      <c r="B13" s="219">
        <f xml:space="preserve">
IF($A$4&lt;=12,SUMIFS('ON Data'!F:F,'ON Data'!$D:$D,$A$4,'ON Data'!$E:$E,4),SUMIFS('ON Data'!F:F,'ON Data'!$E:$E,4))</f>
        <v>0</v>
      </c>
      <c r="C13" s="220"/>
      <c r="D13" s="220">
        <f xml:space="preserve">
IF($A$4&lt;=12,SUMIFS('ON Data'!AG:AG,'ON Data'!$D:$D,$A$4,'ON Data'!$E:$E,4),SUMIFS('ON Data'!AG:AG,'ON Data'!$E:$E,4))</f>
        <v>0</v>
      </c>
      <c r="E13" s="220">
        <f xml:space="preserve">
IF($A$4&lt;=12,SUMIFS('ON Data'!AH:AH,'ON Data'!$D:$D,$A$4,'ON Data'!$E:$E,4),SUMIFS('ON Data'!AH:AH,'ON Data'!$E:$E,4))</f>
        <v>0</v>
      </c>
      <c r="F13" s="220">
        <f xml:space="preserve">
IF($A$4&lt;=12,SUMIFS('ON Data'!AU:AU,'ON Data'!$D:$D,$A$4,'ON Data'!$E:$E,4),SUMIFS('ON Data'!AU:AU,'ON Data'!$E:$E,4))</f>
        <v>0</v>
      </c>
      <c r="G13" s="260"/>
    </row>
    <row r="14" spans="1:7" ht="15" thickBot="1" x14ac:dyDescent="0.35">
      <c r="A14" s="204" t="s">
        <v>135</v>
      </c>
      <c r="B14" s="221">
        <f xml:space="preserve">
IF($A$4&lt;=12,SUMIFS('ON Data'!F:F,'ON Data'!$D:$D,$A$4,'ON Data'!$E:$E,5),SUMIFS('ON Data'!F:F,'ON Data'!$E:$E,5))</f>
        <v>0</v>
      </c>
      <c r="C14" s="222"/>
      <c r="D14" s="222">
        <f xml:space="preserve">
IF($A$4&lt;=12,SUMIFS('ON Data'!AG:AG,'ON Data'!$D:$D,$A$4,'ON Data'!$E:$E,5),SUMIFS('ON Data'!AG:AG,'ON Data'!$E:$E,5))</f>
        <v>0</v>
      </c>
      <c r="E14" s="222">
        <f xml:space="preserve">
IF($A$4&lt;=12,SUMIFS('ON Data'!AH:AH,'ON Data'!$D:$D,$A$4,'ON Data'!$E:$E,5),SUMIFS('ON Data'!AH:AH,'ON Data'!$E:$E,5))</f>
        <v>0</v>
      </c>
      <c r="F14" s="222">
        <f xml:space="preserve">
IF($A$4&lt;=12,SUMIFS('ON Data'!AU:AU,'ON Data'!$D:$D,$A$4,'ON Data'!$E:$E,5),SUMIFS('ON Data'!AU:AU,'ON Data'!$E:$E,5))</f>
        <v>0</v>
      </c>
      <c r="G14" s="260"/>
    </row>
    <row r="15" spans="1:7" x14ac:dyDescent="0.3">
      <c r="A15" s="131" t="s">
        <v>145</v>
      </c>
      <c r="B15" s="223"/>
      <c r="C15" s="224"/>
      <c r="D15" s="224"/>
      <c r="E15" s="224"/>
      <c r="F15" s="224"/>
      <c r="G15" s="260"/>
    </row>
    <row r="16" spans="1:7" x14ac:dyDescent="0.3">
      <c r="A16" s="205" t="s">
        <v>136</v>
      </c>
      <c r="B16" s="219">
        <f xml:space="preserve">
IF($A$4&lt;=12,SUMIFS('ON Data'!F:F,'ON Data'!$D:$D,$A$4,'ON Data'!$E:$E,7),SUMIFS('ON Data'!F:F,'ON Data'!$E:$E,7))</f>
        <v>0</v>
      </c>
      <c r="C16" s="220"/>
      <c r="D16" s="220">
        <f xml:space="preserve">
IF($A$4&lt;=12,SUMIFS('ON Data'!AG:AG,'ON Data'!$D:$D,$A$4,'ON Data'!$E:$E,7),SUMIFS('ON Data'!AG:AG,'ON Data'!$E:$E,7))</f>
        <v>0</v>
      </c>
      <c r="E16" s="220">
        <f xml:space="preserve">
IF($A$4&lt;=12,SUMIFS('ON Data'!AH:AH,'ON Data'!$D:$D,$A$4,'ON Data'!$E:$E,7),SUMIFS('ON Data'!AH:AH,'ON Data'!$E:$E,7))</f>
        <v>0</v>
      </c>
      <c r="F16" s="220">
        <f xml:space="preserve">
IF($A$4&lt;=12,SUMIFS('ON Data'!AU:AU,'ON Data'!$D:$D,$A$4,'ON Data'!$E:$E,7),SUMIFS('ON Data'!AU:AU,'ON Data'!$E:$E,7))</f>
        <v>0</v>
      </c>
      <c r="G16" s="260"/>
    </row>
    <row r="17" spans="1:46" x14ac:dyDescent="0.3">
      <c r="A17" s="205" t="s">
        <v>137</v>
      </c>
      <c r="B17" s="219">
        <f xml:space="preserve">
IF($A$4&lt;=12,SUMIFS('ON Data'!F:F,'ON Data'!$D:$D,$A$4,'ON Data'!$E:$E,8),SUMIFS('ON Data'!F:F,'ON Data'!$E:$E,8))</f>
        <v>0</v>
      </c>
      <c r="C17" s="220"/>
      <c r="D17" s="220">
        <f xml:space="preserve">
IF($A$4&lt;=12,SUMIFS('ON Data'!AG:AG,'ON Data'!$D:$D,$A$4,'ON Data'!$E:$E,8),SUMIFS('ON Data'!AG:AG,'ON Data'!$E:$E,8))</f>
        <v>0</v>
      </c>
      <c r="E17" s="220">
        <f xml:space="preserve">
IF($A$4&lt;=12,SUMIFS('ON Data'!AH:AH,'ON Data'!$D:$D,$A$4,'ON Data'!$E:$E,8),SUMIFS('ON Data'!AH:AH,'ON Data'!$E:$E,8))</f>
        <v>0</v>
      </c>
      <c r="F17" s="220">
        <f xml:space="preserve">
IF($A$4&lt;=12,SUMIFS('ON Data'!AU:AU,'ON Data'!$D:$D,$A$4,'ON Data'!$E:$E,8),SUMIFS('ON Data'!AU:AU,'ON Data'!$E:$E,8))</f>
        <v>0</v>
      </c>
      <c r="G17" s="260"/>
    </row>
    <row r="18" spans="1:46" x14ac:dyDescent="0.3">
      <c r="A18" s="205" t="s">
        <v>138</v>
      </c>
      <c r="B18" s="219">
        <f xml:space="preserve">
B19-B16-B17</f>
        <v>36957</v>
      </c>
      <c r="C18" s="220"/>
      <c r="D18" s="220">
        <f t="shared" ref="D18:E18" si="0" xml:space="preserve">
D19-D16-D17</f>
        <v>24478</v>
      </c>
      <c r="E18" s="220">
        <f t="shared" si="0"/>
        <v>1735</v>
      </c>
      <c r="F18" s="220">
        <f t="shared" ref="F18" si="1" xml:space="preserve">
F19-F16-F17</f>
        <v>10744</v>
      </c>
      <c r="G18" s="260"/>
    </row>
    <row r="19" spans="1:46" ht="15" thickBot="1" x14ac:dyDescent="0.35">
      <c r="A19" s="206" t="s">
        <v>139</v>
      </c>
      <c r="B19" s="225">
        <f xml:space="preserve">
IF($A$4&lt;=12,SUMIFS('ON Data'!F:F,'ON Data'!$D:$D,$A$4,'ON Data'!$E:$E,9),SUMIFS('ON Data'!F:F,'ON Data'!$E:$E,9))</f>
        <v>36957</v>
      </c>
      <c r="C19" s="226"/>
      <c r="D19" s="226">
        <f xml:space="preserve">
IF($A$4&lt;=12,SUMIFS('ON Data'!AG:AG,'ON Data'!$D:$D,$A$4,'ON Data'!$E:$E,9),SUMIFS('ON Data'!AG:AG,'ON Data'!$E:$E,9))</f>
        <v>24478</v>
      </c>
      <c r="E19" s="226">
        <f xml:space="preserve">
IF($A$4&lt;=12,SUMIFS('ON Data'!AH:AH,'ON Data'!$D:$D,$A$4,'ON Data'!$E:$E,9),SUMIFS('ON Data'!AH:AH,'ON Data'!$E:$E,9))</f>
        <v>1735</v>
      </c>
      <c r="F19" s="226">
        <f xml:space="preserve">
IF($A$4&lt;=12,SUMIFS('ON Data'!AU:AU,'ON Data'!$D:$D,$A$4,'ON Data'!$E:$E,9),SUMIFS('ON Data'!AU:AU,'ON Data'!$E:$E,9))</f>
        <v>10744</v>
      </c>
      <c r="G19" s="260"/>
    </row>
    <row r="20" spans="1:46" ht="15" collapsed="1" thickBot="1" x14ac:dyDescent="0.35">
      <c r="A20" s="207" t="s">
        <v>50</v>
      </c>
      <c r="B20" s="280">
        <f xml:space="preserve">
IF($A$4&lt;=12,SUMIFS('ON Data'!F:F,'ON Data'!$D:$D,$A$4,'ON Data'!$E:$E,6),SUMIFS('ON Data'!F:F,'ON Data'!$E:$E,6))</f>
        <v>1331555</v>
      </c>
      <c r="C20" s="266"/>
      <c r="D20" s="266">
        <f xml:space="preserve">
IF($A$4&lt;=12,SUMIFS('ON Data'!AG:AG,'ON Data'!$D:$D,$A$4,'ON Data'!$E:$E,6),SUMIFS('ON Data'!AG:AG,'ON Data'!$E:$E,6))</f>
        <v>1006721</v>
      </c>
      <c r="E20" s="266">
        <f xml:space="preserve">
IF($A$4&lt;=12,SUMIFS('ON Data'!AH:AH,'ON Data'!$D:$D,$A$4,'ON Data'!$E:$E,6),SUMIFS('ON Data'!AH:AH,'ON Data'!$E:$E,6))</f>
        <v>177004</v>
      </c>
      <c r="F20" s="266">
        <f xml:space="preserve">
IF($A$4&lt;=12,SUMIFS('ON Data'!AU:AU,'ON Data'!$D:$D,$A$4,'ON Data'!$E:$E,6),SUMIFS('ON Data'!AU:AU,'ON Data'!$E:$E,6))</f>
        <v>80629</v>
      </c>
      <c r="G20" s="260"/>
    </row>
    <row r="21" spans="1:46" ht="15" hidden="1" outlineLevel="1" thickBot="1" x14ac:dyDescent="0.35">
      <c r="A21" s="200" t="s">
        <v>84</v>
      </c>
      <c r="B21" s="281">
        <f xml:space="preserve">
IF($A$4&lt;=12,SUMIFS('ON Data'!F:F,'ON Data'!$D:$D,$A$4,'ON Data'!$E:$E,12),SUMIFS('ON Data'!F:F,'ON Data'!$E:$E,12))</f>
        <v>0</v>
      </c>
      <c r="C21" s="265"/>
      <c r="D21" s="265">
        <f xml:space="preserve">
IF($A$4&lt;=12,SUMIFS('ON Data'!AG:AG,'ON Data'!$D:$D,$A$4,'ON Data'!$E:$E,12),SUMIFS('ON Data'!AG:AG,'ON Data'!$E:$E,12))</f>
        <v>0</v>
      </c>
      <c r="E21" s="265">
        <f xml:space="preserve">
IF($A$4&lt;=12,SUMIFS('ON Data'!AH:AH,'ON Data'!$D:$D,$A$4,'ON Data'!$E:$E,12),SUMIFS('ON Data'!AH:AH,'ON Data'!$E:$E,12))</f>
        <v>0</v>
      </c>
      <c r="F21" s="265"/>
      <c r="G21" s="260"/>
    </row>
    <row r="22" spans="1:46" ht="15" hidden="1" outlineLevel="1" thickBot="1" x14ac:dyDescent="0.35">
      <c r="A22" s="200" t="s">
        <v>52</v>
      </c>
      <c r="B22" s="282" t="str">
        <f xml:space="preserve">
IF(OR(B21="",B21=0),"",B20/B21)</f>
        <v/>
      </c>
      <c r="C22" s="251"/>
      <c r="D22" s="251" t="str">
        <f t="shared" ref="D22:E22" si="2" xml:space="preserve">
IF(OR(D21="",D21=0),"",D20/D21)</f>
        <v/>
      </c>
      <c r="E22" s="251" t="str">
        <f t="shared" si="2"/>
        <v/>
      </c>
      <c r="F22" s="251"/>
      <c r="G22" s="260"/>
    </row>
    <row r="23" spans="1:46" ht="15" hidden="1" outlineLevel="1" thickBot="1" x14ac:dyDescent="0.35">
      <c r="A23" s="208" t="s">
        <v>45</v>
      </c>
      <c r="B23" s="283">
        <f xml:space="preserve">
IF(B21="","",B20-B21)</f>
        <v>1331555</v>
      </c>
      <c r="C23" s="222"/>
      <c r="D23" s="222">
        <f t="shared" ref="D23:E23" si="3" xml:space="preserve">
IF(D21="","",D20-D21)</f>
        <v>1006721</v>
      </c>
      <c r="E23" s="222">
        <f t="shared" si="3"/>
        <v>177004</v>
      </c>
      <c r="F23" s="222"/>
      <c r="G23" s="260"/>
    </row>
    <row r="24" spans="1:46" x14ac:dyDescent="0.3">
      <c r="A24" s="202" t="s">
        <v>140</v>
      </c>
      <c r="B24" s="237" t="s">
        <v>3</v>
      </c>
      <c r="C24" s="277" t="s">
        <v>192</v>
      </c>
      <c r="D24" s="278" t="s">
        <v>193</v>
      </c>
      <c r="E24" s="278" t="s">
        <v>194</v>
      </c>
      <c r="F24" s="279" t="s">
        <v>151</v>
      </c>
      <c r="AT24" s="260"/>
    </row>
    <row r="25" spans="1:46" x14ac:dyDescent="0.3">
      <c r="A25" s="203" t="s">
        <v>50</v>
      </c>
      <c r="B25" s="219">
        <f xml:space="preserve">
SUM(C25:F25)</f>
        <v>0</v>
      </c>
      <c r="C25" s="268">
        <f xml:space="preserve">
IF($A$4&lt;=12,SUMIFS('ON Data'!$G:$G,'ON Data'!$D:$D,$A$4,'ON Data'!$E:$E,10),SUMIFS('ON Data'!$G:$G,'ON Data'!$E:$E,10))</f>
        <v>0</v>
      </c>
      <c r="D25" s="269">
        <f xml:space="preserve">
IF($A$4&lt;=12,SUMIFS('ON Data'!$J:$J,'ON Data'!$D:$D,$A$4,'ON Data'!$E:$E,10),SUMIFS('ON Data'!$J:$J,'ON Data'!$E:$E,10))</f>
        <v>0</v>
      </c>
      <c r="E25" s="269">
        <f xml:space="preserve">
IF($A$4&lt;=12,SUMIFS('ON Data'!$H:$H,'ON Data'!$D:$D,$A$4,'ON Data'!$E:$E,10),SUMIFS('ON Data'!$H:$H,'ON Data'!$E:$E,10))</f>
        <v>0</v>
      </c>
      <c r="F25" s="270">
        <f xml:space="preserve">
IF($A$4&lt;=12,SUMIFS('ON Data'!$I:$I,'ON Data'!$D:$D,$A$4,'ON Data'!$E:$E,10),SUMIFS('ON Data'!$I:$I,'ON Data'!$E:$E,10))</f>
        <v>0</v>
      </c>
    </row>
    <row r="26" spans="1:46" x14ac:dyDescent="0.3">
      <c r="A26" s="209" t="s">
        <v>150</v>
      </c>
      <c r="B26" s="225">
        <f xml:space="preserve">
SUM(C26:F26)</f>
        <v>8125</v>
      </c>
      <c r="C26" s="268">
        <f xml:space="preserve">
IF($A$4&lt;=12,SUMIFS('ON Data'!$G:$G,'ON Data'!$D:$D,$A$4,'ON Data'!$E:$E,11),SUMIFS('ON Data'!$G:$G,'ON Data'!$E:$E,11))</f>
        <v>0</v>
      </c>
      <c r="D26" s="269">
        <f xml:space="preserve">
IF($A$4&lt;=12,SUMIFS('ON Data'!$J:$J,'ON Data'!$D:$D,$A$4,'ON Data'!$E:$E,11),SUMIFS('ON Data'!$J:$J,'ON Data'!$E:$E,11))</f>
        <v>8125</v>
      </c>
      <c r="E26" s="269">
        <f xml:space="preserve">
IF($A$4&lt;=12,SUMIFS('ON Data'!$H:$H,'ON Data'!$D:$D,$A$4,'ON Data'!$E:$E,11),SUMIFS('ON Data'!$H:$H,'ON Data'!$E:$E,11))</f>
        <v>0</v>
      </c>
      <c r="F26" s="270">
        <f xml:space="preserve">
IF($A$4&lt;=12,SUMIFS('ON Data'!$I:$I,'ON Data'!$D:$D,$A$4,'ON Data'!$E:$E,11),SUMIFS('ON Data'!$I:$I,'ON Data'!$E:$E,11))</f>
        <v>0</v>
      </c>
    </row>
    <row r="27" spans="1:46" x14ac:dyDescent="0.3">
      <c r="A27" s="209" t="s">
        <v>52</v>
      </c>
      <c r="B27" s="238">
        <f xml:space="preserve">
IF(B26=0,0,B25/B26)</f>
        <v>0</v>
      </c>
      <c r="C27" s="271">
        <f xml:space="preserve">
IF(C26=0,0,C25/C26)</f>
        <v>0</v>
      </c>
      <c r="D27" s="272">
        <f t="shared" ref="D27:E27" si="4" xml:space="preserve">
IF(D26=0,0,D25/D26)</f>
        <v>0</v>
      </c>
      <c r="E27" s="272">
        <f t="shared" si="4"/>
        <v>0</v>
      </c>
      <c r="F27" s="273">
        <f xml:space="preserve">
IF(F26=0,0,F25/F26)</f>
        <v>0</v>
      </c>
    </row>
    <row r="28" spans="1:46" ht="15" thickBot="1" x14ac:dyDescent="0.35">
      <c r="A28" s="209" t="s">
        <v>149</v>
      </c>
      <c r="B28" s="225">
        <f xml:space="preserve">
SUM(C28:F28)</f>
        <v>8125</v>
      </c>
      <c r="C28" s="274">
        <f xml:space="preserve">
C26-C25</f>
        <v>0</v>
      </c>
      <c r="D28" s="275">
        <f t="shared" ref="D28:E28" si="5" xml:space="preserve">
D26-D25</f>
        <v>8125</v>
      </c>
      <c r="E28" s="275">
        <f t="shared" si="5"/>
        <v>0</v>
      </c>
      <c r="F28" s="276">
        <f xml:space="preserve">
F26-F25</f>
        <v>0</v>
      </c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</row>
    <row r="29" spans="1:46" x14ac:dyDescent="0.3">
      <c r="A29" s="210"/>
      <c r="B29" s="210"/>
      <c r="C29" s="211"/>
      <c r="D29" s="210"/>
      <c r="E29" s="210"/>
      <c r="F29" s="210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123"/>
      <c r="AJ29" s="123"/>
      <c r="AK29" s="123"/>
      <c r="AL29" s="123"/>
      <c r="AM29" s="123"/>
    </row>
    <row r="30" spans="1:46" x14ac:dyDescent="0.3">
      <c r="A30" s="85" t="s">
        <v>113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19"/>
      <c r="AL30" s="119"/>
      <c r="AM30" s="119"/>
    </row>
    <row r="31" spans="1:46" x14ac:dyDescent="0.3">
      <c r="A31" s="86" t="s">
        <v>147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19"/>
      <c r="AL31" s="119"/>
      <c r="AM31" s="119"/>
    </row>
    <row r="32" spans="1:46" ht="14.4" customHeight="1" x14ac:dyDescent="0.3">
      <c r="A32" s="234" t="s">
        <v>144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</row>
    <row r="33" spans="1:1" x14ac:dyDescent="0.3">
      <c r="A33" s="236" t="s">
        <v>188</v>
      </c>
    </row>
    <row r="34" spans="1:1" x14ac:dyDescent="0.3">
      <c r="A34" s="236" t="s">
        <v>189</v>
      </c>
    </row>
    <row r="35" spans="1:1" x14ac:dyDescent="0.3">
      <c r="A35" s="236" t="s">
        <v>190</v>
      </c>
    </row>
    <row r="36" spans="1:1" x14ac:dyDescent="0.3">
      <c r="A36" s="236" t="s">
        <v>191</v>
      </c>
    </row>
    <row r="37" spans="1:1" x14ac:dyDescent="0.3">
      <c r="A37" s="236" t="s">
        <v>152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F22">
    <cfRule type="cellIs" dxfId="8" priority="15" operator="greaterThan">
      <formula>1</formula>
    </cfRule>
  </conditionalFormatting>
  <conditionalFormatting sqref="B23:F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9"/>
  <sheetViews>
    <sheetView showGridLines="0" workbookViewId="0"/>
  </sheetViews>
  <sheetFormatPr defaultRowHeight="14.4" x14ac:dyDescent="0.3"/>
  <cols>
    <col min="1" max="16384" width="8.88671875" style="191"/>
  </cols>
  <sheetData>
    <row r="1" spans="1:49" x14ac:dyDescent="0.3">
      <c r="A1" s="191" t="s">
        <v>307</v>
      </c>
    </row>
    <row r="2" spans="1:49" x14ac:dyDescent="0.3">
      <c r="A2" s="195" t="s">
        <v>195</v>
      </c>
    </row>
    <row r="3" spans="1:49" x14ac:dyDescent="0.3">
      <c r="A3" s="191" t="s">
        <v>117</v>
      </c>
      <c r="B3" s="214">
        <v>2017</v>
      </c>
      <c r="D3" s="192">
        <f>MAX(D5:D1048576)</f>
        <v>3</v>
      </c>
      <c r="F3" s="192">
        <f>SUMIF($E5:$E1048576,"&lt;10",F5:F1048576)</f>
        <v>1374300.2999999998</v>
      </c>
      <c r="G3" s="192">
        <f t="shared" ref="G3:AW3" si="0">SUMIF($E5:$E1048576,"&lt;10",G5:G1048576)</f>
        <v>0</v>
      </c>
      <c r="H3" s="192">
        <f t="shared" si="0"/>
        <v>0</v>
      </c>
      <c r="I3" s="192">
        <f t="shared" si="0"/>
        <v>67720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2">
        <f t="shared" si="0"/>
        <v>0</v>
      </c>
      <c r="N3" s="192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2">
        <f t="shared" si="0"/>
        <v>0</v>
      </c>
      <c r="T3" s="192">
        <f t="shared" si="0"/>
        <v>0</v>
      </c>
      <c r="U3" s="192">
        <f t="shared" si="0"/>
        <v>0</v>
      </c>
      <c r="V3" s="192">
        <f t="shared" si="0"/>
        <v>0</v>
      </c>
      <c r="W3" s="192">
        <f t="shared" si="0"/>
        <v>0</v>
      </c>
      <c r="X3" s="192">
        <f t="shared" si="0"/>
        <v>0</v>
      </c>
      <c r="Y3" s="192">
        <f t="shared" si="0"/>
        <v>0</v>
      </c>
      <c r="Z3" s="192">
        <f t="shared" si="0"/>
        <v>0</v>
      </c>
      <c r="AA3" s="192">
        <f t="shared" si="0"/>
        <v>0</v>
      </c>
      <c r="AB3" s="192">
        <f t="shared" si="0"/>
        <v>0</v>
      </c>
      <c r="AC3" s="192">
        <f t="shared" si="0"/>
        <v>0</v>
      </c>
      <c r="AD3" s="192">
        <f t="shared" si="0"/>
        <v>0</v>
      </c>
      <c r="AE3" s="192">
        <f t="shared" si="0"/>
        <v>0</v>
      </c>
      <c r="AF3" s="192">
        <f t="shared" si="0"/>
        <v>0</v>
      </c>
      <c r="AG3" s="192">
        <f t="shared" si="0"/>
        <v>1035549.7</v>
      </c>
      <c r="AH3" s="192">
        <f t="shared" si="0"/>
        <v>179234</v>
      </c>
      <c r="AI3" s="192">
        <f t="shared" si="0"/>
        <v>0</v>
      </c>
      <c r="AJ3" s="192">
        <f t="shared" si="0"/>
        <v>0</v>
      </c>
      <c r="AK3" s="192">
        <f t="shared" si="0"/>
        <v>0</v>
      </c>
      <c r="AL3" s="192">
        <f t="shared" si="0"/>
        <v>0</v>
      </c>
      <c r="AM3" s="192">
        <f t="shared" si="0"/>
        <v>0</v>
      </c>
      <c r="AN3" s="192">
        <f t="shared" si="0"/>
        <v>0</v>
      </c>
      <c r="AO3" s="192">
        <f t="shared" si="0"/>
        <v>0</v>
      </c>
      <c r="AP3" s="192">
        <f t="shared" si="0"/>
        <v>0</v>
      </c>
      <c r="AQ3" s="192">
        <f t="shared" si="0"/>
        <v>0</v>
      </c>
      <c r="AR3" s="192">
        <f t="shared" si="0"/>
        <v>0</v>
      </c>
      <c r="AS3" s="192">
        <f t="shared" si="0"/>
        <v>0</v>
      </c>
      <c r="AT3" s="192">
        <f t="shared" si="0"/>
        <v>0</v>
      </c>
      <c r="AU3" s="192">
        <f t="shared" si="0"/>
        <v>91796.6</v>
      </c>
      <c r="AV3" s="192">
        <f t="shared" si="0"/>
        <v>0</v>
      </c>
      <c r="AW3" s="192">
        <f t="shared" si="0"/>
        <v>0</v>
      </c>
    </row>
    <row r="4" spans="1:49" x14ac:dyDescent="0.3">
      <c r="A4" s="191" t="s">
        <v>118</v>
      </c>
      <c r="B4" s="214">
        <v>1</v>
      </c>
      <c r="C4" s="193" t="s">
        <v>4</v>
      </c>
      <c r="D4" s="194" t="s">
        <v>44</v>
      </c>
      <c r="E4" s="194" t="s">
        <v>116</v>
      </c>
      <c r="F4" s="194" t="s">
        <v>3</v>
      </c>
      <c r="G4" s="194">
        <v>0</v>
      </c>
      <c r="H4" s="194">
        <v>25</v>
      </c>
      <c r="I4" s="194">
        <v>30</v>
      </c>
      <c r="J4" s="194">
        <v>99</v>
      </c>
      <c r="K4" s="194">
        <v>100</v>
      </c>
      <c r="L4" s="194">
        <v>101</v>
      </c>
      <c r="M4" s="194">
        <v>102</v>
      </c>
      <c r="N4" s="194">
        <v>103</v>
      </c>
      <c r="O4" s="194">
        <v>203</v>
      </c>
      <c r="P4" s="194">
        <v>302</v>
      </c>
      <c r="Q4" s="194">
        <v>303</v>
      </c>
      <c r="R4" s="194">
        <v>304</v>
      </c>
      <c r="S4" s="194">
        <v>305</v>
      </c>
      <c r="T4" s="194">
        <v>306</v>
      </c>
      <c r="U4" s="194">
        <v>407</v>
      </c>
      <c r="V4" s="194">
        <v>408</v>
      </c>
      <c r="W4" s="194">
        <v>409</v>
      </c>
      <c r="X4" s="194">
        <v>410</v>
      </c>
      <c r="Y4" s="194">
        <v>415</v>
      </c>
      <c r="Z4" s="194">
        <v>416</v>
      </c>
      <c r="AA4" s="194">
        <v>418</v>
      </c>
      <c r="AB4" s="194">
        <v>419</v>
      </c>
      <c r="AC4" s="194">
        <v>420</v>
      </c>
      <c r="AD4" s="194">
        <v>421</v>
      </c>
      <c r="AE4" s="194">
        <v>422</v>
      </c>
      <c r="AF4" s="194">
        <v>520</v>
      </c>
      <c r="AG4" s="194">
        <v>521</v>
      </c>
      <c r="AH4" s="194">
        <v>522</v>
      </c>
      <c r="AI4" s="194">
        <v>523</v>
      </c>
      <c r="AJ4" s="194">
        <v>524</v>
      </c>
      <c r="AK4" s="194">
        <v>525</v>
      </c>
      <c r="AL4" s="194">
        <v>526</v>
      </c>
      <c r="AM4" s="194">
        <v>527</v>
      </c>
      <c r="AN4" s="194">
        <v>528</v>
      </c>
      <c r="AO4" s="194">
        <v>629</v>
      </c>
      <c r="AP4" s="194">
        <v>630</v>
      </c>
      <c r="AQ4" s="194">
        <v>636</v>
      </c>
      <c r="AR4" s="194">
        <v>637</v>
      </c>
      <c r="AS4" s="194">
        <v>640</v>
      </c>
      <c r="AT4" s="194">
        <v>642</v>
      </c>
      <c r="AU4" s="194">
        <v>743</v>
      </c>
      <c r="AV4" s="194">
        <v>745</v>
      </c>
      <c r="AW4" s="194">
        <v>746</v>
      </c>
    </row>
    <row r="5" spans="1:49" x14ac:dyDescent="0.3">
      <c r="A5" s="191" t="s">
        <v>119</v>
      </c>
      <c r="B5" s="214">
        <v>2</v>
      </c>
      <c r="C5" s="191">
        <v>39</v>
      </c>
      <c r="D5" s="191">
        <v>1</v>
      </c>
      <c r="E5" s="191">
        <v>1</v>
      </c>
      <c r="F5" s="191">
        <v>13.1</v>
      </c>
      <c r="G5" s="191">
        <v>0</v>
      </c>
      <c r="H5" s="191">
        <v>0</v>
      </c>
      <c r="I5" s="191">
        <v>1</v>
      </c>
      <c r="J5" s="191">
        <v>0</v>
      </c>
      <c r="K5" s="191">
        <v>0</v>
      </c>
      <c r="L5" s="191">
        <v>0</v>
      </c>
      <c r="M5" s="191">
        <v>0</v>
      </c>
      <c r="N5" s="191">
        <v>0</v>
      </c>
      <c r="O5" s="191">
        <v>0</v>
      </c>
      <c r="P5" s="191">
        <v>0</v>
      </c>
      <c r="Q5" s="191">
        <v>0</v>
      </c>
      <c r="R5" s="191">
        <v>0</v>
      </c>
      <c r="S5" s="191">
        <v>0</v>
      </c>
      <c r="T5" s="191">
        <v>0</v>
      </c>
      <c r="U5" s="191">
        <v>0</v>
      </c>
      <c r="V5" s="191">
        <v>0</v>
      </c>
      <c r="W5" s="191">
        <v>0</v>
      </c>
      <c r="X5" s="191">
        <v>0</v>
      </c>
      <c r="Y5" s="191">
        <v>0</v>
      </c>
      <c r="Z5" s="191">
        <v>0</v>
      </c>
      <c r="AA5" s="191">
        <v>0</v>
      </c>
      <c r="AB5" s="191">
        <v>0</v>
      </c>
      <c r="AC5" s="191">
        <v>0</v>
      </c>
      <c r="AD5" s="191">
        <v>0</v>
      </c>
      <c r="AE5" s="191">
        <v>0</v>
      </c>
      <c r="AF5" s="191">
        <v>0</v>
      </c>
      <c r="AG5" s="191">
        <v>7.5</v>
      </c>
      <c r="AH5" s="191">
        <v>1</v>
      </c>
      <c r="AI5" s="191">
        <v>0</v>
      </c>
      <c r="AJ5" s="191">
        <v>0</v>
      </c>
      <c r="AK5" s="191">
        <v>0</v>
      </c>
      <c r="AL5" s="191">
        <v>0</v>
      </c>
      <c r="AM5" s="191">
        <v>0</v>
      </c>
      <c r="AN5" s="191">
        <v>0</v>
      </c>
      <c r="AO5" s="191">
        <v>0</v>
      </c>
      <c r="AP5" s="191">
        <v>0</v>
      </c>
      <c r="AQ5" s="191">
        <v>0</v>
      </c>
      <c r="AR5" s="191">
        <v>0</v>
      </c>
      <c r="AS5" s="191">
        <v>0</v>
      </c>
      <c r="AT5" s="191">
        <v>0</v>
      </c>
      <c r="AU5" s="191">
        <v>3.6</v>
      </c>
      <c r="AV5" s="191">
        <v>0</v>
      </c>
      <c r="AW5" s="191">
        <v>0</v>
      </c>
    </row>
    <row r="6" spans="1:49" x14ac:dyDescent="0.3">
      <c r="A6" s="191" t="s">
        <v>120</v>
      </c>
      <c r="B6" s="214">
        <v>3</v>
      </c>
      <c r="C6" s="191">
        <v>39</v>
      </c>
      <c r="D6" s="191">
        <v>1</v>
      </c>
      <c r="E6" s="191">
        <v>2</v>
      </c>
      <c r="F6" s="191">
        <v>1855</v>
      </c>
      <c r="G6" s="191">
        <v>0</v>
      </c>
      <c r="H6" s="191">
        <v>0</v>
      </c>
      <c r="I6" s="191">
        <v>172</v>
      </c>
      <c r="J6" s="191">
        <v>0</v>
      </c>
      <c r="K6" s="191">
        <v>0</v>
      </c>
      <c r="L6" s="191">
        <v>0</v>
      </c>
      <c r="M6" s="191">
        <v>0</v>
      </c>
      <c r="N6" s="191">
        <v>0</v>
      </c>
      <c r="O6" s="191">
        <v>0</v>
      </c>
      <c r="P6" s="191">
        <v>0</v>
      </c>
      <c r="Q6" s="191">
        <v>0</v>
      </c>
      <c r="R6" s="191">
        <v>0</v>
      </c>
      <c r="S6" s="191">
        <v>0</v>
      </c>
      <c r="T6" s="191">
        <v>0</v>
      </c>
      <c r="U6" s="191">
        <v>0</v>
      </c>
      <c r="V6" s="191">
        <v>0</v>
      </c>
      <c r="W6" s="191">
        <v>0</v>
      </c>
      <c r="X6" s="191">
        <v>0</v>
      </c>
      <c r="Y6" s="191">
        <v>0</v>
      </c>
      <c r="Z6" s="191">
        <v>0</v>
      </c>
      <c r="AA6" s="191">
        <v>0</v>
      </c>
      <c r="AB6" s="191">
        <v>0</v>
      </c>
      <c r="AC6" s="191">
        <v>0</v>
      </c>
      <c r="AD6" s="191">
        <v>0</v>
      </c>
      <c r="AE6" s="191">
        <v>0</v>
      </c>
      <c r="AF6" s="191">
        <v>0</v>
      </c>
      <c r="AG6" s="191">
        <v>1129</v>
      </c>
      <c r="AH6" s="191">
        <v>176</v>
      </c>
      <c r="AI6" s="191">
        <v>0</v>
      </c>
      <c r="AJ6" s="191">
        <v>0</v>
      </c>
      <c r="AK6" s="191">
        <v>0</v>
      </c>
      <c r="AL6" s="191">
        <v>0</v>
      </c>
      <c r="AM6" s="191">
        <v>0</v>
      </c>
      <c r="AN6" s="191">
        <v>0</v>
      </c>
      <c r="AO6" s="191">
        <v>0</v>
      </c>
      <c r="AP6" s="191">
        <v>0</v>
      </c>
      <c r="AQ6" s="191">
        <v>0</v>
      </c>
      <c r="AR6" s="191">
        <v>0</v>
      </c>
      <c r="AS6" s="191">
        <v>0</v>
      </c>
      <c r="AT6" s="191">
        <v>0</v>
      </c>
      <c r="AU6" s="191">
        <v>378</v>
      </c>
      <c r="AV6" s="191">
        <v>0</v>
      </c>
      <c r="AW6" s="191">
        <v>0</v>
      </c>
    </row>
    <row r="7" spans="1:49" x14ac:dyDescent="0.3">
      <c r="A7" s="191" t="s">
        <v>121</v>
      </c>
      <c r="B7" s="214">
        <v>4</v>
      </c>
      <c r="C7" s="191">
        <v>39</v>
      </c>
      <c r="D7" s="191">
        <v>1</v>
      </c>
      <c r="E7" s="191">
        <v>6</v>
      </c>
      <c r="F7" s="191">
        <v>436197</v>
      </c>
      <c r="G7" s="191">
        <v>0</v>
      </c>
      <c r="H7" s="191">
        <v>0</v>
      </c>
      <c r="I7" s="191">
        <v>22421</v>
      </c>
      <c r="J7" s="191">
        <v>0</v>
      </c>
      <c r="K7" s="191">
        <v>0</v>
      </c>
      <c r="L7" s="191">
        <v>0</v>
      </c>
      <c r="M7" s="191">
        <v>0</v>
      </c>
      <c r="N7" s="191">
        <v>0</v>
      </c>
      <c r="O7" s="191">
        <v>0</v>
      </c>
      <c r="P7" s="191">
        <v>0</v>
      </c>
      <c r="Q7" s="191">
        <v>0</v>
      </c>
      <c r="R7" s="191">
        <v>0</v>
      </c>
      <c r="S7" s="191">
        <v>0</v>
      </c>
      <c r="T7" s="191">
        <v>0</v>
      </c>
      <c r="U7" s="191">
        <v>0</v>
      </c>
      <c r="V7" s="191">
        <v>0</v>
      </c>
      <c r="W7" s="191">
        <v>0</v>
      </c>
      <c r="X7" s="191">
        <v>0</v>
      </c>
      <c r="Y7" s="191">
        <v>0</v>
      </c>
      <c r="Z7" s="191">
        <v>0</v>
      </c>
      <c r="AA7" s="191">
        <v>0</v>
      </c>
      <c r="AB7" s="191">
        <v>0</v>
      </c>
      <c r="AC7" s="191">
        <v>0</v>
      </c>
      <c r="AD7" s="191">
        <v>0</v>
      </c>
      <c r="AE7" s="191">
        <v>0</v>
      </c>
      <c r="AF7" s="191">
        <v>0</v>
      </c>
      <c r="AG7" s="191">
        <v>278033</v>
      </c>
      <c r="AH7" s="191">
        <v>59905</v>
      </c>
      <c r="AI7" s="191">
        <v>0</v>
      </c>
      <c r="AJ7" s="191">
        <v>0</v>
      </c>
      <c r="AK7" s="191">
        <v>0</v>
      </c>
      <c r="AL7" s="191">
        <v>0</v>
      </c>
      <c r="AM7" s="191">
        <v>0</v>
      </c>
      <c r="AN7" s="191">
        <v>0</v>
      </c>
      <c r="AO7" s="191">
        <v>0</v>
      </c>
      <c r="AP7" s="191">
        <v>0</v>
      </c>
      <c r="AQ7" s="191">
        <v>0</v>
      </c>
      <c r="AR7" s="191">
        <v>0</v>
      </c>
      <c r="AS7" s="191">
        <v>0</v>
      </c>
      <c r="AT7" s="191">
        <v>0</v>
      </c>
      <c r="AU7" s="191">
        <v>75838</v>
      </c>
      <c r="AV7" s="191">
        <v>0</v>
      </c>
      <c r="AW7" s="191">
        <v>0</v>
      </c>
    </row>
    <row r="8" spans="1:49" x14ac:dyDescent="0.3">
      <c r="A8" s="191" t="s">
        <v>122</v>
      </c>
      <c r="B8" s="214">
        <v>5</v>
      </c>
      <c r="C8" s="191">
        <v>39</v>
      </c>
      <c r="D8" s="191">
        <v>1</v>
      </c>
      <c r="E8" s="191">
        <v>9</v>
      </c>
      <c r="F8" s="191">
        <v>15469</v>
      </c>
      <c r="G8" s="191">
        <v>0</v>
      </c>
      <c r="H8" s="191">
        <v>0</v>
      </c>
      <c r="I8" s="191">
        <v>0</v>
      </c>
      <c r="J8" s="191">
        <v>0</v>
      </c>
      <c r="K8" s="191">
        <v>0</v>
      </c>
      <c r="L8" s="191">
        <v>0</v>
      </c>
      <c r="M8" s="191">
        <v>0</v>
      </c>
      <c r="N8" s="191">
        <v>0</v>
      </c>
      <c r="O8" s="191">
        <v>0</v>
      </c>
      <c r="P8" s="191">
        <v>0</v>
      </c>
      <c r="Q8" s="191">
        <v>0</v>
      </c>
      <c r="R8" s="191">
        <v>0</v>
      </c>
      <c r="S8" s="191">
        <v>0</v>
      </c>
      <c r="T8" s="191">
        <v>0</v>
      </c>
      <c r="U8" s="191">
        <v>0</v>
      </c>
      <c r="V8" s="191">
        <v>0</v>
      </c>
      <c r="W8" s="191">
        <v>0</v>
      </c>
      <c r="X8" s="191">
        <v>0</v>
      </c>
      <c r="Y8" s="191">
        <v>0</v>
      </c>
      <c r="Z8" s="191">
        <v>0</v>
      </c>
      <c r="AA8" s="191">
        <v>0</v>
      </c>
      <c r="AB8" s="191">
        <v>0</v>
      </c>
      <c r="AC8" s="191">
        <v>0</v>
      </c>
      <c r="AD8" s="191">
        <v>0</v>
      </c>
      <c r="AE8" s="191">
        <v>0</v>
      </c>
      <c r="AF8" s="191">
        <v>0</v>
      </c>
      <c r="AG8" s="191">
        <v>2990</v>
      </c>
      <c r="AH8" s="191">
        <v>1735</v>
      </c>
      <c r="AI8" s="191">
        <v>0</v>
      </c>
      <c r="AJ8" s="191">
        <v>0</v>
      </c>
      <c r="AK8" s="191">
        <v>0</v>
      </c>
      <c r="AL8" s="191">
        <v>0</v>
      </c>
      <c r="AM8" s="191">
        <v>0</v>
      </c>
      <c r="AN8" s="191">
        <v>0</v>
      </c>
      <c r="AO8" s="191">
        <v>0</v>
      </c>
      <c r="AP8" s="191">
        <v>0</v>
      </c>
      <c r="AQ8" s="191">
        <v>0</v>
      </c>
      <c r="AR8" s="191">
        <v>0</v>
      </c>
      <c r="AS8" s="191">
        <v>0</v>
      </c>
      <c r="AT8" s="191">
        <v>0</v>
      </c>
      <c r="AU8" s="191">
        <v>10744</v>
      </c>
      <c r="AV8" s="191">
        <v>0</v>
      </c>
      <c r="AW8" s="191">
        <v>0</v>
      </c>
    </row>
    <row r="9" spans="1:49" x14ac:dyDescent="0.3">
      <c r="A9" s="191" t="s">
        <v>123</v>
      </c>
      <c r="B9" s="214">
        <v>6</v>
      </c>
      <c r="C9" s="191">
        <v>39</v>
      </c>
      <c r="D9" s="191">
        <v>1</v>
      </c>
      <c r="E9" s="191">
        <v>11</v>
      </c>
      <c r="F9" s="191">
        <v>2708.3333333333335</v>
      </c>
      <c r="G9" s="191">
        <v>0</v>
      </c>
      <c r="H9" s="191">
        <v>0</v>
      </c>
      <c r="I9" s="191">
        <v>0</v>
      </c>
      <c r="J9" s="191">
        <v>2708.3333333333335</v>
      </c>
      <c r="K9" s="191">
        <v>0</v>
      </c>
      <c r="L9" s="191">
        <v>0</v>
      </c>
      <c r="M9" s="191">
        <v>0</v>
      </c>
      <c r="N9" s="191">
        <v>0</v>
      </c>
      <c r="O9" s="191">
        <v>0</v>
      </c>
      <c r="P9" s="191">
        <v>0</v>
      </c>
      <c r="Q9" s="191">
        <v>0</v>
      </c>
      <c r="R9" s="191">
        <v>0</v>
      </c>
      <c r="S9" s="191">
        <v>0</v>
      </c>
      <c r="T9" s="191">
        <v>0</v>
      </c>
      <c r="U9" s="191">
        <v>0</v>
      </c>
      <c r="V9" s="191">
        <v>0</v>
      </c>
      <c r="W9" s="191">
        <v>0</v>
      </c>
      <c r="X9" s="191">
        <v>0</v>
      </c>
      <c r="Y9" s="191">
        <v>0</v>
      </c>
      <c r="Z9" s="191">
        <v>0</v>
      </c>
      <c r="AA9" s="191">
        <v>0</v>
      </c>
      <c r="AB9" s="191">
        <v>0</v>
      </c>
      <c r="AC9" s="191">
        <v>0</v>
      </c>
      <c r="AD9" s="191">
        <v>0</v>
      </c>
      <c r="AE9" s="191">
        <v>0</v>
      </c>
      <c r="AF9" s="191">
        <v>0</v>
      </c>
      <c r="AG9" s="191">
        <v>0</v>
      </c>
      <c r="AH9" s="191">
        <v>0</v>
      </c>
      <c r="AI9" s="191">
        <v>0</v>
      </c>
      <c r="AJ9" s="191">
        <v>0</v>
      </c>
      <c r="AK9" s="191">
        <v>0</v>
      </c>
      <c r="AL9" s="191">
        <v>0</v>
      </c>
      <c r="AM9" s="191">
        <v>0</v>
      </c>
      <c r="AN9" s="191">
        <v>0</v>
      </c>
      <c r="AO9" s="191">
        <v>0</v>
      </c>
      <c r="AP9" s="191">
        <v>0</v>
      </c>
      <c r="AQ9" s="191">
        <v>0</v>
      </c>
      <c r="AR9" s="191">
        <v>0</v>
      </c>
      <c r="AS9" s="191">
        <v>0</v>
      </c>
      <c r="AT9" s="191">
        <v>0</v>
      </c>
      <c r="AU9" s="191">
        <v>0</v>
      </c>
      <c r="AV9" s="191">
        <v>0</v>
      </c>
      <c r="AW9" s="191">
        <v>0</v>
      </c>
    </row>
    <row r="10" spans="1:49" x14ac:dyDescent="0.3">
      <c r="A10" s="191" t="s">
        <v>124</v>
      </c>
      <c r="B10" s="214">
        <v>7</v>
      </c>
      <c r="C10" s="191">
        <v>39</v>
      </c>
      <c r="D10" s="191">
        <v>2</v>
      </c>
      <c r="E10" s="191">
        <v>1</v>
      </c>
      <c r="F10" s="191">
        <v>12.6</v>
      </c>
      <c r="G10" s="191">
        <v>0</v>
      </c>
      <c r="H10" s="191">
        <v>0</v>
      </c>
      <c r="I10" s="191">
        <v>1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  <c r="U10" s="191">
        <v>0</v>
      </c>
      <c r="V10" s="191">
        <v>0</v>
      </c>
      <c r="W10" s="191">
        <v>0</v>
      </c>
      <c r="X10" s="191">
        <v>0</v>
      </c>
      <c r="Y10" s="191">
        <v>0</v>
      </c>
      <c r="Z10" s="191">
        <v>0</v>
      </c>
      <c r="AA10" s="191">
        <v>0</v>
      </c>
      <c r="AB10" s="191">
        <v>0</v>
      </c>
      <c r="AC10" s="191">
        <v>0</v>
      </c>
      <c r="AD10" s="191">
        <v>0</v>
      </c>
      <c r="AE10" s="191">
        <v>0</v>
      </c>
      <c r="AF10" s="191">
        <v>0</v>
      </c>
      <c r="AG10" s="191">
        <v>9.6</v>
      </c>
      <c r="AH10" s="191">
        <v>1</v>
      </c>
      <c r="AI10" s="191">
        <v>0</v>
      </c>
      <c r="AJ10" s="191">
        <v>0</v>
      </c>
      <c r="AK10" s="191">
        <v>0</v>
      </c>
      <c r="AL10" s="191">
        <v>0</v>
      </c>
      <c r="AM10" s="191">
        <v>0</v>
      </c>
      <c r="AN10" s="191">
        <v>0</v>
      </c>
      <c r="AO10" s="191">
        <v>0</v>
      </c>
      <c r="AP10" s="191">
        <v>0</v>
      </c>
      <c r="AQ10" s="191">
        <v>0</v>
      </c>
      <c r="AR10" s="191">
        <v>0</v>
      </c>
      <c r="AS10" s="191">
        <v>0</v>
      </c>
      <c r="AT10" s="191">
        <v>0</v>
      </c>
      <c r="AU10" s="191">
        <v>1</v>
      </c>
      <c r="AV10" s="191">
        <v>0</v>
      </c>
      <c r="AW10" s="191">
        <v>0</v>
      </c>
    </row>
    <row r="11" spans="1:49" x14ac:dyDescent="0.3">
      <c r="A11" s="191" t="s">
        <v>125</v>
      </c>
      <c r="B11" s="214">
        <v>8</v>
      </c>
      <c r="C11" s="191">
        <v>39</v>
      </c>
      <c r="D11" s="191">
        <v>2</v>
      </c>
      <c r="E11" s="191">
        <v>2</v>
      </c>
      <c r="F11" s="191">
        <v>1656</v>
      </c>
      <c r="G11" s="191">
        <v>0</v>
      </c>
      <c r="H11" s="191">
        <v>0</v>
      </c>
      <c r="I11" s="191">
        <v>160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91">
        <v>0</v>
      </c>
      <c r="P11" s="191">
        <v>0</v>
      </c>
      <c r="Q11" s="191">
        <v>0</v>
      </c>
      <c r="R11" s="191">
        <v>0</v>
      </c>
      <c r="S11" s="191">
        <v>0</v>
      </c>
      <c r="T11" s="191">
        <v>0</v>
      </c>
      <c r="U11" s="191">
        <v>0</v>
      </c>
      <c r="V11" s="191">
        <v>0</v>
      </c>
      <c r="W11" s="191">
        <v>0</v>
      </c>
      <c r="X11" s="191">
        <v>0</v>
      </c>
      <c r="Y11" s="191">
        <v>0</v>
      </c>
      <c r="Z11" s="191">
        <v>0</v>
      </c>
      <c r="AA11" s="191">
        <v>0</v>
      </c>
      <c r="AB11" s="191">
        <v>0</v>
      </c>
      <c r="AC11" s="191">
        <v>0</v>
      </c>
      <c r="AD11" s="191">
        <v>0</v>
      </c>
      <c r="AE11" s="191">
        <v>0</v>
      </c>
      <c r="AF11" s="191">
        <v>0</v>
      </c>
      <c r="AG11" s="191">
        <v>1356</v>
      </c>
      <c r="AH11" s="191">
        <v>140</v>
      </c>
      <c r="AI11" s="191">
        <v>0</v>
      </c>
      <c r="AJ11" s="191">
        <v>0</v>
      </c>
      <c r="AK11" s="191">
        <v>0</v>
      </c>
      <c r="AL11" s="191">
        <v>0</v>
      </c>
      <c r="AM11" s="191">
        <v>0</v>
      </c>
      <c r="AN11" s="191">
        <v>0</v>
      </c>
      <c r="AO11" s="191">
        <v>0</v>
      </c>
      <c r="AP11" s="191">
        <v>0</v>
      </c>
      <c r="AQ11" s="191">
        <v>0</v>
      </c>
      <c r="AR11" s="191">
        <v>0</v>
      </c>
      <c r="AS11" s="191">
        <v>0</v>
      </c>
      <c r="AT11" s="191">
        <v>0</v>
      </c>
      <c r="AU11" s="191">
        <v>0</v>
      </c>
      <c r="AV11" s="191">
        <v>0</v>
      </c>
      <c r="AW11" s="191">
        <v>0</v>
      </c>
    </row>
    <row r="12" spans="1:49" x14ac:dyDescent="0.3">
      <c r="A12" s="191" t="s">
        <v>126</v>
      </c>
      <c r="B12" s="214">
        <v>9</v>
      </c>
      <c r="C12" s="191">
        <v>39</v>
      </c>
      <c r="D12" s="191">
        <v>2</v>
      </c>
      <c r="E12" s="191">
        <v>6</v>
      </c>
      <c r="F12" s="191">
        <v>433193</v>
      </c>
      <c r="G12" s="191">
        <v>0</v>
      </c>
      <c r="H12" s="191">
        <v>0</v>
      </c>
      <c r="I12" s="191">
        <v>22390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91">
        <v>0</v>
      </c>
      <c r="P12" s="191">
        <v>0</v>
      </c>
      <c r="Q12" s="191">
        <v>0</v>
      </c>
      <c r="R12" s="191">
        <v>0</v>
      </c>
      <c r="S12" s="191">
        <v>0</v>
      </c>
      <c r="T12" s="191">
        <v>0</v>
      </c>
      <c r="U12" s="191">
        <v>0</v>
      </c>
      <c r="V12" s="191">
        <v>0</v>
      </c>
      <c r="W12" s="191">
        <v>0</v>
      </c>
      <c r="X12" s="191">
        <v>0</v>
      </c>
      <c r="Y12" s="191">
        <v>0</v>
      </c>
      <c r="Z12" s="191">
        <v>0</v>
      </c>
      <c r="AA12" s="191">
        <v>0</v>
      </c>
      <c r="AB12" s="191">
        <v>0</v>
      </c>
      <c r="AC12" s="191">
        <v>0</v>
      </c>
      <c r="AD12" s="191">
        <v>0</v>
      </c>
      <c r="AE12" s="191">
        <v>0</v>
      </c>
      <c r="AF12" s="191">
        <v>0</v>
      </c>
      <c r="AG12" s="191">
        <v>352362</v>
      </c>
      <c r="AH12" s="191">
        <v>58441</v>
      </c>
      <c r="AI12" s="191">
        <v>0</v>
      </c>
      <c r="AJ12" s="191">
        <v>0</v>
      </c>
      <c r="AK12" s="191">
        <v>0</v>
      </c>
      <c r="AL12" s="191">
        <v>0</v>
      </c>
      <c r="AM12" s="191">
        <v>0</v>
      </c>
      <c r="AN12" s="191">
        <v>0</v>
      </c>
      <c r="AO12" s="191">
        <v>0</v>
      </c>
      <c r="AP12" s="191">
        <v>0</v>
      </c>
      <c r="AQ12" s="191">
        <v>0</v>
      </c>
      <c r="AR12" s="191">
        <v>0</v>
      </c>
      <c r="AS12" s="191">
        <v>0</v>
      </c>
      <c r="AT12" s="191">
        <v>0</v>
      </c>
      <c r="AU12" s="191">
        <v>0</v>
      </c>
      <c r="AV12" s="191">
        <v>0</v>
      </c>
      <c r="AW12" s="191">
        <v>0</v>
      </c>
    </row>
    <row r="13" spans="1:49" x14ac:dyDescent="0.3">
      <c r="A13" s="191" t="s">
        <v>127</v>
      </c>
      <c r="B13" s="214">
        <v>10</v>
      </c>
      <c r="C13" s="191">
        <v>39</v>
      </c>
      <c r="D13" s="191">
        <v>2</v>
      </c>
      <c r="E13" s="191">
        <v>9</v>
      </c>
      <c r="F13" s="191">
        <v>10744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0</v>
      </c>
      <c r="T13" s="191">
        <v>0</v>
      </c>
      <c r="U13" s="191">
        <v>0</v>
      </c>
      <c r="V13" s="191">
        <v>0</v>
      </c>
      <c r="W13" s="191">
        <v>0</v>
      </c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10744</v>
      </c>
      <c r="AH13" s="191">
        <v>0</v>
      </c>
      <c r="AI13" s="191">
        <v>0</v>
      </c>
      <c r="AJ13" s="191">
        <v>0</v>
      </c>
      <c r="AK13" s="191">
        <v>0</v>
      </c>
      <c r="AL13" s="191">
        <v>0</v>
      </c>
      <c r="AM13" s="191">
        <v>0</v>
      </c>
      <c r="AN13" s="191">
        <v>0</v>
      </c>
      <c r="AO13" s="191">
        <v>0</v>
      </c>
      <c r="AP13" s="191">
        <v>0</v>
      </c>
      <c r="AQ13" s="191">
        <v>0</v>
      </c>
      <c r="AR13" s="191">
        <v>0</v>
      </c>
      <c r="AS13" s="191">
        <v>0</v>
      </c>
      <c r="AT13" s="191">
        <v>0</v>
      </c>
      <c r="AU13" s="191">
        <v>0</v>
      </c>
      <c r="AV13" s="191">
        <v>0</v>
      </c>
      <c r="AW13" s="191">
        <v>0</v>
      </c>
    </row>
    <row r="14" spans="1:49" x14ac:dyDescent="0.3">
      <c r="A14" s="191" t="s">
        <v>128</v>
      </c>
      <c r="B14" s="214">
        <v>11</v>
      </c>
      <c r="C14" s="191">
        <v>39</v>
      </c>
      <c r="D14" s="191">
        <v>2</v>
      </c>
      <c r="E14" s="191">
        <v>11</v>
      </c>
      <c r="F14" s="191">
        <v>2708.3333333333335</v>
      </c>
      <c r="G14" s="191">
        <v>0</v>
      </c>
      <c r="H14" s="191">
        <v>0</v>
      </c>
      <c r="I14" s="191">
        <v>0</v>
      </c>
      <c r="J14" s="191">
        <v>2708.3333333333335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0</v>
      </c>
      <c r="AH14" s="191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  <c r="AO14" s="191">
        <v>0</v>
      </c>
      <c r="AP14" s="191">
        <v>0</v>
      </c>
      <c r="AQ14" s="191">
        <v>0</v>
      </c>
      <c r="AR14" s="191">
        <v>0</v>
      </c>
      <c r="AS14" s="191">
        <v>0</v>
      </c>
      <c r="AT14" s="191">
        <v>0</v>
      </c>
      <c r="AU14" s="191">
        <v>0</v>
      </c>
      <c r="AV14" s="191">
        <v>0</v>
      </c>
      <c r="AW14" s="191">
        <v>0</v>
      </c>
    </row>
    <row r="15" spans="1:49" x14ac:dyDescent="0.3">
      <c r="A15" s="191" t="s">
        <v>129</v>
      </c>
      <c r="B15" s="214">
        <v>12</v>
      </c>
      <c r="C15" s="191">
        <v>39</v>
      </c>
      <c r="D15" s="191">
        <v>3</v>
      </c>
      <c r="E15" s="191">
        <v>1</v>
      </c>
      <c r="F15" s="191">
        <v>13.6</v>
      </c>
      <c r="G15" s="191">
        <v>0</v>
      </c>
      <c r="H15" s="191">
        <v>0</v>
      </c>
      <c r="I15" s="191">
        <v>1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  <c r="AC15" s="191">
        <v>0</v>
      </c>
      <c r="AD15" s="191">
        <v>0</v>
      </c>
      <c r="AE15" s="191">
        <v>0</v>
      </c>
      <c r="AF15" s="191">
        <v>0</v>
      </c>
      <c r="AG15" s="191">
        <v>10.6</v>
      </c>
      <c r="AH15" s="191">
        <v>1</v>
      </c>
      <c r="AI15" s="191">
        <v>0</v>
      </c>
      <c r="AJ15" s="191">
        <v>0</v>
      </c>
      <c r="AK15" s="191">
        <v>0</v>
      </c>
      <c r="AL15" s="191">
        <v>0</v>
      </c>
      <c r="AM15" s="191">
        <v>0</v>
      </c>
      <c r="AN15" s="191">
        <v>0</v>
      </c>
      <c r="AO15" s="191">
        <v>0</v>
      </c>
      <c r="AP15" s="191">
        <v>0</v>
      </c>
      <c r="AQ15" s="191">
        <v>0</v>
      </c>
      <c r="AR15" s="191">
        <v>0</v>
      </c>
      <c r="AS15" s="191">
        <v>0</v>
      </c>
      <c r="AT15" s="191">
        <v>0</v>
      </c>
      <c r="AU15" s="191">
        <v>1</v>
      </c>
      <c r="AV15" s="191">
        <v>0</v>
      </c>
      <c r="AW15" s="191">
        <v>0</v>
      </c>
    </row>
    <row r="16" spans="1:49" x14ac:dyDescent="0.3">
      <c r="A16" s="191" t="s">
        <v>117</v>
      </c>
      <c r="B16" s="214">
        <v>2017</v>
      </c>
      <c r="C16" s="191">
        <v>39</v>
      </c>
      <c r="D16" s="191">
        <v>3</v>
      </c>
      <c r="E16" s="191">
        <v>2</v>
      </c>
      <c r="F16" s="191">
        <v>2238</v>
      </c>
      <c r="G16" s="191">
        <v>0</v>
      </c>
      <c r="H16" s="191">
        <v>0</v>
      </c>
      <c r="I16" s="191">
        <v>184</v>
      </c>
      <c r="J16" s="191">
        <v>0</v>
      </c>
      <c r="K16" s="191">
        <v>0</v>
      </c>
      <c r="L16" s="191">
        <v>0</v>
      </c>
      <c r="M16" s="191">
        <v>0</v>
      </c>
      <c r="N16" s="191">
        <v>0</v>
      </c>
      <c r="O16" s="191">
        <v>0</v>
      </c>
      <c r="P16" s="191">
        <v>0</v>
      </c>
      <c r="Q16" s="191">
        <v>0</v>
      </c>
      <c r="R16" s="191">
        <v>0</v>
      </c>
      <c r="S16" s="191">
        <v>0</v>
      </c>
      <c r="T16" s="191">
        <v>0</v>
      </c>
      <c r="U16" s="191">
        <v>0</v>
      </c>
      <c r="V16" s="191">
        <v>0</v>
      </c>
      <c r="W16" s="191">
        <v>0</v>
      </c>
      <c r="X16" s="191">
        <v>0</v>
      </c>
      <c r="Y16" s="191">
        <v>0</v>
      </c>
      <c r="Z16" s="191">
        <v>0</v>
      </c>
      <c r="AA16" s="191">
        <v>0</v>
      </c>
      <c r="AB16" s="191">
        <v>0</v>
      </c>
      <c r="AC16" s="191">
        <v>0</v>
      </c>
      <c r="AD16" s="191">
        <v>0</v>
      </c>
      <c r="AE16" s="191">
        <v>0</v>
      </c>
      <c r="AF16" s="191">
        <v>0</v>
      </c>
      <c r="AG16" s="191">
        <v>1838</v>
      </c>
      <c r="AH16" s="191">
        <v>176</v>
      </c>
      <c r="AI16" s="191">
        <v>0</v>
      </c>
      <c r="AJ16" s="191">
        <v>0</v>
      </c>
      <c r="AK16" s="191">
        <v>0</v>
      </c>
      <c r="AL16" s="191">
        <v>0</v>
      </c>
      <c r="AM16" s="191">
        <v>0</v>
      </c>
      <c r="AN16" s="191">
        <v>0</v>
      </c>
      <c r="AO16" s="191">
        <v>0</v>
      </c>
      <c r="AP16" s="191">
        <v>0</v>
      </c>
      <c r="AQ16" s="191">
        <v>0</v>
      </c>
      <c r="AR16" s="191">
        <v>0</v>
      </c>
      <c r="AS16" s="191">
        <v>0</v>
      </c>
      <c r="AT16" s="191">
        <v>0</v>
      </c>
      <c r="AU16" s="191">
        <v>40</v>
      </c>
      <c r="AV16" s="191">
        <v>0</v>
      </c>
      <c r="AW16" s="191">
        <v>0</v>
      </c>
    </row>
    <row r="17" spans="3:49" x14ac:dyDescent="0.3">
      <c r="C17" s="191">
        <v>39</v>
      </c>
      <c r="D17" s="191">
        <v>3</v>
      </c>
      <c r="E17" s="191">
        <v>6</v>
      </c>
      <c r="F17" s="191">
        <v>462165</v>
      </c>
      <c r="G17" s="191">
        <v>0</v>
      </c>
      <c r="H17" s="191">
        <v>0</v>
      </c>
      <c r="I17" s="191">
        <v>22390</v>
      </c>
      <c r="J17" s="191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191">
        <v>0</v>
      </c>
      <c r="S17" s="191">
        <v>0</v>
      </c>
      <c r="T17" s="191">
        <v>0</v>
      </c>
      <c r="U17" s="191">
        <v>0</v>
      </c>
      <c r="V17" s="191">
        <v>0</v>
      </c>
      <c r="W17" s="191">
        <v>0</v>
      </c>
      <c r="X17" s="191">
        <v>0</v>
      </c>
      <c r="Y17" s="191">
        <v>0</v>
      </c>
      <c r="Z17" s="191">
        <v>0</v>
      </c>
      <c r="AA17" s="191">
        <v>0</v>
      </c>
      <c r="AB17" s="191">
        <v>0</v>
      </c>
      <c r="AC17" s="191">
        <v>0</v>
      </c>
      <c r="AD17" s="191">
        <v>0</v>
      </c>
      <c r="AE17" s="191">
        <v>0</v>
      </c>
      <c r="AF17" s="191">
        <v>0</v>
      </c>
      <c r="AG17" s="191">
        <v>376326</v>
      </c>
      <c r="AH17" s="191">
        <v>58658</v>
      </c>
      <c r="AI17" s="191">
        <v>0</v>
      </c>
      <c r="AJ17" s="191">
        <v>0</v>
      </c>
      <c r="AK17" s="191">
        <v>0</v>
      </c>
      <c r="AL17" s="191">
        <v>0</v>
      </c>
      <c r="AM17" s="191">
        <v>0</v>
      </c>
      <c r="AN17" s="191">
        <v>0</v>
      </c>
      <c r="AO17" s="191">
        <v>0</v>
      </c>
      <c r="AP17" s="191">
        <v>0</v>
      </c>
      <c r="AQ17" s="191">
        <v>0</v>
      </c>
      <c r="AR17" s="191">
        <v>0</v>
      </c>
      <c r="AS17" s="191">
        <v>0</v>
      </c>
      <c r="AT17" s="191">
        <v>0</v>
      </c>
      <c r="AU17" s="191">
        <v>4791</v>
      </c>
      <c r="AV17" s="191">
        <v>0</v>
      </c>
      <c r="AW17" s="191">
        <v>0</v>
      </c>
    </row>
    <row r="18" spans="3:49" x14ac:dyDescent="0.3">
      <c r="C18" s="191">
        <v>39</v>
      </c>
      <c r="D18" s="191">
        <v>3</v>
      </c>
      <c r="E18" s="191">
        <v>9</v>
      </c>
      <c r="F18" s="191">
        <v>10744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191">
        <v>0</v>
      </c>
      <c r="O18" s="191">
        <v>0</v>
      </c>
      <c r="P18" s="191">
        <v>0</v>
      </c>
      <c r="Q18" s="191">
        <v>0</v>
      </c>
      <c r="R18" s="191">
        <v>0</v>
      </c>
      <c r="S18" s="191">
        <v>0</v>
      </c>
      <c r="T18" s="191">
        <v>0</v>
      </c>
      <c r="U18" s="191">
        <v>0</v>
      </c>
      <c r="V18" s="191">
        <v>0</v>
      </c>
      <c r="W18" s="191">
        <v>0</v>
      </c>
      <c r="X18" s="191">
        <v>0</v>
      </c>
      <c r="Y18" s="191">
        <v>0</v>
      </c>
      <c r="Z18" s="191">
        <v>0</v>
      </c>
      <c r="AA18" s="191">
        <v>0</v>
      </c>
      <c r="AB18" s="191">
        <v>0</v>
      </c>
      <c r="AC18" s="191">
        <v>0</v>
      </c>
      <c r="AD18" s="191">
        <v>0</v>
      </c>
      <c r="AE18" s="191">
        <v>0</v>
      </c>
      <c r="AF18" s="191">
        <v>0</v>
      </c>
      <c r="AG18" s="191">
        <v>10744</v>
      </c>
      <c r="AH18" s="191">
        <v>0</v>
      </c>
      <c r="AI18" s="191">
        <v>0</v>
      </c>
      <c r="AJ18" s="191">
        <v>0</v>
      </c>
      <c r="AK18" s="191">
        <v>0</v>
      </c>
      <c r="AL18" s="191">
        <v>0</v>
      </c>
      <c r="AM18" s="191">
        <v>0</v>
      </c>
      <c r="AN18" s="191">
        <v>0</v>
      </c>
      <c r="AO18" s="191">
        <v>0</v>
      </c>
      <c r="AP18" s="191">
        <v>0</v>
      </c>
      <c r="AQ18" s="191">
        <v>0</v>
      </c>
      <c r="AR18" s="191">
        <v>0</v>
      </c>
      <c r="AS18" s="191">
        <v>0</v>
      </c>
      <c r="AT18" s="191">
        <v>0</v>
      </c>
      <c r="AU18" s="191">
        <v>0</v>
      </c>
      <c r="AV18" s="191">
        <v>0</v>
      </c>
      <c r="AW18" s="191">
        <v>0</v>
      </c>
    </row>
    <row r="19" spans="3:49" x14ac:dyDescent="0.3">
      <c r="C19" s="191">
        <v>39</v>
      </c>
      <c r="D19" s="191">
        <v>3</v>
      </c>
      <c r="E19" s="191">
        <v>11</v>
      </c>
      <c r="F19" s="191">
        <v>2708.3333333333335</v>
      </c>
      <c r="G19" s="191">
        <v>0</v>
      </c>
      <c r="H19" s="191">
        <v>0</v>
      </c>
      <c r="I19" s="191">
        <v>0</v>
      </c>
      <c r="J19" s="191">
        <v>2708.3333333333335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  <c r="AC19" s="191">
        <v>0</v>
      </c>
      <c r="AD19" s="191">
        <v>0</v>
      </c>
      <c r="AE19" s="191">
        <v>0</v>
      </c>
      <c r="AF19" s="191">
        <v>0</v>
      </c>
      <c r="AG19" s="191">
        <v>0</v>
      </c>
      <c r="AH19" s="191">
        <v>0</v>
      </c>
      <c r="AI19" s="191">
        <v>0</v>
      </c>
      <c r="AJ19" s="191">
        <v>0</v>
      </c>
      <c r="AK19" s="191">
        <v>0</v>
      </c>
      <c r="AL19" s="191">
        <v>0</v>
      </c>
      <c r="AM19" s="191">
        <v>0</v>
      </c>
      <c r="AN19" s="191">
        <v>0</v>
      </c>
      <c r="AO19" s="191">
        <v>0</v>
      </c>
      <c r="AP19" s="191">
        <v>0</v>
      </c>
      <c r="AQ19" s="191">
        <v>0</v>
      </c>
      <c r="AR19" s="191">
        <v>0</v>
      </c>
      <c r="AS19" s="191">
        <v>0</v>
      </c>
      <c r="AT19" s="191">
        <v>0</v>
      </c>
      <c r="AU19" s="191">
        <v>0</v>
      </c>
      <c r="AV19" s="191">
        <v>0</v>
      </c>
      <c r="AW19" s="19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2017-04-25T10:20:20Z</dcterms:modified>
</cp:coreProperties>
</file>