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Osobní náklady" sheetId="431" r:id="rId8"/>
    <sheet name="ON Data" sheetId="432" state="hidden" r:id="rId9"/>
    <sheet name="ZV Vykáz.-A" sheetId="344" r:id="rId10"/>
    <sheet name="ZV Vykáz.-A Lékaři" sheetId="429" r:id="rId11"/>
    <sheet name="ZV Vykáz.-A Detail" sheetId="345" r:id="rId12"/>
    <sheet name="ZV Vykáz.-A Det.Lék." sheetId="430" r:id="rId13"/>
    <sheet name="ZV Vykáz.-H" sheetId="410" r:id="rId14"/>
    <sheet name="ZV Vykáz.-H Detail" sheetId="377" r:id="rId15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4" hidden="1">'Man Tab'!$A$5:$A$31</definedName>
    <definedName name="_xlnm._FilterDatabase" localSheetId="12" hidden="1">'ZV Vykáz.-A Det.Lék.'!$A$5:$S$5</definedName>
    <definedName name="_xlnm._FilterDatabase" localSheetId="11" hidden="1">'ZV Vykáz.-A Detail'!$A$5:$R$5</definedName>
    <definedName name="_xlnm._FilterDatabase" localSheetId="10" hidden="1">'ZV Vykáz.-A Lékaři'!$A$4:$A$5</definedName>
    <definedName name="_xlnm._FilterDatabase" localSheetId="14" hidden="1">'ZV Vykáz.-H Detail'!$A$5:$Q$5</definedName>
    <definedName name="doměsíce">'HI Graf'!$C$11</definedName>
    <definedName name="Obdobi" localSheetId="8">'ON Data'!$B$3:$B$16</definedName>
    <definedName name="Obdobi" localSheetId="7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D10" i="431"/>
  <c r="D14" i="431"/>
  <c r="E11" i="431"/>
  <c r="E15" i="431"/>
  <c r="F12" i="431"/>
  <c r="G9" i="431"/>
  <c r="G13" i="431"/>
  <c r="H14" i="431"/>
  <c r="I15" i="431"/>
  <c r="J12" i="431"/>
  <c r="K13" i="431"/>
  <c r="M11" i="431"/>
  <c r="O9" i="431"/>
  <c r="P14" i="431"/>
  <c r="D11" i="431"/>
  <c r="E12" i="431"/>
  <c r="G10" i="431"/>
  <c r="H15" i="431"/>
  <c r="J13" i="431"/>
  <c r="L11" i="431"/>
  <c r="N9" i="431"/>
  <c r="O14" i="431"/>
  <c r="Q12" i="431"/>
  <c r="C11" i="431"/>
  <c r="C15" i="431"/>
  <c r="D12" i="431"/>
  <c r="E9" i="431"/>
  <c r="E13" i="431"/>
  <c r="F10" i="431"/>
  <c r="F14" i="431"/>
  <c r="G11" i="431"/>
  <c r="G15" i="431"/>
  <c r="H12" i="431"/>
  <c r="I9" i="431"/>
  <c r="I13" i="431"/>
  <c r="J10" i="431"/>
  <c r="J14" i="431"/>
  <c r="K11" i="431"/>
  <c r="K15" i="431"/>
  <c r="L12" i="431"/>
  <c r="M9" i="431"/>
  <c r="M13" i="431"/>
  <c r="N10" i="431"/>
  <c r="N14" i="431"/>
  <c r="O11" i="431"/>
  <c r="O15" i="431"/>
  <c r="P12" i="431"/>
  <c r="Q9" i="431"/>
  <c r="Q13" i="431"/>
  <c r="I11" i="431"/>
  <c r="K9" i="431"/>
  <c r="L14" i="431"/>
  <c r="N12" i="431"/>
  <c r="P10" i="431"/>
  <c r="Q15" i="431"/>
  <c r="C10" i="431"/>
  <c r="D15" i="431"/>
  <c r="F9" i="431"/>
  <c r="G14" i="431"/>
  <c r="I12" i="431"/>
  <c r="K10" i="431"/>
  <c r="L15" i="431"/>
  <c r="N13" i="431"/>
  <c r="P11" i="431"/>
  <c r="C12" i="431"/>
  <c r="D9" i="431"/>
  <c r="D13" i="431"/>
  <c r="E10" i="431"/>
  <c r="E14" i="431"/>
  <c r="F11" i="431"/>
  <c r="F15" i="431"/>
  <c r="G12" i="431"/>
  <c r="H9" i="431"/>
  <c r="H13" i="431"/>
  <c r="I10" i="431"/>
  <c r="I14" i="431"/>
  <c r="J11" i="431"/>
  <c r="J15" i="431"/>
  <c r="K12" i="431"/>
  <c r="L9" i="431"/>
  <c r="L13" i="431"/>
  <c r="M10" i="431"/>
  <c r="M14" i="431"/>
  <c r="N11" i="431"/>
  <c r="N15" i="431"/>
  <c r="O12" i="431"/>
  <c r="P9" i="431"/>
  <c r="P13" i="431"/>
  <c r="Q10" i="431"/>
  <c r="Q14" i="431"/>
  <c r="H10" i="431"/>
  <c r="L10" i="431"/>
  <c r="M15" i="431"/>
  <c r="O13" i="431"/>
  <c r="Q11" i="431"/>
  <c r="C14" i="431"/>
  <c r="F13" i="431"/>
  <c r="H11" i="431"/>
  <c r="J9" i="431"/>
  <c r="K14" i="431"/>
  <c r="M12" i="431"/>
  <c r="O10" i="431"/>
  <c r="P15" i="431"/>
  <c r="F8" i="431"/>
  <c r="M8" i="431"/>
  <c r="K8" i="431"/>
  <c r="D8" i="431"/>
  <c r="H8" i="431"/>
  <c r="N8" i="431"/>
  <c r="Q8" i="431"/>
  <c r="C8" i="431"/>
  <c r="G8" i="431"/>
  <c r="L8" i="431"/>
  <c r="O8" i="431"/>
  <c r="J8" i="431"/>
  <c r="P8" i="431"/>
  <c r="I8" i="431"/>
  <c r="E8" i="431"/>
  <c r="S11" i="431" l="1"/>
  <c r="R11" i="431"/>
  <c r="R14" i="431"/>
  <c r="S14" i="431"/>
  <c r="S10" i="431"/>
  <c r="R10" i="431"/>
  <c r="S15" i="431"/>
  <c r="R15" i="431"/>
  <c r="S13" i="431"/>
  <c r="R13" i="431"/>
  <c r="R9" i="431"/>
  <c r="S9" i="431"/>
  <c r="R12" i="431"/>
  <c r="S12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18" i="414" l="1"/>
  <c r="E18" i="414" s="1"/>
  <c r="D17" i="414"/>
  <c r="A18" i="383" l="1"/>
  <c r="Q3" i="430"/>
  <c r="P3" i="430"/>
  <c r="M3" i="430"/>
  <c r="R3" i="430" s="1"/>
  <c r="L3" i="430"/>
  <c r="I3" i="430"/>
  <c r="H3" i="430"/>
  <c r="S3" i="430" l="1"/>
  <c r="H3" i="344"/>
  <c r="E11" i="339" s="1"/>
  <c r="E3" i="344"/>
  <c r="B3" i="344"/>
  <c r="I3" i="344" l="1"/>
  <c r="J3" i="344"/>
  <c r="D16" i="414" s="1"/>
  <c r="C11" i="339"/>
  <c r="E17" i="414"/>
  <c r="A18" i="414"/>
  <c r="A17" i="414"/>
  <c r="A16" i="414"/>
  <c r="A7" i="414" l="1"/>
  <c r="A16" i="383" l="1"/>
  <c r="G3" i="429"/>
  <c r="F3" i="429"/>
  <c r="E3" i="429"/>
  <c r="D3" i="429"/>
  <c r="C3" i="429"/>
  <c r="B3" i="429"/>
  <c r="C11" i="340" l="1"/>
  <c r="A11" i="383" l="1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0" i="414" l="1"/>
  <c r="A15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D19" i="414" l="1"/>
  <c r="G3" i="410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19" i="414"/>
  <c r="A11" i="414"/>
  <c r="A12" i="414"/>
  <c r="A4" i="414"/>
  <c r="A6" i="339" l="1"/>
  <c r="A5" i="339"/>
  <c r="C15" i="414"/>
  <c r="D4" i="414"/>
  <c r="D15" i="414"/>
  <c r="C12" i="414"/>
  <c r="D12" i="414"/>
  <c r="C11" i="414" l="1"/>
  <c r="C7" i="414"/>
  <c r="E19" i="414" l="1"/>
  <c r="E16" i="414"/>
  <c r="E11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C20" i="414"/>
  <c r="D20" i="414"/>
  <c r="I12" i="339" l="1"/>
  <c r="I13" i="339" s="1"/>
  <c r="F13" i="339"/>
  <c r="E13" i="339"/>
  <c r="E15" i="339" s="1"/>
  <c r="H12" i="339"/>
  <c r="G12" i="339"/>
  <c r="A4" i="383"/>
  <c r="A20" i="383"/>
  <c r="A19" i="383"/>
  <c r="A17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4" i="414"/>
  <c r="H13" i="339" l="1"/>
  <c r="F15" i="339"/>
  <c r="J13" i="339"/>
  <c r="B15" i="339"/>
  <c r="E12" i="414"/>
  <c r="E4" i="414"/>
  <c r="C6" i="340"/>
  <c r="D6" i="340" s="1"/>
  <c r="B4" i="340"/>
  <c r="G13" i="339"/>
  <c r="B13" i="340" l="1"/>
  <c r="B12" i="340"/>
  <c r="G15" i="339"/>
  <c r="H15" i="339"/>
  <c r="C4" i="340"/>
  <c r="E15" i="414"/>
  <c r="E20" i="414"/>
  <c r="D4" i="340"/>
  <c r="E6" i="340"/>
  <c r="C14" i="414"/>
  <c r="E14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<sst xmlns="http://schemas.openxmlformats.org/spreadsheetml/2006/main" count="1895" uniqueCount="463">
  <si>
    <t>NS</t>
  </si>
  <si>
    <t>Účet</t>
  </si>
  <si>
    <t>%</t>
  </si>
  <si>
    <t>Celkem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</si>
  <si>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</si>
  <si>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</si>
  <si>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</si>
  <si>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</si>
  <si>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</si>
  <si>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</si>
  <si>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</si>
  <si>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</si>
  <si>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</si>
  <si>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</si>
  <si>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</si>
  <si>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</si>
  <si>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</si>
  <si>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</si>
  <si>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</si>
  <si>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</si>
  <si>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</si>
  <si>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</si>
  <si>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</si>
  <si>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</si>
  <si>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</si>
  <si>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</si>
  <si>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</si>
  <si>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</si>
  <si>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</si>
  <si>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</si>
  <si>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</si>
  <si>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</si>
  <si>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</si>
  <si>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</si>
  <si>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</si>
  <si>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</si>
  <si>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</si>
  <si>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</si>
  <si>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</si>
  <si>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</si>
  <si>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</si>
  <si>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</si>
  <si>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</si>
  <si>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</si>
  <si>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</si>
  <si>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</si>
  <si>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</si>
  <si>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</si>
  <si>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</si>
  <si>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</si>
  <si>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</si>
  <si>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</si>
  <si>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</si>
  <si>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</si>
  <si>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</si>
  <si>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</si>
  <si>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</si>
  <si>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</si>
  <si>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</si>
  <si>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</si>
  <si>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</si>
  <si>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</si>
  <si>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</si>
  <si>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</si>
  <si>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</si>
  <si>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</si>
  <si>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</si>
  <si>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</si>
  <si>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</si>
  <si>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</si>
  <si>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</si>
  <si>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</si>
  <si>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</si>
  <si>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</si>
  <si>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</si>
  <si>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</si>
  <si>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</si>
  <si>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</si>
  <si>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</si>
  <si>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</si>
  <si>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</si>
  <si>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</si>
  <si>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</si>
  <si>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</si>
  <si>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</si>
  <si>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</si>
  <si>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</si>
  <si>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</si>
  <si>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</si>
  <si>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</si>
  <si>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</si>
  <si>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</si>
  <si>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</si>
  <si>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</si>
  <si>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</si>
  <si>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</si>
  <si>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</si>
  <si>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</si>
  <si>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</si>
  <si>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</si>
  <si>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</si>
  <si>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</si>
  <si>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Přehledové sestavy</t>
  </si>
  <si>
    <t>Akt. měsíc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</si>
  <si>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</si>
  <si>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</si>
  <si>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</si>
  <si>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</si>
  <si>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</si>
  <si>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</si>
  <si>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</si>
  <si>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</si>
  <si>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</si>
  <si>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</si>
  <si>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</si>
  <si>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</si>
  <si>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</si>
  <si>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</si>
  <si>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</si>
  <si>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</si>
  <si>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</si>
  <si>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</si>
  <si>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</si>
  <si>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</si>
  <si>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</si>
  <si>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</si>
  <si>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</si>
  <si>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</si>
  <si>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</si>
  <si>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</si>
  <si>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</si>
  <si>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</si>
  <si>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</si>
  <si>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</si>
  <si>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</si>
  <si>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</si>
  <si>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</si>
  <si>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</si>
  <si>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</si>
  <si>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</si>
  <si>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</si>
  <si>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</si>
  <si>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</si>
  <si>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</si>
  <si>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Ambulance = vykázané výkony (body)</t>
  </si>
  <si>
    <t>Počet výkonů</t>
  </si>
  <si>
    <t>ZV Vykáz.-A Lékaři</t>
  </si>
  <si>
    <t>Sml.odb./NS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</si>
  <si>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</si>
  <si>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</si>
  <si>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</si>
  <si>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</si>
  <si>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</si>
  <si>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</si>
  <si>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</si>
  <si>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</si>
  <si>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</si>
  <si>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</si>
  <si>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</si>
  <si>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</si>
  <si>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</si>
  <si>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</si>
  <si>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</si>
  <si>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</si>
  <si>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</si>
  <si>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</si>
  <si>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</si>
  <si>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</si>
  <si>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</si>
  <si>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% 2015</t>
  </si>
  <si>
    <t>§</t>
  </si>
  <si>
    <t>ZV Vykáz.-A Det.Lék.</t>
  </si>
  <si>
    <t>Rozpočet výnosů pro rok 2017 je stanoven jako 100% skutečnosti referenčního období (2016)</t>
  </si>
  <si>
    <t>Rozdíl 2015</t>
  </si>
  <si>
    <t>Plnění 2015</t>
  </si>
  <si>
    <t>2017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</si>
  <si>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</si>
  <si>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</si>
  <si>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</si>
  <si>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</si>
  <si>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</si>
  <si>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</si>
  <si>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</si>
  <si>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</si>
  <si>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</si>
  <si>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</si>
  <si>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</si>
  <si>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</si>
  <si>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</si>
  <si>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</si>
  <si>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</si>
  <si>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</si>
  <si>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</si>
  <si>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</si>
  <si>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</si>
  <si>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</si>
  <si>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</si>
  <si>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</si>
  <si>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</si>
  <si>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</si>
  <si>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</si>
  <si>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</si>
  <si>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</si>
  <si>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</si>
  <si>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</si>
  <si>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</si>
  <si>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</si>
  <si>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Oddělení klinické psychologie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</si>
  <si>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</si>
  <si>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</si>
  <si>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</si>
  <si>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</si>
  <si>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</si>
  <si>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</si>
  <si>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50113001     léky - paušál (LEK)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</si>
  <si>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</si>
  <si>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</si>
  <si>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</si>
  <si>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</si>
  <si>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</si>
  <si>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</si>
  <si>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50117015     IT - spotřební materiál (sk. P37, 48)</t>
  </si>
  <si>
    <t>50117024     všeob.mat. - ostatní-vyjímky (V44) od 0,01 do 999,99</t>
  </si>
  <si>
    <t>50118     Náhradní díly</t>
  </si>
  <si>
    <t>--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</si>
  <si>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</si>
  <si>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</si>
  <si>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</si>
  <si>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</si>
  <si>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</si>
  <si>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</si>
  <si>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</si>
  <si>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</si>
  <si>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</si>
  <si>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</si>
  <si>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51102022     opravy - Úsek inf.systémů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</si>
  <si>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</si>
  <si>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</si>
  <si>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</si>
  <si>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</si>
  <si>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</si>
  <si>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</si>
  <si>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</si>
  <si>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</si>
  <si>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</si>
  <si>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</si>
  <si>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</si>
  <si>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</si>
  <si>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51808     Revize a smluvní servisy majetku</t>
  </si>
  <si>
    <t>51808007     revize, sml.servis - energetik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</si>
  <si>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</si>
  <si>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</si>
  <si>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</si>
  <si>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</si>
  <si>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</si>
  <si>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</si>
  <si>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</si>
  <si>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</si>
  <si>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</si>
  <si>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</si>
  <si>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</si>
  <si>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</si>
  <si>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</si>
  <si>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</si>
  <si>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</si>
  <si>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</si>
  <si>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</si>
  <si>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</si>
  <si>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</si>
  <si>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</si>
  <si>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</si>
  <si>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</si>
  <si>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</si>
  <si>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</si>
  <si>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</si>
  <si>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</si>
  <si>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</si>
  <si>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</si>
  <si>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55110005     odpisy DHM - ostatní z odpisů</t>
  </si>
  <si>
    <t>55110013     odpisy DHM - budovy z dotací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</si>
  <si>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</si>
  <si>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</si>
  <si>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</si>
  <si>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</si>
  <si>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</si>
  <si>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</si>
  <si>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</si>
  <si>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</si>
  <si>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</si>
  <si>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</si>
  <si>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</si>
  <si>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</si>
  <si>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</si>
  <si>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</si>
  <si>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</si>
  <si>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</si>
  <si>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</si>
  <si>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</si>
  <si>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</si>
  <si>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</si>
  <si>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</si>
  <si>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</si>
  <si>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</si>
  <si>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</si>
  <si>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</si>
  <si>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</si>
  <si>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64924450     poštovné, balné za odeslání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</si>
  <si>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</si>
  <si>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</si>
  <si>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</si>
  <si>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</si>
  <si>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</si>
  <si>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</si>
  <si>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79903003     výkony dopravy - nákladní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</si>
  <si>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</si>
  <si>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</si>
  <si>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</si>
  <si>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</si>
  <si>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</si>
  <si>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</si>
  <si>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39</t>
  </si>
  <si>
    <t>OKPSY: Oddělení klinické psychologie</t>
  </si>
  <si>
    <t/>
  </si>
  <si>
    <t>50113001 - léky - paušál (LEK)</t>
  </si>
  <si>
    <t>50113016 - léky - centra (LEK)</t>
  </si>
  <si>
    <t>OKPSY: Oddělení klinické psychologie Celkem</t>
  </si>
  <si>
    <t>SumaKL</t>
  </si>
  <si>
    <t>3921</t>
  </si>
  <si>
    <t>OKPSY: ambulance - odborná poradna</t>
  </si>
  <si>
    <t>OKPSY: ambulance - odborná poradna Celkem</t>
  </si>
  <si>
    <t>SumaNS</t>
  </si>
  <si>
    <t>mezeraNS</t>
  </si>
  <si>
    <t>2 VŠ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</si>
  <si>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</si>
  <si>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</si>
  <si>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</si>
  <si>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</si>
  <si>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</si>
  <si>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</si>
  <si>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</si>
  <si>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</si>
  <si>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</si>
  <si>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</si>
  <si>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</si>
  <si>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</si>
  <si>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12 Celkem</t>
  </si>
  <si>
    <t>ON Data</t>
  </si>
  <si>
    <t>kliničtí psychologové</t>
  </si>
  <si>
    <t>kliničtí psychologové spec.</t>
  </si>
  <si>
    <t>kliničtí psychologové spec. a zvl.odb.</t>
  </si>
  <si>
    <t>odborní pracovníci v lab. metodách</t>
  </si>
  <si>
    <t>psychologové</t>
  </si>
  <si>
    <t>THP</t>
  </si>
  <si>
    <t>Specializovaná ambulantní péče</t>
  </si>
  <si>
    <t>901 - Pracoviště klinické psychologie</t>
  </si>
  <si>
    <t>Zdravotní výkony vykázané na pracovišti v rámci ambulantní péče *</t>
  </si>
  <si>
    <t>se jménem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</si>
  <si>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</si>
  <si>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</si>
  <si>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</si>
  <si>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Dařílková Naděžda</t>
  </si>
  <si>
    <t>Dlabačová Marie</t>
  </si>
  <si>
    <t>Fryštacká Karolína</t>
  </si>
  <si>
    <t>Halířová Monika</t>
  </si>
  <si>
    <t>Hradilová Michaela</t>
  </si>
  <si>
    <t>Hubáčková Lia</t>
  </si>
  <si>
    <t>Kasalová Petra</t>
  </si>
  <si>
    <t>Kocvrlichová Marta</t>
  </si>
  <si>
    <t>Kolářová Jana</t>
  </si>
  <si>
    <t>Kreiselová Silvie</t>
  </si>
  <si>
    <t>Kubíček Zdenek</t>
  </si>
  <si>
    <t>Machová Karolína</t>
  </si>
  <si>
    <t>Otipková Denisa</t>
  </si>
  <si>
    <t>Škrobánková Alexandra</t>
  </si>
  <si>
    <t>Šmídová Magdaléna</t>
  </si>
  <si>
    <t>Štecková Tereza</t>
  </si>
  <si>
    <t>Tenglerová Petra</t>
  </si>
  <si>
    <t>Večerková Markéta</t>
  </si>
  <si>
    <t>Vojáková Vendula</t>
  </si>
  <si>
    <t>Zdravotní výkony vykázané na pracovišti v rámci ambulantní péče dle lékařů *</t>
  </si>
  <si>
    <t>06</t>
  </si>
  <si>
    <t>901</t>
  </si>
  <si>
    <t>V</t>
  </si>
  <si>
    <t>35050</t>
  </si>
  <si>
    <t xml:space="preserve">TELEFONICKÁ KONZULTACE PSYCHIATRA NEBO KLINICKÉHO </t>
  </si>
  <si>
    <t>35520</t>
  </si>
  <si>
    <t>PSYCHOTERAPIE INDIVIDUÁLNÍ SYSTEMATICKÁ, PROVÁDĚNÁ</t>
  </si>
  <si>
    <t>35610</t>
  </si>
  <si>
    <t xml:space="preserve">PSYCHOTERAPIE SKUPINOVÁ, TYP I., PRO SKUPINU MAX. </t>
  </si>
  <si>
    <t>35650</t>
  </si>
  <si>
    <t>RODINNÁ SYSTEMATICKÁ PSYCHOTERAPIE Á 30 MINUT</t>
  </si>
  <si>
    <t>37115</t>
  </si>
  <si>
    <t>KRIZOVÁ INTERVENCE(Á 30 MINUT)</t>
  </si>
  <si>
    <t>09543</t>
  </si>
  <si>
    <t>Signalni kod</t>
  </si>
  <si>
    <t>37022</t>
  </si>
  <si>
    <t>CÍLENÉ PSYCHOLOGICKÉ VYŠETŘENÍ (Á 60 MINUT)</t>
  </si>
  <si>
    <t>37062</t>
  </si>
  <si>
    <t>CÍLENÉ PEDOPSYCHOLOGICKÉ VYŠETŘENÍ (Á 60 MINUT)</t>
  </si>
  <si>
    <t>37063</t>
  </si>
  <si>
    <t>KONTROLNÍ PEDOPSYCHOLOGICKÉ VYŠETŘENÍ (Á 30 MINUT)</t>
  </si>
  <si>
    <t>37061</t>
  </si>
  <si>
    <t>KOMPLEXNÍ PEDOPSYCHOLOGICKÉ VYŠETŘENÍ (Á 60 MINUT)</t>
  </si>
  <si>
    <t>37021</t>
  </si>
  <si>
    <t>KOMPLEXNÍ PSYCHOLOGICKÉ VYŠETŘENÍ (Á 60 MINUT)</t>
  </si>
  <si>
    <t>37023</t>
  </si>
  <si>
    <t>KONTROLNÍ PSYCHOLOGICKÉ VYŠETŘENÍ (Á 30 MINUT)</t>
  </si>
  <si>
    <t>37125</t>
  </si>
  <si>
    <t>EMERGENTNÍ PSYCHOTERAPIE Á 60 MINUT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</si>
  <si>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</si>
  <si>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</si>
  <si>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</si>
  <si>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</si>
  <si>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</si>
  <si>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</si>
  <si>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</si>
  <si>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</si>
  <si>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</si>
  <si>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</si>
  <si>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</si>
  <si>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</si>
  <si>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</si>
  <si>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</si>
  <si>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</si>
  <si>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</si>
  <si>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</si>
  <si>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</si>
  <si>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</si>
  <si>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</si>
  <si>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</si>
  <si>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</si>
  <si>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</si>
  <si>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</si>
  <si>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</si>
  <si>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</si>
  <si>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</si>
  <si>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</si>
  <si>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</si>
  <si>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</si>
  <si>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</si>
  <si>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</si>
  <si>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</si>
  <si>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07</t>
  </si>
  <si>
    <t>08</t>
  </si>
  <si>
    <t>09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</si>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</sst>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61">
    <xf numFmtId="0" fontId="0" fillId="0" borderId="0" xfId="0"/>
    <xf numFmtId="0" fontId="27" fillId="2" borderId="17" xfId="80" applyFont="1" applyFill="1" applyBorder="1"/>
    <xf numFmtId="0" fontId="28" fillId="2" borderId="18" xfId="80" applyFont="1" applyFill="1" applyBorder="1"/>
    <xf numFmtId="3" fontId="28" fillId="2" borderId="19" xfId="80" applyNumberFormat="1" applyFont="1" applyFill="1" applyBorder="1"/>
    <xf numFmtId="0" fontId="28" fillId="4" borderId="18" xfId="80" applyFont="1" applyFill="1" applyBorder="1"/>
    <xf numFmtId="3" fontId="28" fillId="4" borderId="19" xfId="80" applyNumberFormat="1" applyFont="1" applyFill="1" applyBorder="1"/>
    <xf numFmtId="171" fontId="28" fillId="3" borderId="19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12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0" applyNumberFormat="1" applyFont="1" applyFill="1" applyBorder="1"/>
    <xf numFmtId="3" fontId="27" fillId="5" borderId="29" xfId="80" applyNumberFormat="1" applyFont="1" applyFill="1" applyBorder="1"/>
    <xf numFmtId="3" fontId="27" fillId="5" borderId="25" xfId="80" applyNumberFormat="1" applyFont="1" applyFill="1" applyBorder="1"/>
    <xf numFmtId="3" fontId="27" fillId="5" borderId="9" xfId="80" applyNumberFormat="1" applyFont="1" applyFill="1" applyBorder="1"/>
    <xf numFmtId="3" fontId="27" fillId="5" borderId="10" xfId="80" applyNumberFormat="1" applyFont="1" applyFill="1" applyBorder="1"/>
    <xf numFmtId="3" fontId="27" fillId="5" borderId="13" xfId="80" applyNumberFormat="1" applyFont="1" applyFill="1" applyBorder="1"/>
    <xf numFmtId="3" fontId="27" fillId="5" borderId="14" xfId="80" applyNumberFormat="1" applyFont="1" applyFill="1" applyBorder="1"/>
    <xf numFmtId="3" fontId="28" fillId="2" borderId="27" xfId="80" applyNumberFormat="1" applyFont="1" applyFill="1" applyBorder="1"/>
    <xf numFmtId="3" fontId="28" fillId="2" borderId="20" xfId="80" applyNumberFormat="1" applyFont="1" applyFill="1" applyBorder="1"/>
    <xf numFmtId="3" fontId="28" fillId="4" borderId="27" xfId="80" applyNumberFormat="1" applyFont="1" applyFill="1" applyBorder="1"/>
    <xf numFmtId="3" fontId="28" fillId="4" borderId="20" xfId="80" applyNumberFormat="1" applyFont="1" applyFill="1" applyBorder="1"/>
    <xf numFmtId="171" fontId="28" fillId="3" borderId="27" xfId="80" applyNumberFormat="1" applyFont="1" applyFill="1" applyBorder="1"/>
    <xf numFmtId="171" fontId="28" fillId="3" borderId="20" xfId="80" applyNumberFormat="1" applyFont="1" applyFill="1" applyBorder="1"/>
    <xf numFmtId="0" fontId="31" fillId="2" borderId="25" xfId="80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6" xfId="81" applyFont="1" applyFill="1" applyBorder="1" applyAlignment="1"/>
    <xf numFmtId="164" fontId="3" fillId="0" borderId="57" xfId="53" applyNumberFormat="1" applyFont="1" applyFill="1" applyBorder="1"/>
    <xf numFmtId="9" fontId="3" fillId="0" borderId="57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2" xfId="0" applyFont="1" applyFill="1" applyBorder="1" applyAlignment="1"/>
    <xf numFmtId="0" fontId="3" fillId="2" borderId="55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4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0" fontId="31" fillId="2" borderId="44" xfId="0" applyFont="1" applyFill="1" applyBorder="1" applyAlignment="1">
      <alignment horizontal="center"/>
    </xf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0" fontId="31" fillId="2" borderId="44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0" xfId="74" applyFont="1" applyFill="1" applyBorder="1" applyAlignment="1">
      <alignment horizontal="center"/>
    </xf>
    <xf numFmtId="0" fontId="27" fillId="5" borderId="36" xfId="80" applyFont="1" applyFill="1" applyBorder="1"/>
    <xf numFmtId="0" fontId="31" fillId="2" borderId="23" xfId="80" applyFont="1" applyFill="1" applyBorder="1" applyAlignment="1">
      <alignment horizontal="center"/>
    </xf>
    <xf numFmtId="0" fontId="31" fillId="2" borderId="22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7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0" applyNumberFormat="1" applyFont="1" applyFill="1" applyBorder="1"/>
    <xf numFmtId="9" fontId="28" fillId="4" borderId="20" xfId="80" applyNumberFormat="1" applyFont="1" applyFill="1" applyBorder="1"/>
    <xf numFmtId="9" fontId="28" fillId="3" borderId="20" xfId="80" applyNumberFormat="1" applyFont="1" applyFill="1" applyBorder="1"/>
    <xf numFmtId="0" fontId="31" fillId="2" borderId="21" xfId="80" applyFont="1" applyFill="1" applyBorder="1" applyAlignment="1">
      <alignment horizontal="center"/>
    </xf>
    <xf numFmtId="0" fontId="32" fillId="0" borderId="0" xfId="0" applyFont="1" applyFill="1"/>
    <xf numFmtId="0" fontId="32" fillId="0" borderId="44" xfId="0" applyFont="1" applyFill="1" applyBorder="1" applyAlignment="1"/>
    <xf numFmtId="0" fontId="32" fillId="0" borderId="0" xfId="0" applyFont="1" applyFill="1" applyAlignment="1"/>
    <xf numFmtId="0" fontId="45" fillId="4" borderId="33" xfId="1" applyFont="1" applyFill="1" applyBorder="1"/>
    <xf numFmtId="0" fontId="45" fillId="4" borderId="17" xfId="1" applyFont="1" applyFill="1" applyBorder="1"/>
    <xf numFmtId="0" fontId="45" fillId="3" borderId="18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45" fillId="3" borderId="8" xfId="1" applyFont="1" applyFill="1" applyBorder="1"/>
    <xf numFmtId="0" fontId="45" fillId="3" borderId="4" xfId="1" applyFont="1" applyFill="1" applyBorder="1"/>
    <xf numFmtId="0" fontId="45" fillId="6" borderId="4" xfId="1" applyFont="1" applyFill="1" applyBorder="1"/>
    <xf numFmtId="0" fontId="45" fillId="6" borderId="50" xfId="1" applyFont="1" applyFill="1" applyBorder="1"/>
    <xf numFmtId="0" fontId="45" fillId="2" borderId="4" xfId="1" applyFont="1" applyFill="1" applyBorder="1"/>
    <xf numFmtId="0" fontId="45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8" xfId="0" applyNumberFormat="1" applyFont="1" applyFill="1" applyBorder="1"/>
    <xf numFmtId="9" fontId="39" fillId="2" borderId="51" xfId="0" applyNumberFormat="1" applyFont="1" applyFill="1" applyBorder="1"/>
    <xf numFmtId="0" fontId="49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5" fillId="2" borderId="34" xfId="1" applyFont="1" applyFill="1" applyBorder="1" applyAlignment="1">
      <alignment horizontal="left" indent="2"/>
    </xf>
    <xf numFmtId="0" fontId="49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9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9" fillId="4" borderId="49" xfId="1" applyFont="1" applyFill="1" applyBorder="1" applyAlignment="1">
      <alignment horizontal="left"/>
    </xf>
    <xf numFmtId="0" fontId="45" fillId="4" borderId="34" xfId="1" applyFont="1" applyFill="1" applyBorder="1" applyAlignment="1">
      <alignment horizontal="left" indent="2"/>
    </xf>
    <xf numFmtId="0" fontId="49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4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0" applyFont="1" applyFill="1"/>
    <xf numFmtId="0" fontId="50" fillId="0" borderId="36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6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4" xfId="0" applyNumberFormat="1" applyFont="1" applyFill="1" applyBorder="1" applyAlignment="1"/>
    <xf numFmtId="9" fontId="32" fillId="0" borderId="44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66" xfId="80" applyFont="1" applyFill="1" applyBorder="1" applyAlignment="1">
      <alignment horizontal="center"/>
    </xf>
    <xf numFmtId="0" fontId="31" fillId="2" borderId="67" xfId="80" applyFont="1" applyFill="1" applyBorder="1" applyAlignment="1">
      <alignment horizontal="center"/>
    </xf>
    <xf numFmtId="0" fontId="31" fillId="2" borderId="68" xfId="80" applyFont="1" applyFill="1" applyBorder="1" applyAlignment="1">
      <alignment horizontal="center"/>
    </xf>
    <xf numFmtId="0" fontId="31" fillId="2" borderId="69" xfId="80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9" fontId="32" fillId="0" borderId="73" xfId="0" applyNumberFormat="1" applyFont="1" applyBorder="1" applyAlignment="1"/>
    <xf numFmtId="0" fontId="25" fillId="2" borderId="34" xfId="1" applyFill="1" applyBorder="1" applyAlignment="1">
      <alignment horizontal="left" indent="4"/>
    </xf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49" fontId="37" fillId="2" borderId="73" xfId="0" quotePrefix="1" applyNumberFormat="1" applyFont="1" applyFill="1" applyBorder="1" applyAlignment="1">
      <alignment horizontal="center" vertical="center"/>
    </xf>
    <xf numFmtId="0" fontId="25" fillId="4" borderId="71" xfId="1" applyFill="1" applyBorder="1" applyAlignment="1">
      <alignment horizontal="left" indent="4"/>
    </xf>
    <xf numFmtId="0" fontId="25" fillId="4" borderId="34" xfId="1" applyFill="1" applyBorder="1" applyAlignment="1">
      <alignment horizontal="left" indent="2"/>
    </xf>
    <xf numFmtId="0" fontId="32" fillId="0" borderId="72" xfId="0" applyFont="1" applyBorder="1"/>
    <xf numFmtId="0" fontId="31" fillId="2" borderId="62" xfId="0" applyFont="1" applyFill="1" applyBorder="1" applyAlignment="1">
      <alignment horizontal="center" vertical="top" wrapText="1"/>
    </xf>
    <xf numFmtId="0" fontId="25" fillId="6" borderId="4" xfId="1" applyFill="1" applyBorder="1"/>
    <xf numFmtId="0" fontId="31" fillId="2" borderId="38" xfId="80" applyFont="1" applyFill="1" applyBorder="1" applyAlignment="1">
      <alignment horizontal="center"/>
    </xf>
    <xf numFmtId="0" fontId="31" fillId="2" borderId="39" xfId="80" applyFont="1" applyFill="1" applyBorder="1" applyAlignment="1">
      <alignment horizontal="center"/>
    </xf>
    <xf numFmtId="0" fontId="31" fillId="2" borderId="24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0" xfId="0" applyNumberFormat="1" applyFont="1" applyFill="1" applyBorder="1" applyAlignment="1"/>
    <xf numFmtId="0" fontId="39" fillId="2" borderId="18" xfId="0" applyFont="1" applyFill="1" applyBorder="1" applyAlignment="1">
      <alignment horizontal="right"/>
    </xf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5" xfId="0" applyNumberFormat="1" applyFont="1" applyBorder="1" applyAlignment="1">
      <alignment vertical="center"/>
    </xf>
    <xf numFmtId="173" fontId="39" fillId="0" borderId="31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5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6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4" xfId="0" applyNumberFormat="1" applyFont="1" applyBorder="1" applyAlignment="1">
      <alignment horizontal="right" vertical="center"/>
    </xf>
    <xf numFmtId="9" fontId="39" fillId="0" borderId="88" xfId="0" applyNumberFormat="1" applyFont="1" applyBorder="1" applyAlignment="1">
      <alignment horizontal="right" vertical="center"/>
    </xf>
    <xf numFmtId="173" fontId="39" fillId="0" borderId="88" xfId="0" applyNumberFormat="1" applyFont="1" applyBorder="1" applyAlignment="1">
      <alignment horizontal="right" vertical="center"/>
    </xf>
    <xf numFmtId="173" fontId="39" fillId="0" borderId="60" xfId="0" applyNumberFormat="1" applyFont="1" applyBorder="1" applyAlignment="1">
      <alignment horizontal="right" vertical="center"/>
    </xf>
    <xf numFmtId="173" fontId="39" fillId="0" borderId="62" xfId="0" applyNumberFormat="1" applyFont="1" applyBorder="1" applyAlignment="1">
      <alignment vertical="center"/>
    </xf>
    <xf numFmtId="173" fontId="39" fillId="0" borderId="89" xfId="0" applyNumberFormat="1" applyFont="1" applyBorder="1" applyAlignment="1">
      <alignment vertical="center"/>
    </xf>
    <xf numFmtId="173" fontId="39" fillId="0" borderId="88" xfId="0" applyNumberFormat="1" applyFont="1" applyBorder="1" applyAlignment="1">
      <alignment vertical="center"/>
    </xf>
    <xf numFmtId="173" fontId="39" fillId="0" borderId="60" xfId="0" applyNumberFormat="1" applyFont="1" applyBorder="1" applyAlignment="1">
      <alignment vertical="center"/>
    </xf>
    <xf numFmtId="173" fontId="39" fillId="0" borderId="90" xfId="0" applyNumberFormat="1" applyFont="1" applyBorder="1" applyAlignment="1">
      <alignment vertical="center"/>
    </xf>
    <xf numFmtId="174" fontId="39" fillId="0" borderId="91" xfId="0" applyNumberFormat="1" applyFont="1" applyBorder="1" applyAlignment="1">
      <alignment vertical="center"/>
    </xf>
    <xf numFmtId="174" fontId="39" fillId="0" borderId="88" xfId="0" applyNumberFormat="1" applyFont="1" applyBorder="1" applyAlignment="1">
      <alignment vertical="center"/>
    </xf>
    <xf numFmtId="174" fontId="39" fillId="0" borderId="60" xfId="0" applyNumberFormat="1" applyFont="1" applyBorder="1" applyAlignment="1">
      <alignment vertical="center"/>
    </xf>
    <xf numFmtId="168" fontId="39" fillId="0" borderId="84" xfId="0" applyNumberFormat="1" applyFont="1" applyBorder="1" applyAlignment="1">
      <alignment vertical="center"/>
    </xf>
    <xf numFmtId="0" fontId="32" fillId="0" borderId="89" xfId="0" applyFont="1" applyBorder="1" applyAlignment="1">
      <alignment horizontal="center" vertical="center"/>
    </xf>
    <xf numFmtId="166" fontId="39" fillId="2" borderId="60" xfId="0" applyNumberFormat="1" applyFont="1" applyFill="1" applyBorder="1" applyAlignment="1">
      <alignment horizontal="center" vertical="center"/>
    </xf>
    <xf numFmtId="173" fontId="39" fillId="0" borderId="69" xfId="0" applyNumberFormat="1" applyFont="1" applyBorder="1" applyAlignment="1">
      <alignment horizontal="right" vertical="center"/>
    </xf>
    <xf numFmtId="175" fontId="39" fillId="0" borderId="68" xfId="0" applyNumberFormat="1" applyFont="1" applyBorder="1" applyAlignment="1">
      <alignment horizontal="right" vertical="center"/>
    </xf>
    <xf numFmtId="173" fontId="39" fillId="0" borderId="68" xfId="0" applyNumberFormat="1" applyFont="1" applyBorder="1" applyAlignment="1">
      <alignment horizontal="right" vertical="center"/>
    </xf>
    <xf numFmtId="173" fontId="39" fillId="0" borderId="69" xfId="0" applyNumberFormat="1" applyFont="1" applyBorder="1" applyAlignment="1">
      <alignment vertical="center"/>
    </xf>
    <xf numFmtId="173" fontId="39" fillId="0" borderId="68" xfId="0" applyNumberFormat="1" applyFont="1" applyBorder="1" applyAlignment="1">
      <alignment vertical="center"/>
    </xf>
    <xf numFmtId="173" fontId="39" fillId="0" borderId="67" xfId="0" applyNumberFormat="1" applyFont="1" applyBorder="1" applyAlignment="1">
      <alignment vertical="center"/>
    </xf>
    <xf numFmtId="176" fontId="39" fillId="0" borderId="67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73" xfId="0" quotePrefix="1" applyFont="1" applyFill="1" applyBorder="1" applyAlignment="1">
      <alignment horizontal="center" vertical="center" wrapText="1"/>
    </xf>
    <xf numFmtId="0" fontId="40" fillId="9" borderId="73" xfId="0" quotePrefix="1" applyFont="1" applyFill="1" applyBorder="1" applyAlignment="1">
      <alignment horizontal="center" vertical="center" wrapText="1"/>
    </xf>
    <xf numFmtId="0" fontId="40" fillId="9" borderId="72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7" xfId="0" applyNumberFormat="1" applyFont="1" applyFill="1" applyBorder="1"/>
    <xf numFmtId="3" fontId="0" fillId="7" borderId="61" xfId="0" applyNumberFormat="1" applyFont="1" applyFill="1" applyBorder="1"/>
    <xf numFmtId="0" fontId="0" fillId="0" borderId="98" xfId="0" applyNumberFormat="1" applyFont="1" applyBorder="1"/>
    <xf numFmtId="3" fontId="0" fillId="0" borderId="99" xfId="0" applyNumberFormat="1" applyFont="1" applyBorder="1"/>
    <xf numFmtId="0" fontId="0" fillId="7" borderId="98" xfId="0" applyNumberFormat="1" applyFont="1" applyFill="1" applyBorder="1"/>
    <xf numFmtId="3" fontId="0" fillId="7" borderId="99" xfId="0" applyNumberFormat="1" applyFont="1" applyFill="1" applyBorder="1"/>
    <xf numFmtId="0" fontId="52" fillId="8" borderId="98" xfId="0" applyNumberFormat="1" applyFont="1" applyFill="1" applyBorder="1"/>
    <xf numFmtId="3" fontId="52" fillId="8" borderId="99" xfId="0" applyNumberFormat="1" applyFont="1" applyFill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6" xfId="80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2" xfId="80" applyFont="1" applyFill="1" applyBorder="1" applyAlignment="1">
      <alignment horizontal="center"/>
    </xf>
    <xf numFmtId="0" fontId="31" fillId="2" borderId="43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59" xfId="80" applyFont="1" applyFill="1" applyBorder="1" applyAlignment="1">
      <alignment horizontal="center"/>
    </xf>
    <xf numFmtId="0" fontId="31" fillId="2" borderId="41" xfId="80" applyFont="1" applyFill="1" applyBorder="1" applyAlignment="1">
      <alignment horizontal="center"/>
    </xf>
    <xf numFmtId="0" fontId="31" fillId="2" borderId="83" xfId="80" applyFont="1" applyFill="1" applyBorder="1" applyAlignment="1">
      <alignment horizontal="center"/>
    </xf>
    <xf numFmtId="0" fontId="31" fillId="2" borderId="70" xfId="80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81" xfId="80" applyFont="1" applyFill="1" applyBorder="1" applyAlignment="1">
      <alignment horizontal="center"/>
    </xf>
    <xf numFmtId="0" fontId="31" fillId="2" borderId="82" xfId="80" applyFont="1" applyFill="1" applyBorder="1" applyAlignment="1">
      <alignment horizontal="center"/>
    </xf>
    <xf numFmtId="0" fontId="31" fillId="2" borderId="78" xfId="80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0" fontId="2" fillId="0" borderId="2" xfId="26" applyFont="1" applyFill="1" applyBorder="1" applyAlignment="1"/>
    <xf numFmtId="3" fontId="54" fillId="4" borderId="76" xfId="0" applyNumberFormat="1" applyFont="1" applyFill="1" applyBorder="1" applyAlignment="1">
      <alignment horizontal="center" vertical="center"/>
    </xf>
    <xf numFmtId="3" fontId="54" fillId="4" borderId="86" xfId="0" applyNumberFormat="1" applyFont="1" applyFill="1" applyBorder="1" applyAlignment="1">
      <alignment horizontal="center" vertical="center"/>
    </xf>
    <xf numFmtId="9" fontId="54" fillId="4" borderId="76" xfId="0" applyNumberFormat="1" applyFont="1" applyFill="1" applyBorder="1" applyAlignment="1">
      <alignment horizontal="center" vertical="center"/>
    </xf>
    <xf numFmtId="9" fontId="54" fillId="4" borderId="86" xfId="0" applyNumberFormat="1" applyFont="1" applyFill="1" applyBorder="1" applyAlignment="1">
      <alignment horizontal="center" vertical="center"/>
    </xf>
    <xf numFmtId="3" fontId="54" fillId="4" borderId="77" xfId="0" applyNumberFormat="1" applyFont="1" applyFill="1" applyBorder="1" applyAlignment="1">
      <alignment horizontal="center" vertical="center" wrapText="1"/>
    </xf>
    <xf numFmtId="3" fontId="54" fillId="4" borderId="87" xfId="0" applyNumberFormat="1" applyFont="1" applyFill="1" applyBorder="1" applyAlignment="1">
      <alignment horizontal="center" vertical="center" wrapText="1"/>
    </xf>
    <xf numFmtId="0" fontId="39" fillId="2" borderId="94" xfId="0" applyFont="1" applyFill="1" applyBorder="1" applyAlignment="1">
      <alignment horizontal="center" vertical="center" wrapText="1"/>
    </xf>
    <xf numFmtId="0" fontId="39" fillId="2" borderId="79" xfId="0" applyFont="1" applyFill="1" applyBorder="1" applyAlignment="1">
      <alignment horizontal="center" vertical="center" wrapText="1"/>
    </xf>
    <xf numFmtId="0" fontId="54" fillId="9" borderId="96" xfId="0" applyFont="1" applyFill="1" applyBorder="1" applyAlignment="1">
      <alignment horizontal="center"/>
    </xf>
    <xf numFmtId="0" fontId="54" fillId="9" borderId="95" xfId="0" applyFont="1" applyFill="1" applyBorder="1" applyAlignment="1">
      <alignment horizontal="center"/>
    </xf>
    <xf numFmtId="0" fontId="54" fillId="9" borderId="75" xfId="0" applyFont="1" applyFill="1" applyBorder="1" applyAlignment="1">
      <alignment horizontal="center"/>
    </xf>
    <xf numFmtId="0" fontId="54" fillId="2" borderId="77" xfId="0" applyFont="1" applyFill="1" applyBorder="1" applyAlignment="1">
      <alignment horizontal="center" vertical="center" wrapText="1"/>
    </xf>
    <xf numFmtId="0" fontId="54" fillId="2" borderId="87" xfId="0" applyFont="1" applyFill="1" applyBorder="1" applyAlignment="1">
      <alignment horizontal="center" vertical="center" wrapText="1"/>
    </xf>
    <xf numFmtId="0" fontId="39" fillId="4" borderId="84" xfId="0" applyFont="1" applyFill="1" applyBorder="1" applyAlignment="1">
      <alignment horizontal="center" vertical="center" wrapText="1"/>
    </xf>
    <xf numFmtId="0" fontId="39" fillId="4" borderId="63" xfId="0" applyFont="1" applyFill="1" applyBorder="1" applyAlignment="1">
      <alignment horizontal="center" vertical="center" wrapText="1"/>
    </xf>
    <xf numFmtId="0" fontId="58" fillId="2" borderId="40" xfId="0" applyFont="1" applyFill="1" applyBorder="1" applyAlignment="1">
      <alignment horizontal="center"/>
    </xf>
    <xf numFmtId="0" fontId="58" fillId="2" borderId="81" xfId="0" applyFont="1" applyFill="1" applyBorder="1" applyAlignment="1">
      <alignment horizontal="center"/>
    </xf>
    <xf numFmtId="0" fontId="58" fillId="2" borderId="70" xfId="0" applyFont="1" applyFill="1" applyBorder="1" applyAlignment="1">
      <alignment horizontal="center"/>
    </xf>
    <xf numFmtId="0" fontId="58" fillId="4" borderId="24" xfId="0" applyFont="1" applyFill="1" applyBorder="1" applyAlignment="1">
      <alignment horizontal="center"/>
    </xf>
    <xf numFmtId="0" fontId="58" fillId="4" borderId="65" xfId="0" applyFont="1" applyFill="1" applyBorder="1" applyAlignment="1">
      <alignment horizontal="center"/>
    </xf>
    <xf numFmtId="0" fontId="58" fillId="4" borderId="66" xfId="0" applyFont="1" applyFill="1" applyBorder="1" applyAlignment="1">
      <alignment horizontal="center"/>
    </xf>
    <xf numFmtId="0" fontId="58" fillId="2" borderId="24" xfId="0" applyFont="1" applyFill="1" applyBorder="1" applyAlignment="1">
      <alignment horizontal="center"/>
    </xf>
    <xf numFmtId="0" fontId="58" fillId="2" borderId="65" xfId="0" applyFont="1" applyFill="1" applyBorder="1" applyAlignment="1">
      <alignment horizontal="center"/>
    </xf>
    <xf numFmtId="0" fontId="58" fillId="2" borderId="66" xfId="0" applyFont="1" applyFill="1" applyBorder="1" applyAlignment="1">
      <alignment horizontal="center"/>
    </xf>
    <xf numFmtId="166" fontId="39" fillId="2" borderId="67" xfId="0" applyNumberFormat="1" applyFont="1" applyFill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54" fillId="4" borderId="85" xfId="0" applyFont="1" applyFill="1" applyBorder="1" applyAlignment="1">
      <alignment horizontal="center" vertical="center" wrapText="1"/>
    </xf>
    <xf numFmtId="0" fontId="54" fillId="4" borderId="93" xfId="0" applyFont="1" applyFill="1" applyBorder="1" applyAlignment="1">
      <alignment horizontal="center" vertical="center" wrapText="1"/>
    </xf>
    <xf numFmtId="0" fontId="54" fillId="4" borderId="76" xfId="0" applyFont="1" applyFill="1" applyBorder="1" applyAlignment="1">
      <alignment horizontal="center" vertical="center" wrapText="1"/>
    </xf>
    <xf numFmtId="0" fontId="54" fillId="4" borderId="86" xfId="0" applyFont="1" applyFill="1" applyBorder="1" applyAlignment="1">
      <alignment horizontal="center" vertical="center" wrapText="1"/>
    </xf>
    <xf numFmtId="0" fontId="54" fillId="4" borderId="77" xfId="0" applyFont="1" applyFill="1" applyBorder="1" applyAlignment="1">
      <alignment horizontal="center" vertical="center" wrapText="1"/>
    </xf>
    <xf numFmtId="0" fontId="54" fillId="4" borderId="87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5" xfId="0" applyNumberFormat="1" applyFont="1" applyFill="1" applyBorder="1" applyAlignment="1">
      <alignment horizontal="center" vertical="center" wrapText="1"/>
    </xf>
    <xf numFmtId="168" fontId="54" fillId="2" borderId="93" xfId="0" applyNumberFormat="1" applyFont="1" applyFill="1" applyBorder="1" applyAlignment="1">
      <alignment horizontal="center" vertical="center" wrapText="1"/>
    </xf>
    <xf numFmtId="0" fontId="54" fillId="2" borderId="76" xfId="0" applyFont="1" applyFill="1" applyBorder="1" applyAlignment="1">
      <alignment horizontal="center" vertical="center" wrapText="1"/>
    </xf>
    <xf numFmtId="0" fontId="54" fillId="2" borderId="8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39" fillId="2" borderId="51" xfId="0" applyFont="1" applyFill="1" applyBorder="1" applyAlignment="1">
      <alignment vertical="center"/>
    </xf>
    <xf numFmtId="3" fontId="31" fillId="2" borderId="53" xfId="26" applyNumberFormat="1" applyFont="1" applyFill="1" applyBorder="1" applyAlignment="1">
      <alignment horizontal="center"/>
    </xf>
    <xf numFmtId="3" fontId="31" fillId="2" borderId="44" xfId="26" applyNumberFormat="1" applyFont="1" applyFill="1" applyBorder="1" applyAlignment="1">
      <alignment horizontal="center"/>
    </xf>
    <xf numFmtId="3" fontId="31" fillId="2" borderId="80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4" xfId="26" applyNumberFormat="1" applyFont="1" applyFill="1" applyBorder="1" applyAlignment="1">
      <alignment horizontal="center"/>
    </xf>
    <xf numFmtId="3" fontId="31" fillId="2" borderId="63" xfId="26" applyNumberFormat="1" applyFont="1" applyFill="1" applyBorder="1" applyAlignment="1">
      <alignment horizontal="center"/>
    </xf>
    <xf numFmtId="0" fontId="31" fillId="2" borderId="30" xfId="0" applyFont="1" applyFill="1" applyBorder="1" applyAlignment="1">
      <alignment horizontal="center" vertical="top" wrapText="1"/>
    </xf>
    <xf numFmtId="3" fontId="31" fillId="2" borderId="45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3" xfId="0" quotePrefix="1" applyFont="1" applyFill="1" applyBorder="1" applyAlignment="1">
      <alignment horizontal="center"/>
    </xf>
    <xf numFmtId="0" fontId="31" fillId="2" borderId="45" xfId="0" applyFont="1" applyFill="1" applyBorder="1" applyAlignment="1">
      <alignment horizontal="center"/>
    </xf>
    <xf numFmtId="9" fontId="43" fillId="2" borderId="45" xfId="0" applyNumberFormat="1" applyFont="1" applyFill="1" applyBorder="1" applyAlignment="1">
      <alignment horizontal="center" vertical="top"/>
    </xf>
    <xf numFmtId="0" fontId="31" fillId="2" borderId="62" xfId="0" applyNumberFormat="1" applyFont="1" applyFill="1" applyBorder="1" applyAlignment="1">
      <alignment horizontal="center" vertical="top"/>
    </xf>
    <xf numFmtId="0" fontId="31" fillId="2" borderId="62" xfId="0" applyFont="1" applyFill="1" applyBorder="1" applyAlignment="1">
      <alignment horizontal="center" vertical="top" wrapText="1"/>
    </xf>
    <xf numFmtId="0" fontId="31" fillId="2" borderId="53" xfId="0" quotePrefix="1" applyNumberFormat="1" applyFont="1" applyFill="1" applyBorder="1" applyAlignment="1">
      <alignment horizontal="center"/>
    </xf>
    <xf numFmtId="0" fontId="31" fillId="2" borderId="45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3" fillId="2" borderId="45" xfId="0" applyNumberFormat="1" applyFont="1" applyFill="1" applyBorder="1" applyAlignment="1">
      <alignment horizontal="center" vertical="top"/>
    </xf>
    <xf numFmtId="3" fontId="33" fillId="10" borderId="101" xfId="0" applyNumberFormat="1" applyFont="1" applyFill="1" applyBorder="1" applyAlignment="1">
      <alignment horizontal="right" vertical="top"/>
    </xf>
    <xf numFmtId="3" fontId="33" fillId="10" borderId="102" xfId="0" applyNumberFormat="1" applyFont="1" applyFill="1" applyBorder="1" applyAlignment="1">
      <alignment horizontal="right" vertical="top"/>
    </xf>
    <xf numFmtId="177" fontId="33" fillId="10" borderId="103" xfId="0" applyNumberFormat="1" applyFont="1" applyFill="1" applyBorder="1" applyAlignment="1">
      <alignment horizontal="right" vertical="top"/>
    </xf>
    <xf numFmtId="3" fontId="33" fillId="0" borderId="101" xfId="0" applyNumberFormat="1" applyFont="1" applyBorder="1" applyAlignment="1">
      <alignment horizontal="right" vertical="top"/>
    </xf>
    <xf numFmtId="177" fontId="33" fillId="10" borderId="104" xfId="0" applyNumberFormat="1" applyFont="1" applyFill="1" applyBorder="1" applyAlignment="1">
      <alignment horizontal="right" vertical="top"/>
    </xf>
    <xf numFmtId="3" fontId="35" fillId="10" borderId="106" xfId="0" applyNumberFormat="1" applyFont="1" applyFill="1" applyBorder="1" applyAlignment="1">
      <alignment horizontal="right" vertical="top"/>
    </xf>
    <xf numFmtId="3" fontId="35" fillId="10" borderId="107" xfId="0" applyNumberFormat="1" applyFont="1" applyFill="1" applyBorder="1" applyAlignment="1">
      <alignment horizontal="right" vertical="top"/>
    </xf>
    <xf numFmtId="177" fontId="35" fillId="10" borderId="108" xfId="0" applyNumberFormat="1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0" fontId="35" fillId="10" borderId="109" xfId="0" applyFont="1" applyFill="1" applyBorder="1" applyAlignment="1">
      <alignment horizontal="right" vertical="top"/>
    </xf>
    <xf numFmtId="177" fontId="35" fillId="10" borderId="109" xfId="0" applyNumberFormat="1" applyFont="1" applyFill="1" applyBorder="1" applyAlignment="1">
      <alignment horizontal="right" vertical="top"/>
    </xf>
    <xf numFmtId="0" fontId="33" fillId="10" borderId="104" xfId="0" applyFont="1" applyFill="1" applyBorder="1" applyAlignment="1">
      <alignment horizontal="right" vertical="top"/>
    </xf>
    <xf numFmtId="0" fontId="35" fillId="10" borderId="108" xfId="0" applyFont="1" applyFill="1" applyBorder="1" applyAlignment="1">
      <alignment horizontal="right" vertical="top"/>
    </xf>
    <xf numFmtId="0" fontId="33" fillId="10" borderId="103" xfId="0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3" fontId="35" fillId="0" borderId="111" xfId="0" applyNumberFormat="1" applyFont="1" applyBorder="1" applyAlignment="1">
      <alignment horizontal="right" vertical="top"/>
    </xf>
    <xf numFmtId="3" fontId="35" fillId="0" borderId="112" xfId="0" applyNumberFormat="1" applyFont="1" applyBorder="1" applyAlignment="1">
      <alignment horizontal="right" vertical="top"/>
    </xf>
    <xf numFmtId="177" fontId="35" fillId="10" borderId="113" xfId="0" applyNumberFormat="1" applyFont="1" applyFill="1" applyBorder="1" applyAlignment="1">
      <alignment horizontal="right" vertical="top"/>
    </xf>
    <xf numFmtId="0" fontId="37" fillId="11" borderId="100" xfId="0" applyFont="1" applyFill="1" applyBorder="1" applyAlignment="1">
      <alignment vertical="top"/>
    </xf>
    <xf numFmtId="0" fontId="37" fillId="11" borderId="100" xfId="0" applyFont="1" applyFill="1" applyBorder="1" applyAlignment="1">
      <alignment vertical="top" indent="2"/>
    </xf>
    <xf numFmtId="0" fontId="37" fillId="11" borderId="100" xfId="0" applyFont="1" applyFill="1" applyBorder="1" applyAlignment="1">
      <alignment vertical="top" indent="4"/>
    </xf>
    <xf numFmtId="0" fontId="38" fillId="11" borderId="105" xfId="0" applyFont="1" applyFill="1" applyBorder="1" applyAlignment="1">
      <alignment vertical="top" indent="6"/>
    </xf>
    <xf numFmtId="0" fontId="37" fillId="11" borderId="100" xfId="0" applyFont="1" applyFill="1" applyBorder="1" applyAlignment="1">
      <alignment vertical="top" indent="8"/>
    </xf>
    <xf numFmtId="0" fontId="38" fillId="11" borderId="105" xfId="0" applyFont="1" applyFill="1" applyBorder="1" applyAlignment="1">
      <alignment vertical="top" indent="2"/>
    </xf>
    <xf numFmtId="0" fontId="37" fillId="11" borderId="100" xfId="0" applyFont="1" applyFill="1" applyBorder="1" applyAlignment="1">
      <alignment vertical="top" indent="6"/>
    </xf>
    <xf numFmtId="0" fontId="38" fillId="11" borderId="105" xfId="0" applyFont="1" applyFill="1" applyBorder="1" applyAlignment="1">
      <alignment vertical="top" indent="4"/>
    </xf>
    <xf numFmtId="0" fontId="32" fillId="11" borderId="100" xfId="0" applyFont="1" applyFill="1" applyBorder="1"/>
    <xf numFmtId="0" fontId="38" fillId="11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0" fontId="32" fillId="2" borderId="54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6" xfId="26" applyNumberFormat="1" applyFont="1" applyFill="1" applyBorder="1" applyAlignment="1">
      <alignment horizontal="right"/>
    </xf>
    <xf numFmtId="0" fontId="58" fillId="4" borderId="64" xfId="0" applyFont="1" applyFill="1" applyBorder="1" applyAlignment="1">
      <alignment horizontal="left"/>
    </xf>
    <xf numFmtId="169" fontId="58" fillId="4" borderId="65" xfId="0" applyNumberFormat="1" applyFont="1" applyFill="1" applyBorder="1"/>
    <xf numFmtId="9" fontId="58" fillId="4" borderId="65" xfId="0" applyNumberFormat="1" applyFont="1" applyFill="1" applyBorder="1"/>
    <xf numFmtId="9" fontId="58" fillId="4" borderId="66" xfId="0" applyNumberFormat="1" applyFont="1" applyFill="1" applyBorder="1"/>
    <xf numFmtId="169" fontId="0" fillId="0" borderId="68" xfId="0" applyNumberFormat="1" applyBorder="1"/>
    <xf numFmtId="9" fontId="0" fillId="0" borderId="68" xfId="0" applyNumberFormat="1" applyBorder="1"/>
    <xf numFmtId="9" fontId="0" fillId="0" borderId="69" xfId="0" applyNumberFormat="1" applyBorder="1"/>
    <xf numFmtId="0" fontId="58" fillId="0" borderId="67" xfId="0" applyFont="1" applyBorder="1" applyAlignment="1">
      <alignment horizontal="left" indent="1"/>
    </xf>
    <xf numFmtId="0" fontId="59" fillId="0" borderId="0" xfId="0" applyFont="1" applyFill="1"/>
    <xf numFmtId="0" fontId="60" fillId="0" borderId="0" xfId="0" applyFont="1" applyFill="1"/>
    <xf numFmtId="0" fontId="31" fillId="2" borderId="16" xfId="26" applyNumberFormat="1" applyFont="1" applyFill="1" applyBorder="1"/>
    <xf numFmtId="0" fontId="32" fillId="0" borderId="64" xfId="0" applyFont="1" applyFill="1" applyBorder="1"/>
    <xf numFmtId="3" fontId="32" fillId="0" borderId="65" xfId="0" applyNumberFormat="1" applyFont="1" applyFill="1" applyBorder="1"/>
    <xf numFmtId="169" fontId="32" fillId="0" borderId="65" xfId="0" applyNumberFormat="1" applyFont="1" applyFill="1" applyBorder="1"/>
    <xf numFmtId="169" fontId="32" fillId="0" borderId="66" xfId="0" applyNumberFormat="1" applyFont="1" applyFill="1" applyBorder="1"/>
    <xf numFmtId="0" fontId="32" fillId="0" borderId="72" xfId="0" applyFont="1" applyFill="1" applyBorder="1"/>
    <xf numFmtId="3" fontId="32" fillId="0" borderId="73" xfId="0" applyNumberFormat="1" applyFont="1" applyFill="1" applyBorder="1"/>
    <xf numFmtId="169" fontId="32" fillId="0" borderId="73" xfId="0" applyNumberFormat="1" applyFont="1" applyFill="1" applyBorder="1"/>
    <xf numFmtId="169" fontId="32" fillId="0" borderId="74" xfId="0" applyNumberFormat="1" applyFont="1" applyFill="1" applyBorder="1"/>
    <xf numFmtId="0" fontId="32" fillId="0" borderId="67" xfId="0" applyFont="1" applyFill="1" applyBorder="1"/>
    <xf numFmtId="3" fontId="32" fillId="0" borderId="68" xfId="0" applyNumberFormat="1" applyFont="1" applyFill="1" applyBorder="1"/>
    <xf numFmtId="169" fontId="32" fillId="0" borderId="68" xfId="0" applyNumberFormat="1" applyFont="1" applyFill="1" applyBorder="1"/>
    <xf numFmtId="169" fontId="32" fillId="0" borderId="69" xfId="0" applyNumberFormat="1" applyFont="1" applyFill="1" applyBorder="1"/>
    <xf numFmtId="0" fontId="39" fillId="0" borderId="64" xfId="0" applyFont="1" applyFill="1" applyBorder="1"/>
    <xf numFmtId="0" fontId="39" fillId="0" borderId="72" xfId="0" applyFont="1" applyFill="1" applyBorder="1"/>
    <xf numFmtId="0" fontId="39" fillId="0" borderId="67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0" fontId="32" fillId="0" borderId="65" xfId="0" applyFont="1" applyFill="1" applyBorder="1"/>
    <xf numFmtId="9" fontId="32" fillId="0" borderId="65" xfId="0" applyNumberFormat="1" applyFont="1" applyFill="1" applyBorder="1"/>
    <xf numFmtId="3" fontId="32" fillId="0" borderId="66" xfId="0" applyNumberFormat="1" applyFont="1" applyFill="1" applyBorder="1"/>
    <xf numFmtId="0" fontId="32" fillId="0" borderId="73" xfId="0" applyFont="1" applyFill="1" applyBorder="1"/>
    <xf numFmtId="9" fontId="32" fillId="0" borderId="73" xfId="0" applyNumberFormat="1" applyFont="1" applyFill="1" applyBorder="1"/>
    <xf numFmtId="3" fontId="32" fillId="0" borderId="74" xfId="0" applyNumberFormat="1" applyFont="1" applyFill="1" applyBorder="1"/>
    <xf numFmtId="0" fontId="32" fillId="0" borderId="68" xfId="0" applyFont="1" applyFill="1" applyBorder="1"/>
    <xf numFmtId="9" fontId="32" fillId="0" borderId="68" xfId="0" applyNumberFormat="1" applyFont="1" applyFill="1" applyBorder="1"/>
    <xf numFmtId="3" fontId="32" fillId="0" borderId="69" xfId="0" applyNumberFormat="1" applyFont="1" applyFill="1" applyBorder="1"/>
    <xf numFmtId="0" fontId="31" fillId="2" borderId="31" xfId="0" applyFont="1" applyFill="1" applyBorder="1" applyAlignment="1">
      <alignment horizontal="center" vertical="top" wrapText="1"/>
    </xf>
    <xf numFmtId="0" fontId="31" fillId="2" borderId="16" xfId="26" applyNumberFormat="1" applyFont="1" applyFill="1" applyBorder="1" applyAlignment="1">
      <alignment horizontal="right"/>
    </xf>
    <xf numFmtId="9" fontId="32" fillId="0" borderId="66" xfId="0" applyNumberFormat="1" applyFont="1" applyFill="1" applyBorder="1"/>
    <xf numFmtId="9" fontId="32" fillId="0" borderId="74" xfId="0" applyNumberFormat="1" applyFont="1" applyFill="1" applyBorder="1"/>
    <xf numFmtId="9" fontId="32" fillId="0" borderId="69" xfId="0" applyNumberFormat="1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3" fillId="2" borderId="16" xfId="0" applyNumberFormat="1" applyFont="1" applyFill="1" applyBorder="1" applyAlignment="1">
      <alignment horizontal="center" vertical="top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70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69"/>
      <tableStyleElement type="headerRow" dxfId="68"/>
      <tableStyleElement type="totalRow" dxfId="67"/>
      <tableStyleElement type="firstColumn" dxfId="66"/>
      <tableStyleElement type="lastColumn" dxfId="65"/>
      <tableStyleElement type="firstRowStripe" dxfId="64"/>
      <tableStyleElement type="firstColumnStripe" dxfId="63"/>
    </tableStyle>
    <tableStyle name="TableStyleMedium2 2" pivot="0" count="7">
      <tableStyleElement type="wholeTable" dxfId="62"/>
      <tableStyleElement type="headerRow" dxfId="61"/>
      <tableStyleElement type="totalRow" dxfId="60"/>
      <tableStyleElement type="firstColumn" dxfId="59"/>
      <tableStyleElement type="lastColumn" dxfId="58"/>
      <tableStyleElement type="firstRowStripe" dxfId="57"/>
      <tableStyleElement type="firstColumnStripe" dxfId="56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Graf'!$B$4:$M$4</c:f>
              <c:numCache>
                <c:formatCode>General</c:formatCode>
                <c:ptCount val="12"/>
                <c:pt idx="0">
                  <c:v>0.58621755962746647</c:v>
                </c:pt>
                <c:pt idx="1">
                  <c:v>0.54505039063926908</c:v>
                </c:pt>
                <c:pt idx="2">
                  <c:v>0.57895938601237884</c:v>
                </c:pt>
                <c:pt idx="3">
                  <c:v>0.58550706019384957</c:v>
                </c:pt>
                <c:pt idx="4">
                  <c:v>0.60701217309659283</c:v>
                </c:pt>
                <c:pt idx="5">
                  <c:v>0.62443070640229092</c:v>
                </c:pt>
                <c:pt idx="6">
                  <c:v>0.57326409509452847</c:v>
                </c:pt>
                <c:pt idx="7">
                  <c:v>0.57407600050880503</c:v>
                </c:pt>
                <c:pt idx="8">
                  <c:v>0.57036393070787583</c:v>
                </c:pt>
                <c:pt idx="9">
                  <c:v>0.57859058072963521</c:v>
                </c:pt>
                <c:pt idx="10">
                  <c:v>0.57661842671375196</c:v>
                </c:pt>
                <c:pt idx="11">
                  <c:v>0.55829999665500385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25710032"/>
        <c:axId val="-202570785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0.59350736929945835</c:v>
                </c:pt>
                <c:pt idx="1">
                  <c:v>0.59350736929945835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25710576"/>
        <c:axId val="-2025717648"/>
      </c:scatterChart>
      <c:catAx>
        <c:axId val="-2025710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2025707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257078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2025710032"/>
        <c:crosses val="autoZero"/>
        <c:crossBetween val="between"/>
      </c:valAx>
      <c:valAx>
        <c:axId val="-202571057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2025717648"/>
        <c:crosses val="max"/>
        <c:crossBetween val="midCat"/>
      </c:valAx>
      <c:valAx>
        <c:axId val="-202571764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202571057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15" totalsRowShown="0" headerRowDxfId="55" tableBorderDxfId="54">
  <autoFilter ref="A7:S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53"/>
    <tableColumn id="2" name="popis" dataDxfId="52"/>
    <tableColumn id="3" name="01 uv_sk" dataDxfId="5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5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4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4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4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4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4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4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4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4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4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4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3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3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3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36">
      <calculatedColumnFormula>IF(Tabulka[[#This Row],[15_vzpl]]=0,"",Tabulka[[#This Row],[14_vzsk]]/Tabulka[[#This Row],[15_vzpl]])</calculatedColumnFormula>
    </tableColumn>
    <tableColumn id="20" name="17_vzroz" dataDxfId="35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101" totalsRowShown="0">
  <autoFilter ref="C3:S101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0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1" bestFit="1" customWidth="1"/>
    <col min="2" max="2" width="102.21875" style="101" bestFit="1" customWidth="1"/>
    <col min="3" max="3" width="16.109375" style="42" hidden="1" customWidth="1"/>
    <col min="4" max="16384" width="8.88671875" style="101"/>
  </cols>
  <sheetData>
    <row r="1" spans="1:3" ht="18.600000000000001" customHeight="1" thickBot="1" x14ac:dyDescent="0.4">
      <c r="A1" s="275" t="s">
        <v>83</v>
      </c>
      <c r="B1" s="275"/>
    </row>
    <row r="2" spans="1:3" ht="14.4" customHeight="1" thickBot="1" x14ac:dyDescent="0.35">
      <c r="A2" s="192" t="s">
        <v>207</v>
      </c>
      <c r="B2" s="41"/>
    </row>
    <row r="3" spans="1:3" ht="14.4" customHeight="1" thickBot="1" x14ac:dyDescent="0.35">
      <c r="A3" s="271" t="s">
        <v>102</v>
      </c>
      <c r="B3" s="272"/>
    </row>
    <row r="4" spans="1:3" ht="14.4" customHeight="1" x14ac:dyDescent="0.3">
      <c r="A4" s="113" t="str">
        <f t="shared" ref="A4:A8" si="0">HYPERLINK("#'"&amp;C4&amp;"'!A1",C4)</f>
        <v>Motivace</v>
      </c>
      <c r="B4" s="63" t="s">
        <v>91</v>
      </c>
      <c r="C4" s="42" t="s">
        <v>92</v>
      </c>
    </row>
    <row r="5" spans="1:3" ht="14.4" customHeight="1" x14ac:dyDescent="0.3">
      <c r="A5" s="114" t="str">
        <f t="shared" si="0"/>
        <v>HI</v>
      </c>
      <c r="B5" s="64" t="s">
        <v>100</v>
      </c>
      <c r="C5" s="42" t="s">
        <v>86</v>
      </c>
    </row>
    <row r="6" spans="1:3" ht="14.4" customHeight="1" x14ac:dyDescent="0.3">
      <c r="A6" s="115" t="str">
        <f t="shared" si="0"/>
        <v>HI Graf</v>
      </c>
      <c r="B6" s="65" t="s">
        <v>79</v>
      </c>
      <c r="C6" s="42" t="s">
        <v>87</v>
      </c>
    </row>
    <row r="7" spans="1:3" ht="14.4" customHeight="1" x14ac:dyDescent="0.3">
      <c r="A7" s="115" t="str">
        <f t="shared" si="0"/>
        <v>Man Tab</v>
      </c>
      <c r="B7" s="65" t="s">
        <v>209</v>
      </c>
      <c r="C7" s="42" t="s">
        <v>88</v>
      </c>
    </row>
    <row r="8" spans="1:3" ht="14.4" customHeight="1" thickBot="1" x14ac:dyDescent="0.35">
      <c r="A8" s="116" t="str">
        <f t="shared" si="0"/>
        <v>HV</v>
      </c>
      <c r="B8" s="66" t="s">
        <v>37</v>
      </c>
      <c r="C8" s="42" t="s">
        <v>42</v>
      </c>
    </row>
    <row r="9" spans="1:3" ht="14.4" customHeight="1" thickBot="1" x14ac:dyDescent="0.35">
      <c r="A9" s="67"/>
      <c r="B9" s="67"/>
    </row>
    <row r="10" spans="1:3" ht="14.4" customHeight="1" thickBot="1" x14ac:dyDescent="0.35">
      <c r="A10" s="273" t="s">
        <v>84</v>
      </c>
      <c r="B10" s="272"/>
    </row>
    <row r="11" spans="1:3" ht="14.4" customHeight="1" x14ac:dyDescent="0.3">
      <c r="A11" s="117" t="str">
        <f t="shared" ref="A11" si="1">HYPERLINK("#'"&amp;C11&amp;"'!A1",C11)</f>
        <v>Léky Žádanky</v>
      </c>
      <c r="B11" s="64" t="s">
        <v>101</v>
      </c>
      <c r="C11" s="42" t="s">
        <v>89</v>
      </c>
    </row>
    <row r="12" spans="1:3" ht="14.4" customHeight="1" thickBot="1" x14ac:dyDescent="0.35">
      <c r="A12" s="117" t="str">
        <f t="shared" ref="A12" si="2">HYPERLINK("#'"&amp;C12&amp;"'!A1",C12)</f>
        <v>Osobní náklady</v>
      </c>
      <c r="B12" s="65" t="s">
        <v>81</v>
      </c>
      <c r="C12" s="42" t="s">
        <v>90</v>
      </c>
    </row>
    <row r="13" spans="1:3" ht="14.4" customHeight="1" thickBot="1" x14ac:dyDescent="0.35">
      <c r="A13" s="68"/>
      <c r="B13" s="68"/>
    </row>
    <row r="14" spans="1:3" ht="14.4" customHeight="1" thickBot="1" x14ac:dyDescent="0.35">
      <c r="A14" s="274" t="s">
        <v>85</v>
      </c>
      <c r="B14" s="272"/>
    </row>
    <row r="15" spans="1:3" ht="14.4" customHeight="1" x14ac:dyDescent="0.3">
      <c r="A15" s="118" t="str">
        <f t="shared" ref="A15:A20" si="3">HYPERLINK("#'"&amp;C15&amp;"'!A1",C15)</f>
        <v>ZV Vykáz.-A</v>
      </c>
      <c r="B15" s="64" t="s">
        <v>355</v>
      </c>
      <c r="C15" s="42" t="s">
        <v>93</v>
      </c>
    </row>
    <row r="16" spans="1:3" ht="14.4" customHeight="1" x14ac:dyDescent="0.3">
      <c r="A16" s="115" t="str">
        <f t="shared" ref="A16" si="4">HYPERLINK("#'"&amp;C16&amp;"'!A1",C16)</f>
        <v>ZV Vykáz.-A Lékaři</v>
      </c>
      <c r="B16" s="65" t="s">
        <v>379</v>
      </c>
      <c r="C16" s="42" t="s">
        <v>146</v>
      </c>
    </row>
    <row r="17" spans="1:3" ht="14.4" customHeight="1" x14ac:dyDescent="0.3">
      <c r="A17" s="115" t="str">
        <f t="shared" si="3"/>
        <v>ZV Vykáz.-A Detail</v>
      </c>
      <c r="B17" s="65" t="s">
        <v>409</v>
      </c>
      <c r="C17" s="42" t="s">
        <v>94</v>
      </c>
    </row>
    <row r="18" spans="1:3" ht="14.4" customHeight="1" x14ac:dyDescent="0.3">
      <c r="A18" s="215" t="str">
        <f>HYPERLINK("#'"&amp;C18&amp;"'!A1",C18)</f>
        <v>ZV Vykáz.-A Det.Lék.</v>
      </c>
      <c r="B18" s="65" t="s">
        <v>410</v>
      </c>
      <c r="C18" s="42" t="s">
        <v>171</v>
      </c>
    </row>
    <row r="19" spans="1:3" ht="14.4" customHeight="1" x14ac:dyDescent="0.3">
      <c r="A19" s="115" t="str">
        <f t="shared" si="3"/>
        <v>ZV Vykáz.-H</v>
      </c>
      <c r="B19" s="65" t="s">
        <v>97</v>
      </c>
      <c r="C19" s="42" t="s">
        <v>95</v>
      </c>
    </row>
    <row r="20" spans="1:3" ht="14.4" customHeight="1" x14ac:dyDescent="0.3">
      <c r="A20" s="115" t="str">
        <f t="shared" si="3"/>
        <v>ZV Vykáz.-H Detail</v>
      </c>
      <c r="B20" s="65" t="s">
        <v>462</v>
      </c>
      <c r="C20" s="42" t="s">
        <v>96</v>
      </c>
    </row>
  </sheetData>
  <mergeCells count="4">
    <mergeCell ref="A3:B3"/>
    <mergeCell ref="A10:B10"/>
    <mergeCell ref="A14:B14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01" customWidth="1" collapsed="1"/>
    <col min="2" max="2" width="7.77734375" style="78" hidden="1" customWidth="1" outlineLevel="1"/>
    <col min="3" max="4" width="5.44140625" style="101" hidden="1" customWidth="1"/>
    <col min="5" max="5" width="7.77734375" style="78" customWidth="1"/>
    <col min="6" max="6" width="7.77734375" style="78" hidden="1" customWidth="1"/>
    <col min="7" max="7" width="5.44140625" style="101" hidden="1" customWidth="1"/>
    <col min="8" max="8" width="7.77734375" style="78" customWidth="1" collapsed="1"/>
    <col min="9" max="9" width="7.77734375" style="179" hidden="1" customWidth="1" outlineLevel="1"/>
    <col min="10" max="10" width="7.77734375" style="179" customWidth="1" collapsed="1"/>
    <col min="11" max="12" width="7.77734375" style="78" hidden="1" customWidth="1"/>
    <col min="13" max="13" width="5.44140625" style="101" hidden="1" customWidth="1"/>
    <col min="14" max="14" width="7.77734375" style="78" customWidth="1"/>
    <col min="15" max="15" width="7.77734375" style="78" hidden="1" customWidth="1"/>
    <col min="16" max="16" width="5.44140625" style="101" hidden="1" customWidth="1"/>
    <col min="17" max="17" width="7.77734375" style="78" customWidth="1" collapsed="1"/>
    <col min="18" max="18" width="7.77734375" style="179" hidden="1" customWidth="1" outlineLevel="1"/>
    <col min="19" max="19" width="7.77734375" style="179" customWidth="1" collapsed="1"/>
    <col min="20" max="21" width="7.77734375" style="78" hidden="1" customWidth="1"/>
    <col min="22" max="22" width="5" style="101" hidden="1" customWidth="1"/>
    <col min="23" max="23" width="7.77734375" style="78" customWidth="1"/>
    <col min="24" max="24" width="7.77734375" style="78" hidden="1" customWidth="1"/>
    <col min="25" max="25" width="5" style="101" hidden="1" customWidth="1"/>
    <col min="26" max="26" width="7.77734375" style="78" customWidth="1" collapsed="1"/>
    <col min="27" max="27" width="7.77734375" style="179" hidden="1" customWidth="1" outlineLevel="1"/>
    <col min="28" max="28" width="7.77734375" style="179" customWidth="1" collapsed="1"/>
    <col min="29" max="16384" width="8.88671875" style="101"/>
  </cols>
  <sheetData>
    <row r="1" spans="1:28" ht="18.600000000000001" customHeight="1" thickBot="1" x14ac:dyDescent="0.4">
      <c r="A1" s="347" t="s">
        <v>355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275"/>
      <c r="W1" s="275"/>
      <c r="X1" s="275"/>
      <c r="Y1" s="275"/>
      <c r="Z1" s="275"/>
      <c r="AA1" s="275"/>
      <c r="AB1" s="275"/>
    </row>
    <row r="2" spans="1:28" ht="14.4" customHeight="1" thickBot="1" x14ac:dyDescent="0.35">
      <c r="A2" s="192" t="s">
        <v>207</v>
      </c>
      <c r="B2" s="83"/>
      <c r="C2" s="83"/>
      <c r="D2" s="83"/>
      <c r="E2" s="83"/>
      <c r="F2" s="83"/>
      <c r="G2" s="83"/>
      <c r="H2" s="83"/>
      <c r="I2" s="187"/>
      <c r="J2" s="187"/>
      <c r="K2" s="83"/>
      <c r="L2" s="83"/>
      <c r="M2" s="83"/>
      <c r="N2" s="83"/>
      <c r="O2" s="83"/>
      <c r="P2" s="83"/>
      <c r="Q2" s="83"/>
      <c r="R2" s="187"/>
      <c r="S2" s="187"/>
      <c r="T2" s="83"/>
      <c r="U2" s="83"/>
      <c r="V2" s="83"/>
      <c r="W2" s="83"/>
      <c r="X2" s="83"/>
      <c r="Y2" s="83"/>
      <c r="Z2" s="83"/>
      <c r="AA2" s="187"/>
      <c r="AB2" s="187"/>
    </row>
    <row r="3" spans="1:28" ht="14.4" customHeight="1" thickBot="1" x14ac:dyDescent="0.35">
      <c r="A3" s="180" t="s">
        <v>98</v>
      </c>
      <c r="B3" s="181">
        <f>SUBTOTAL(9,B6:B1048576)/4</f>
        <v>4082938.0199999996</v>
      </c>
      <c r="C3" s="182">
        <f t="shared" ref="C3:Z3" si="0">SUBTOTAL(9,C6:C1048576)</f>
        <v>4</v>
      </c>
      <c r="D3" s="182"/>
      <c r="E3" s="182">
        <f>SUBTOTAL(9,E6:E1048576)/4</f>
        <v>4703999.6500000004</v>
      </c>
      <c r="F3" s="182"/>
      <c r="G3" s="182">
        <f t="shared" si="0"/>
        <v>4</v>
      </c>
      <c r="H3" s="182">
        <f>SUBTOTAL(9,H6:H1048576)/4</f>
        <v>4824919.3599999994</v>
      </c>
      <c r="I3" s="185">
        <f>IF(B3&lt;&gt;0,H3/B3,"")</f>
        <v>1.1817273091987812</v>
      </c>
      <c r="J3" s="183">
        <f>IF(E3&lt;&gt;0,H3/E3,"")</f>
        <v>1.0257057225758932</v>
      </c>
      <c r="K3" s="184">
        <f t="shared" si="0"/>
        <v>0</v>
      </c>
      <c r="L3" s="184"/>
      <c r="M3" s="182">
        <f t="shared" si="0"/>
        <v>0</v>
      </c>
      <c r="N3" s="182">
        <f t="shared" si="0"/>
        <v>0</v>
      </c>
      <c r="O3" s="182"/>
      <c r="P3" s="182">
        <f t="shared" si="0"/>
        <v>0</v>
      </c>
      <c r="Q3" s="182">
        <f t="shared" si="0"/>
        <v>0</v>
      </c>
      <c r="R3" s="185" t="str">
        <f>IF(K3&lt;&gt;0,Q3/K3,"")</f>
        <v/>
      </c>
      <c r="S3" s="185" t="str">
        <f>IF(N3&lt;&gt;0,Q3/N3,"")</f>
        <v/>
      </c>
      <c r="T3" s="181">
        <f t="shared" si="0"/>
        <v>0</v>
      </c>
      <c r="U3" s="184"/>
      <c r="V3" s="182">
        <f t="shared" si="0"/>
        <v>0</v>
      </c>
      <c r="W3" s="182">
        <f t="shared" si="0"/>
        <v>0</v>
      </c>
      <c r="X3" s="182"/>
      <c r="Y3" s="182">
        <f t="shared" si="0"/>
        <v>0</v>
      </c>
      <c r="Z3" s="182">
        <f t="shared" si="0"/>
        <v>0</v>
      </c>
      <c r="AA3" s="185" t="str">
        <f>IF(T3&lt;&gt;0,Z3/T3,"")</f>
        <v/>
      </c>
      <c r="AB3" s="183" t="str">
        <f>IF(W3&lt;&gt;0,Z3/W3,"")</f>
        <v/>
      </c>
    </row>
    <row r="4" spans="1:28" ht="14.4" customHeight="1" x14ac:dyDescent="0.3">
      <c r="A4" s="348" t="s">
        <v>147</v>
      </c>
      <c r="B4" s="349" t="s">
        <v>74</v>
      </c>
      <c r="C4" s="350"/>
      <c r="D4" s="351"/>
      <c r="E4" s="350"/>
      <c r="F4" s="351"/>
      <c r="G4" s="350"/>
      <c r="H4" s="350"/>
      <c r="I4" s="351"/>
      <c r="J4" s="352"/>
      <c r="K4" s="349" t="s">
        <v>75</v>
      </c>
      <c r="L4" s="351"/>
      <c r="M4" s="350"/>
      <c r="N4" s="350"/>
      <c r="O4" s="351"/>
      <c r="P4" s="350"/>
      <c r="Q4" s="350"/>
      <c r="R4" s="351"/>
      <c r="S4" s="352"/>
      <c r="T4" s="349" t="s">
        <v>76</v>
      </c>
      <c r="U4" s="351"/>
      <c r="V4" s="350"/>
      <c r="W4" s="350"/>
      <c r="X4" s="351"/>
      <c r="Y4" s="350"/>
      <c r="Z4" s="350"/>
      <c r="AA4" s="351"/>
      <c r="AB4" s="352"/>
    </row>
    <row r="5" spans="1:28" ht="14.4" customHeight="1" thickBot="1" x14ac:dyDescent="0.35">
      <c r="A5" s="401"/>
      <c r="B5" s="402">
        <v>2015</v>
      </c>
      <c r="C5" s="403"/>
      <c r="D5" s="403"/>
      <c r="E5" s="403">
        <v>2016</v>
      </c>
      <c r="F5" s="403"/>
      <c r="G5" s="403"/>
      <c r="H5" s="403">
        <v>2017</v>
      </c>
      <c r="I5" s="404" t="s">
        <v>169</v>
      </c>
      <c r="J5" s="405" t="s">
        <v>2</v>
      </c>
      <c r="K5" s="402">
        <v>2015</v>
      </c>
      <c r="L5" s="403"/>
      <c r="M5" s="403"/>
      <c r="N5" s="403">
        <v>2016</v>
      </c>
      <c r="O5" s="403"/>
      <c r="P5" s="403"/>
      <c r="Q5" s="403">
        <v>2017</v>
      </c>
      <c r="R5" s="404" t="s">
        <v>169</v>
      </c>
      <c r="S5" s="405" t="s">
        <v>2</v>
      </c>
      <c r="T5" s="402">
        <v>2015</v>
      </c>
      <c r="U5" s="403"/>
      <c r="V5" s="403"/>
      <c r="W5" s="403">
        <v>2016</v>
      </c>
      <c r="X5" s="403"/>
      <c r="Y5" s="403"/>
      <c r="Z5" s="403">
        <v>2017</v>
      </c>
      <c r="AA5" s="404" t="s">
        <v>169</v>
      </c>
      <c r="AB5" s="405" t="s">
        <v>2</v>
      </c>
    </row>
    <row r="6" spans="1:28" ht="14.4" customHeight="1" x14ac:dyDescent="0.3">
      <c r="A6" s="406" t="s">
        <v>353</v>
      </c>
      <c r="B6" s="407">
        <v>4082938.0199999996</v>
      </c>
      <c r="C6" s="408">
        <v>1</v>
      </c>
      <c r="D6" s="408">
        <v>0.86797158243836159</v>
      </c>
      <c r="E6" s="407">
        <v>4703999.6500000004</v>
      </c>
      <c r="F6" s="408">
        <v>1.1521114518412408</v>
      </c>
      <c r="G6" s="408">
        <v>1</v>
      </c>
      <c r="H6" s="407">
        <v>4824919.3599999994</v>
      </c>
      <c r="I6" s="408">
        <v>1.1817273091987812</v>
      </c>
      <c r="J6" s="408">
        <v>1.0257057225758932</v>
      </c>
      <c r="K6" s="407"/>
      <c r="L6" s="408"/>
      <c r="M6" s="408"/>
      <c r="N6" s="407"/>
      <c r="O6" s="408"/>
      <c r="P6" s="408"/>
      <c r="Q6" s="407"/>
      <c r="R6" s="408"/>
      <c r="S6" s="408"/>
      <c r="T6" s="407"/>
      <c r="U6" s="408"/>
      <c r="V6" s="408"/>
      <c r="W6" s="407"/>
      <c r="X6" s="408"/>
      <c r="Y6" s="408"/>
      <c r="Z6" s="407"/>
      <c r="AA6" s="408"/>
      <c r="AB6" s="409"/>
    </row>
    <row r="7" spans="1:28" ht="14.4" customHeight="1" thickBot="1" x14ac:dyDescent="0.35">
      <c r="A7" s="413" t="s">
        <v>354</v>
      </c>
      <c r="B7" s="410">
        <v>4082938.0199999996</v>
      </c>
      <c r="C7" s="411">
        <v>1</v>
      </c>
      <c r="D7" s="411">
        <v>0.86797158243836159</v>
      </c>
      <c r="E7" s="410">
        <v>4703999.6500000004</v>
      </c>
      <c r="F7" s="411">
        <v>1.1521114518412408</v>
      </c>
      <c r="G7" s="411">
        <v>1</v>
      </c>
      <c r="H7" s="410">
        <v>4824919.3599999994</v>
      </c>
      <c r="I7" s="411">
        <v>1.1817273091987812</v>
      </c>
      <c r="J7" s="411">
        <v>1.0257057225758932</v>
      </c>
      <c r="K7" s="410"/>
      <c r="L7" s="411"/>
      <c r="M7" s="411"/>
      <c r="N7" s="410"/>
      <c r="O7" s="411"/>
      <c r="P7" s="411"/>
      <c r="Q7" s="410"/>
      <c r="R7" s="411"/>
      <c r="S7" s="411"/>
      <c r="T7" s="410"/>
      <c r="U7" s="411"/>
      <c r="V7" s="411"/>
      <c r="W7" s="410"/>
      <c r="X7" s="411"/>
      <c r="Y7" s="411"/>
      <c r="Z7" s="410"/>
      <c r="AA7" s="411"/>
      <c r="AB7" s="412"/>
    </row>
    <row r="8" spans="1:28" ht="14.4" customHeight="1" thickBot="1" x14ac:dyDescent="0.35"/>
    <row r="9" spans="1:28" ht="14.4" customHeight="1" x14ac:dyDescent="0.3">
      <c r="A9" s="406" t="s">
        <v>327</v>
      </c>
      <c r="B9" s="407">
        <v>4082938.0199999991</v>
      </c>
      <c r="C9" s="408">
        <v>1</v>
      </c>
      <c r="D9" s="408">
        <v>0.86797158243836148</v>
      </c>
      <c r="E9" s="407">
        <v>4703999.6500000004</v>
      </c>
      <c r="F9" s="408">
        <v>1.152111451841241</v>
      </c>
      <c r="G9" s="408">
        <v>1</v>
      </c>
      <c r="H9" s="407">
        <v>4824919.3599999994</v>
      </c>
      <c r="I9" s="408">
        <v>1.1817273091987814</v>
      </c>
      <c r="J9" s="409">
        <v>1.0257057225758932</v>
      </c>
    </row>
    <row r="10" spans="1:28" ht="14.4" customHeight="1" thickBot="1" x14ac:dyDescent="0.35">
      <c r="A10" s="413" t="s">
        <v>356</v>
      </c>
      <c r="B10" s="410">
        <v>4082938.0199999991</v>
      </c>
      <c r="C10" s="411">
        <v>1</v>
      </c>
      <c r="D10" s="411">
        <v>0.86797158243836148</v>
      </c>
      <c r="E10" s="410">
        <v>4703999.6500000004</v>
      </c>
      <c r="F10" s="411">
        <v>1.152111451841241</v>
      </c>
      <c r="G10" s="411">
        <v>1</v>
      </c>
      <c r="H10" s="410">
        <v>4824919.3599999994</v>
      </c>
      <c r="I10" s="411">
        <v>1.1817273091987814</v>
      </c>
      <c r="J10" s="412">
        <v>1.0257057225758932</v>
      </c>
    </row>
    <row r="11" spans="1:28" ht="14.4" customHeight="1" x14ac:dyDescent="0.3">
      <c r="A11" s="414" t="s">
        <v>206</v>
      </c>
    </row>
    <row r="12" spans="1:28" ht="14.4" customHeight="1" x14ac:dyDescent="0.3">
      <c r="A12" s="415" t="s">
        <v>357</v>
      </c>
    </row>
    <row r="13" spans="1:28" ht="14.4" customHeight="1" x14ac:dyDescent="0.3">
      <c r="A13" s="414" t="s">
        <v>358</v>
      </c>
    </row>
    <row r="14" spans="1:28" ht="14.4" customHeight="1" x14ac:dyDescent="0.3">
      <c r="A14" s="414" t="s">
        <v>359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7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01" bestFit="1" customWidth="1"/>
    <col min="2" max="2" width="7.77734375" style="176" hidden="1" customWidth="1" outlineLevel="1"/>
    <col min="3" max="3" width="7.77734375" style="176" customWidth="1" collapsed="1"/>
    <col min="4" max="4" width="7.77734375" style="176" customWidth="1"/>
    <col min="5" max="5" width="7.77734375" style="78" hidden="1" customWidth="1" outlineLevel="1"/>
    <col min="6" max="6" width="7.77734375" style="78" customWidth="1" collapsed="1"/>
    <col min="7" max="7" width="7.77734375" style="78" customWidth="1"/>
    <col min="8" max="16384" width="8.88671875" style="101"/>
  </cols>
  <sheetData>
    <row r="1" spans="1:7" ht="18.600000000000001" customHeight="1" thickBot="1" x14ac:dyDescent="0.4">
      <c r="A1" s="347" t="s">
        <v>379</v>
      </c>
      <c r="B1" s="275"/>
      <c r="C1" s="275"/>
      <c r="D1" s="275"/>
      <c r="E1" s="275"/>
      <c r="F1" s="275"/>
      <c r="G1" s="275"/>
    </row>
    <row r="2" spans="1:7" ht="14.4" customHeight="1" thickBot="1" x14ac:dyDescent="0.35">
      <c r="A2" s="192" t="s">
        <v>207</v>
      </c>
      <c r="B2" s="83"/>
      <c r="C2" s="83"/>
      <c r="D2" s="83"/>
      <c r="E2" s="83"/>
      <c r="F2" s="83"/>
      <c r="G2" s="83"/>
    </row>
    <row r="3" spans="1:7" ht="14.4" customHeight="1" thickBot="1" x14ac:dyDescent="0.35">
      <c r="A3" s="221" t="s">
        <v>98</v>
      </c>
      <c r="B3" s="207">
        <f t="shared" ref="B3:G3" si="0">SUBTOTAL(9,B6:B1048576)</f>
        <v>11093</v>
      </c>
      <c r="C3" s="208">
        <f t="shared" si="0"/>
        <v>12599</v>
      </c>
      <c r="D3" s="220">
        <f t="shared" si="0"/>
        <v>13034</v>
      </c>
      <c r="E3" s="184">
        <f t="shared" si="0"/>
        <v>4082938.02</v>
      </c>
      <c r="F3" s="182">
        <f t="shared" si="0"/>
        <v>4703999.6500000004</v>
      </c>
      <c r="G3" s="209">
        <f t="shared" si="0"/>
        <v>4824919.3600000003</v>
      </c>
    </row>
    <row r="4" spans="1:7" ht="14.4" customHeight="1" x14ac:dyDescent="0.3">
      <c r="A4" s="348" t="s">
        <v>99</v>
      </c>
      <c r="B4" s="353" t="s">
        <v>145</v>
      </c>
      <c r="C4" s="351"/>
      <c r="D4" s="354"/>
      <c r="E4" s="353" t="s">
        <v>74</v>
      </c>
      <c r="F4" s="351"/>
      <c r="G4" s="354"/>
    </row>
    <row r="5" spans="1:7" ht="14.4" customHeight="1" thickBot="1" x14ac:dyDescent="0.35">
      <c r="A5" s="401"/>
      <c r="B5" s="402">
        <v>2015</v>
      </c>
      <c r="C5" s="403">
        <v>2016</v>
      </c>
      <c r="D5" s="416">
        <v>2017</v>
      </c>
      <c r="E5" s="402">
        <v>2015</v>
      </c>
      <c r="F5" s="403">
        <v>2016</v>
      </c>
      <c r="G5" s="416">
        <v>2017</v>
      </c>
    </row>
    <row r="6" spans="1:7" ht="14.4" customHeight="1" x14ac:dyDescent="0.3">
      <c r="A6" s="429" t="s">
        <v>360</v>
      </c>
      <c r="B6" s="418">
        <v>645</v>
      </c>
      <c r="C6" s="418">
        <v>511</v>
      </c>
      <c r="D6" s="418">
        <v>509</v>
      </c>
      <c r="E6" s="419">
        <v>224769</v>
      </c>
      <c r="F6" s="419">
        <v>193199.33000000002</v>
      </c>
      <c r="G6" s="420">
        <v>200633</v>
      </c>
    </row>
    <row r="7" spans="1:7" ht="14.4" customHeight="1" x14ac:dyDescent="0.3">
      <c r="A7" s="430" t="s">
        <v>361</v>
      </c>
      <c r="B7" s="422">
        <v>512</v>
      </c>
      <c r="C7" s="422">
        <v>855</v>
      </c>
      <c r="D7" s="422">
        <v>1194</v>
      </c>
      <c r="E7" s="423">
        <v>174296</v>
      </c>
      <c r="F7" s="423">
        <v>296318.99</v>
      </c>
      <c r="G7" s="424">
        <v>412591.66</v>
      </c>
    </row>
    <row r="8" spans="1:7" ht="14.4" customHeight="1" x14ac:dyDescent="0.3">
      <c r="A8" s="430" t="s">
        <v>362</v>
      </c>
      <c r="B8" s="422"/>
      <c r="C8" s="422"/>
      <c r="D8" s="422">
        <v>1214</v>
      </c>
      <c r="E8" s="423"/>
      <c r="F8" s="423"/>
      <c r="G8" s="424">
        <v>477223</v>
      </c>
    </row>
    <row r="9" spans="1:7" ht="14.4" customHeight="1" x14ac:dyDescent="0.3">
      <c r="A9" s="430" t="s">
        <v>363</v>
      </c>
      <c r="B9" s="422">
        <v>1441</v>
      </c>
      <c r="C9" s="422">
        <v>1278</v>
      </c>
      <c r="D9" s="422"/>
      <c r="E9" s="423">
        <v>558706</v>
      </c>
      <c r="F9" s="423">
        <v>536386</v>
      </c>
      <c r="G9" s="424"/>
    </row>
    <row r="10" spans="1:7" ht="14.4" customHeight="1" x14ac:dyDescent="0.3">
      <c r="A10" s="430" t="s">
        <v>364</v>
      </c>
      <c r="B10" s="422">
        <v>1063</v>
      </c>
      <c r="C10" s="422">
        <v>331</v>
      </c>
      <c r="D10" s="422"/>
      <c r="E10" s="423">
        <v>479425</v>
      </c>
      <c r="F10" s="423">
        <v>157457</v>
      </c>
      <c r="G10" s="424"/>
    </row>
    <row r="11" spans="1:7" ht="14.4" customHeight="1" x14ac:dyDescent="0.3">
      <c r="A11" s="430" t="s">
        <v>365</v>
      </c>
      <c r="B11" s="422">
        <v>1429</v>
      </c>
      <c r="C11" s="422">
        <v>1742</v>
      </c>
      <c r="D11" s="422">
        <v>1798</v>
      </c>
      <c r="E11" s="423">
        <v>488933.66</v>
      </c>
      <c r="F11" s="423">
        <v>619485.97000000009</v>
      </c>
      <c r="G11" s="424">
        <v>641757.64999999991</v>
      </c>
    </row>
    <row r="12" spans="1:7" ht="14.4" customHeight="1" x14ac:dyDescent="0.3">
      <c r="A12" s="430" t="s">
        <v>366</v>
      </c>
      <c r="B12" s="422"/>
      <c r="C12" s="422"/>
      <c r="D12" s="422">
        <v>33</v>
      </c>
      <c r="E12" s="423"/>
      <c r="F12" s="423"/>
      <c r="G12" s="424">
        <v>11451</v>
      </c>
    </row>
    <row r="13" spans="1:7" ht="14.4" customHeight="1" x14ac:dyDescent="0.3">
      <c r="A13" s="430" t="s">
        <v>367</v>
      </c>
      <c r="B13" s="422"/>
      <c r="C13" s="422">
        <v>126</v>
      </c>
      <c r="D13" s="422"/>
      <c r="E13" s="423"/>
      <c r="F13" s="423">
        <v>55346</v>
      </c>
      <c r="G13" s="424"/>
    </row>
    <row r="14" spans="1:7" ht="14.4" customHeight="1" x14ac:dyDescent="0.3">
      <c r="A14" s="430" t="s">
        <v>368</v>
      </c>
      <c r="B14" s="422">
        <v>1518</v>
      </c>
      <c r="C14" s="422">
        <v>1524</v>
      </c>
      <c r="D14" s="422">
        <v>1300</v>
      </c>
      <c r="E14" s="423">
        <v>533978</v>
      </c>
      <c r="F14" s="423">
        <v>583173</v>
      </c>
      <c r="G14" s="424">
        <v>528944</v>
      </c>
    </row>
    <row r="15" spans="1:7" ht="14.4" customHeight="1" x14ac:dyDescent="0.3">
      <c r="A15" s="430" t="s">
        <v>369</v>
      </c>
      <c r="B15" s="422">
        <v>632</v>
      </c>
      <c r="C15" s="422">
        <v>704</v>
      </c>
      <c r="D15" s="422">
        <v>673</v>
      </c>
      <c r="E15" s="423">
        <v>224002.99</v>
      </c>
      <c r="F15" s="423">
        <v>251063.96999999997</v>
      </c>
      <c r="G15" s="424">
        <v>234149.33000000002</v>
      </c>
    </row>
    <row r="16" spans="1:7" ht="14.4" customHeight="1" x14ac:dyDescent="0.3">
      <c r="A16" s="430" t="s">
        <v>370</v>
      </c>
      <c r="B16" s="422">
        <v>589</v>
      </c>
      <c r="C16" s="422">
        <v>682</v>
      </c>
      <c r="D16" s="422">
        <v>418</v>
      </c>
      <c r="E16" s="423">
        <v>193909.34000000005</v>
      </c>
      <c r="F16" s="423">
        <v>234436.02</v>
      </c>
      <c r="G16" s="424">
        <v>147663.68000000002</v>
      </c>
    </row>
    <row r="17" spans="1:7" ht="14.4" customHeight="1" x14ac:dyDescent="0.3">
      <c r="A17" s="430" t="s">
        <v>371</v>
      </c>
      <c r="B17" s="422">
        <v>375</v>
      </c>
      <c r="C17" s="422"/>
      <c r="D17" s="422"/>
      <c r="E17" s="423">
        <v>120113</v>
      </c>
      <c r="F17" s="423"/>
      <c r="G17" s="424"/>
    </row>
    <row r="18" spans="1:7" ht="14.4" customHeight="1" x14ac:dyDescent="0.3">
      <c r="A18" s="430" t="s">
        <v>372</v>
      </c>
      <c r="B18" s="422">
        <v>391</v>
      </c>
      <c r="C18" s="422">
        <v>1458</v>
      </c>
      <c r="D18" s="422">
        <v>1358</v>
      </c>
      <c r="E18" s="423">
        <v>121262.01</v>
      </c>
      <c r="F18" s="423">
        <v>457062</v>
      </c>
      <c r="G18" s="424">
        <v>433319.31000000006</v>
      </c>
    </row>
    <row r="19" spans="1:7" ht="14.4" customHeight="1" x14ac:dyDescent="0.3">
      <c r="A19" s="430" t="s">
        <v>373</v>
      </c>
      <c r="B19" s="422">
        <v>154</v>
      </c>
      <c r="C19" s="422">
        <v>202</v>
      </c>
      <c r="D19" s="422">
        <v>304</v>
      </c>
      <c r="E19" s="423">
        <v>49742</v>
      </c>
      <c r="F19" s="423">
        <v>69892</v>
      </c>
      <c r="G19" s="424">
        <v>107190.67</v>
      </c>
    </row>
    <row r="20" spans="1:7" ht="14.4" customHeight="1" x14ac:dyDescent="0.3">
      <c r="A20" s="430" t="s">
        <v>374</v>
      </c>
      <c r="B20" s="422">
        <v>1176</v>
      </c>
      <c r="C20" s="422">
        <v>1368</v>
      </c>
      <c r="D20" s="422">
        <v>1292</v>
      </c>
      <c r="E20" s="423">
        <v>454846.34000000008</v>
      </c>
      <c r="F20" s="423">
        <v>526448.70000000007</v>
      </c>
      <c r="G20" s="424">
        <v>488494.0399999998</v>
      </c>
    </row>
    <row r="21" spans="1:7" ht="14.4" customHeight="1" x14ac:dyDescent="0.3">
      <c r="A21" s="430" t="s">
        <v>375</v>
      </c>
      <c r="B21" s="422">
        <v>740</v>
      </c>
      <c r="C21" s="422">
        <v>1332</v>
      </c>
      <c r="D21" s="422">
        <v>1527</v>
      </c>
      <c r="E21" s="423">
        <v>290940.01000000007</v>
      </c>
      <c r="F21" s="423">
        <v>513514.67000000004</v>
      </c>
      <c r="G21" s="424">
        <v>572184.02000000014</v>
      </c>
    </row>
    <row r="22" spans="1:7" ht="14.4" customHeight="1" x14ac:dyDescent="0.3">
      <c r="A22" s="430" t="s">
        <v>376</v>
      </c>
      <c r="B22" s="422">
        <v>132</v>
      </c>
      <c r="C22" s="422"/>
      <c r="D22" s="422"/>
      <c r="E22" s="423">
        <v>42859</v>
      </c>
      <c r="F22" s="423"/>
      <c r="G22" s="424"/>
    </row>
    <row r="23" spans="1:7" ht="14.4" customHeight="1" x14ac:dyDescent="0.3">
      <c r="A23" s="430" t="s">
        <v>377</v>
      </c>
      <c r="B23" s="422">
        <v>296</v>
      </c>
      <c r="C23" s="422">
        <v>486</v>
      </c>
      <c r="D23" s="422">
        <v>462</v>
      </c>
      <c r="E23" s="423">
        <v>125155.67</v>
      </c>
      <c r="F23" s="423">
        <v>210215.99999999997</v>
      </c>
      <c r="G23" s="424">
        <v>190370.00000000003</v>
      </c>
    </row>
    <row r="24" spans="1:7" ht="14.4" customHeight="1" thickBot="1" x14ac:dyDescent="0.35">
      <c r="A24" s="431" t="s">
        <v>378</v>
      </c>
      <c r="B24" s="426"/>
      <c r="C24" s="426"/>
      <c r="D24" s="426">
        <v>952</v>
      </c>
      <c r="E24" s="427"/>
      <c r="F24" s="427"/>
      <c r="G24" s="428">
        <v>378948</v>
      </c>
    </row>
    <row r="25" spans="1:7" ht="14.4" customHeight="1" x14ac:dyDescent="0.3">
      <c r="A25" s="414" t="s">
        <v>206</v>
      </c>
    </row>
    <row r="26" spans="1:7" ht="14.4" customHeight="1" x14ac:dyDescent="0.3">
      <c r="A26" s="415" t="s">
        <v>357</v>
      </c>
    </row>
    <row r="27" spans="1:7" ht="14.4" customHeight="1" x14ac:dyDescent="0.3">
      <c r="A27" s="414" t="s">
        <v>358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18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01" customWidth="1"/>
    <col min="2" max="2" width="8.6640625" style="101" bestFit="1" customWidth="1"/>
    <col min="3" max="3" width="6.109375" style="101" customWidth="1"/>
    <col min="4" max="4" width="2.109375" style="101" bestFit="1" customWidth="1"/>
    <col min="5" max="5" width="8" style="101" customWidth="1"/>
    <col min="6" max="6" width="50.88671875" style="101" bestFit="1" customWidth="1" collapsed="1"/>
    <col min="7" max="8" width="11.109375" style="176" hidden="1" customWidth="1" outlineLevel="1"/>
    <col min="9" max="10" width="9.33203125" style="101" hidden="1" customWidth="1"/>
    <col min="11" max="12" width="11.109375" style="176" customWidth="1"/>
    <col min="13" max="14" width="9.33203125" style="101" hidden="1" customWidth="1"/>
    <col min="15" max="16" width="11.109375" style="176" customWidth="1"/>
    <col min="17" max="17" width="11.109375" style="179" customWidth="1"/>
    <col min="18" max="18" width="11.109375" style="176" customWidth="1"/>
    <col min="19" max="16384" width="8.88671875" style="101"/>
  </cols>
  <sheetData>
    <row r="1" spans="1:18" ht="18.600000000000001" customHeight="1" thickBot="1" x14ac:dyDescent="0.4">
      <c r="A1" s="275" t="s">
        <v>409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</row>
    <row r="2" spans="1:18" ht="14.4" customHeight="1" thickBot="1" x14ac:dyDescent="0.35">
      <c r="A2" s="192" t="s">
        <v>207</v>
      </c>
      <c r="B2" s="166"/>
      <c r="C2" s="166"/>
      <c r="D2" s="83"/>
      <c r="E2" s="83"/>
      <c r="F2" s="83"/>
      <c r="G2" s="190"/>
      <c r="H2" s="190"/>
      <c r="I2" s="83"/>
      <c r="J2" s="83"/>
      <c r="K2" s="190"/>
      <c r="L2" s="190"/>
      <c r="M2" s="83"/>
      <c r="N2" s="83"/>
      <c r="O2" s="190"/>
      <c r="P2" s="190"/>
      <c r="Q2" s="187"/>
      <c r="R2" s="190"/>
    </row>
    <row r="3" spans="1:18" ht="14.4" customHeight="1" thickBot="1" x14ac:dyDescent="0.35">
      <c r="F3" s="62" t="s">
        <v>98</v>
      </c>
      <c r="G3" s="74">
        <f t="shared" ref="G3:P3" si="0">SUBTOTAL(9,G6:G1048576)</f>
        <v>11093</v>
      </c>
      <c r="H3" s="75">
        <f t="shared" si="0"/>
        <v>4082938.02</v>
      </c>
      <c r="I3" s="57"/>
      <c r="J3" s="57"/>
      <c r="K3" s="75">
        <f t="shared" si="0"/>
        <v>12599</v>
      </c>
      <c r="L3" s="75">
        <f t="shared" si="0"/>
        <v>4703999.6500000004</v>
      </c>
      <c r="M3" s="57"/>
      <c r="N3" s="57"/>
      <c r="O3" s="75">
        <f t="shared" si="0"/>
        <v>13034</v>
      </c>
      <c r="P3" s="75">
        <f t="shared" si="0"/>
        <v>4824919.3599999994</v>
      </c>
      <c r="Q3" s="58">
        <f>IF(L3=0,0,P3/L3)</f>
        <v>1.0257057225758932</v>
      </c>
      <c r="R3" s="76">
        <f>IF(O3=0,0,P3/O3)</f>
        <v>370.1794813564523</v>
      </c>
    </row>
    <row r="4" spans="1:18" ht="14.4" customHeight="1" x14ac:dyDescent="0.3">
      <c r="A4" s="355" t="s">
        <v>170</v>
      </c>
      <c r="B4" s="355" t="s">
        <v>70</v>
      </c>
      <c r="C4" s="363" t="s">
        <v>0</v>
      </c>
      <c r="D4" s="357" t="s">
        <v>71</v>
      </c>
      <c r="E4" s="362" t="s">
        <v>46</v>
      </c>
      <c r="F4" s="358" t="s">
        <v>45</v>
      </c>
      <c r="G4" s="359">
        <v>2015</v>
      </c>
      <c r="H4" s="360"/>
      <c r="I4" s="73"/>
      <c r="J4" s="73"/>
      <c r="K4" s="359">
        <v>2016</v>
      </c>
      <c r="L4" s="360"/>
      <c r="M4" s="73"/>
      <c r="N4" s="73"/>
      <c r="O4" s="359">
        <v>2017</v>
      </c>
      <c r="P4" s="360"/>
      <c r="Q4" s="361" t="s">
        <v>2</v>
      </c>
      <c r="R4" s="356" t="s">
        <v>73</v>
      </c>
    </row>
    <row r="5" spans="1:18" ht="14.4" customHeight="1" thickBot="1" x14ac:dyDescent="0.35">
      <c r="A5" s="432"/>
      <c r="B5" s="432"/>
      <c r="C5" s="433"/>
      <c r="D5" s="434"/>
      <c r="E5" s="435"/>
      <c r="F5" s="436"/>
      <c r="G5" s="437" t="s">
        <v>47</v>
      </c>
      <c r="H5" s="438" t="s">
        <v>4</v>
      </c>
      <c r="I5" s="439"/>
      <c r="J5" s="439"/>
      <c r="K5" s="437" t="s">
        <v>47</v>
      </c>
      <c r="L5" s="438" t="s">
        <v>4</v>
      </c>
      <c r="M5" s="439"/>
      <c r="N5" s="439"/>
      <c r="O5" s="437" t="s">
        <v>47</v>
      </c>
      <c r="P5" s="438" t="s">
        <v>4</v>
      </c>
      <c r="Q5" s="440"/>
      <c r="R5" s="441"/>
    </row>
    <row r="6" spans="1:18" ht="14.4" customHeight="1" x14ac:dyDescent="0.3">
      <c r="A6" s="417" t="s">
        <v>380</v>
      </c>
      <c r="B6" s="442" t="s">
        <v>381</v>
      </c>
      <c r="C6" s="442" t="s">
        <v>327</v>
      </c>
      <c r="D6" s="442" t="s">
        <v>382</v>
      </c>
      <c r="E6" s="442" t="s">
        <v>383</v>
      </c>
      <c r="F6" s="442" t="s">
        <v>384</v>
      </c>
      <c r="G6" s="418">
        <v>100</v>
      </c>
      <c r="H6" s="418">
        <v>7000</v>
      </c>
      <c r="I6" s="442">
        <v>0.37389167823950431</v>
      </c>
      <c r="J6" s="442">
        <v>70</v>
      </c>
      <c r="K6" s="418">
        <v>253</v>
      </c>
      <c r="L6" s="418">
        <v>18722</v>
      </c>
      <c r="M6" s="442">
        <v>1</v>
      </c>
      <c r="N6" s="442">
        <v>74</v>
      </c>
      <c r="O6" s="418">
        <v>239</v>
      </c>
      <c r="P6" s="418">
        <v>17686</v>
      </c>
      <c r="Q6" s="443">
        <v>0.94466403162055335</v>
      </c>
      <c r="R6" s="444">
        <v>74</v>
      </c>
    </row>
    <row r="7" spans="1:18" ht="14.4" customHeight="1" x14ac:dyDescent="0.3">
      <c r="A7" s="421" t="s">
        <v>380</v>
      </c>
      <c r="B7" s="445" t="s">
        <v>381</v>
      </c>
      <c r="C7" s="445" t="s">
        <v>327</v>
      </c>
      <c r="D7" s="445" t="s">
        <v>382</v>
      </c>
      <c r="E7" s="445" t="s">
        <v>385</v>
      </c>
      <c r="F7" s="445" t="s">
        <v>386</v>
      </c>
      <c r="G7" s="422">
        <v>6394</v>
      </c>
      <c r="H7" s="422">
        <v>2065262</v>
      </c>
      <c r="I7" s="445">
        <v>0.7134790004684527</v>
      </c>
      <c r="J7" s="445">
        <v>323</v>
      </c>
      <c r="K7" s="422">
        <v>8366</v>
      </c>
      <c r="L7" s="422">
        <v>2894636</v>
      </c>
      <c r="M7" s="445">
        <v>1</v>
      </c>
      <c r="N7" s="445">
        <v>346</v>
      </c>
      <c r="O7" s="422">
        <v>9036</v>
      </c>
      <c r="P7" s="422">
        <v>3135492</v>
      </c>
      <c r="Q7" s="446">
        <v>1.0832076986536476</v>
      </c>
      <c r="R7" s="447">
        <v>347</v>
      </c>
    </row>
    <row r="8" spans="1:18" ht="14.4" customHeight="1" x14ac:dyDescent="0.3">
      <c r="A8" s="421" t="s">
        <v>380</v>
      </c>
      <c r="B8" s="445" t="s">
        <v>381</v>
      </c>
      <c r="C8" s="445" t="s">
        <v>327</v>
      </c>
      <c r="D8" s="445" t="s">
        <v>382</v>
      </c>
      <c r="E8" s="445" t="s">
        <v>387</v>
      </c>
      <c r="F8" s="445" t="s">
        <v>388</v>
      </c>
      <c r="G8" s="422">
        <v>92</v>
      </c>
      <c r="H8" s="422">
        <v>19780</v>
      </c>
      <c r="I8" s="445"/>
      <c r="J8" s="445">
        <v>215</v>
      </c>
      <c r="K8" s="422"/>
      <c r="L8" s="422"/>
      <c r="M8" s="445"/>
      <c r="N8" s="445"/>
      <c r="O8" s="422"/>
      <c r="P8" s="422"/>
      <c r="Q8" s="446"/>
      <c r="R8" s="447"/>
    </row>
    <row r="9" spans="1:18" ht="14.4" customHeight="1" x14ac:dyDescent="0.3">
      <c r="A9" s="421" t="s">
        <v>380</v>
      </c>
      <c r="B9" s="445" t="s">
        <v>381</v>
      </c>
      <c r="C9" s="445" t="s">
        <v>327</v>
      </c>
      <c r="D9" s="445" t="s">
        <v>382</v>
      </c>
      <c r="E9" s="445" t="s">
        <v>389</v>
      </c>
      <c r="F9" s="445" t="s">
        <v>390</v>
      </c>
      <c r="G9" s="422">
        <v>1207</v>
      </c>
      <c r="H9" s="422">
        <v>389861</v>
      </c>
      <c r="I9" s="445">
        <v>1.0178553712319396</v>
      </c>
      <c r="J9" s="445">
        <v>323</v>
      </c>
      <c r="K9" s="422">
        <v>1107</v>
      </c>
      <c r="L9" s="422">
        <v>383022</v>
      </c>
      <c r="M9" s="445">
        <v>1</v>
      </c>
      <c r="N9" s="445">
        <v>346</v>
      </c>
      <c r="O9" s="422">
        <v>1331</v>
      </c>
      <c r="P9" s="422">
        <v>461857</v>
      </c>
      <c r="Q9" s="446">
        <v>1.2058236863678848</v>
      </c>
      <c r="R9" s="447">
        <v>347</v>
      </c>
    </row>
    <row r="10" spans="1:18" ht="14.4" customHeight="1" x14ac:dyDescent="0.3">
      <c r="A10" s="421" t="s">
        <v>380</v>
      </c>
      <c r="B10" s="445" t="s">
        <v>381</v>
      </c>
      <c r="C10" s="445" t="s">
        <v>327</v>
      </c>
      <c r="D10" s="445" t="s">
        <v>382</v>
      </c>
      <c r="E10" s="445" t="s">
        <v>391</v>
      </c>
      <c r="F10" s="445" t="s">
        <v>392</v>
      </c>
      <c r="G10" s="422">
        <v>434</v>
      </c>
      <c r="H10" s="422">
        <v>140182</v>
      </c>
      <c r="I10" s="445">
        <v>2.5164614224679567</v>
      </c>
      <c r="J10" s="445">
        <v>323</v>
      </c>
      <c r="K10" s="422">
        <v>161</v>
      </c>
      <c r="L10" s="422">
        <v>55706</v>
      </c>
      <c r="M10" s="445">
        <v>1</v>
      </c>
      <c r="N10" s="445">
        <v>346</v>
      </c>
      <c r="O10" s="422">
        <v>52</v>
      </c>
      <c r="P10" s="422">
        <v>18044</v>
      </c>
      <c r="Q10" s="446">
        <v>0.32391483861702508</v>
      </c>
      <c r="R10" s="447">
        <v>347</v>
      </c>
    </row>
    <row r="11" spans="1:18" ht="14.4" customHeight="1" x14ac:dyDescent="0.3">
      <c r="A11" s="421" t="s">
        <v>380</v>
      </c>
      <c r="B11" s="445" t="s">
        <v>381</v>
      </c>
      <c r="C11" s="445" t="s">
        <v>327</v>
      </c>
      <c r="D11" s="445" t="s">
        <v>382</v>
      </c>
      <c r="E11" s="445" t="s">
        <v>393</v>
      </c>
      <c r="F11" s="445" t="s">
        <v>394</v>
      </c>
      <c r="G11" s="422">
        <v>201</v>
      </c>
      <c r="H11" s="422">
        <v>6600.02</v>
      </c>
      <c r="I11" s="445">
        <v>0.49010110161027431</v>
      </c>
      <c r="J11" s="445">
        <v>32.835920398009954</v>
      </c>
      <c r="K11" s="422">
        <v>404</v>
      </c>
      <c r="L11" s="422">
        <v>13466.65</v>
      </c>
      <c r="M11" s="445">
        <v>1</v>
      </c>
      <c r="N11" s="445">
        <v>33.333292079207922</v>
      </c>
      <c r="O11" s="422">
        <v>331</v>
      </c>
      <c r="P11" s="422">
        <v>11033.36</v>
      </c>
      <c r="Q11" s="446">
        <v>0.81930992488852095</v>
      </c>
      <c r="R11" s="447">
        <v>33.33341389728097</v>
      </c>
    </row>
    <row r="12" spans="1:18" ht="14.4" customHeight="1" x14ac:dyDescent="0.3">
      <c r="A12" s="421" t="s">
        <v>380</v>
      </c>
      <c r="B12" s="445" t="s">
        <v>381</v>
      </c>
      <c r="C12" s="445" t="s">
        <v>327</v>
      </c>
      <c r="D12" s="445" t="s">
        <v>382</v>
      </c>
      <c r="E12" s="445" t="s">
        <v>395</v>
      </c>
      <c r="F12" s="445" t="s">
        <v>396</v>
      </c>
      <c r="G12" s="422">
        <v>1065</v>
      </c>
      <c r="H12" s="422">
        <v>581490</v>
      </c>
      <c r="I12" s="445">
        <v>0.84891529679698674</v>
      </c>
      <c r="J12" s="445">
        <v>546</v>
      </c>
      <c r="K12" s="422">
        <v>1181</v>
      </c>
      <c r="L12" s="422">
        <v>684980</v>
      </c>
      <c r="M12" s="445">
        <v>1</v>
      </c>
      <c r="N12" s="445">
        <v>580</v>
      </c>
      <c r="O12" s="422">
        <v>958</v>
      </c>
      <c r="P12" s="422">
        <v>555640</v>
      </c>
      <c r="Q12" s="446">
        <v>0.81117696867061817</v>
      </c>
      <c r="R12" s="447">
        <v>580</v>
      </c>
    </row>
    <row r="13" spans="1:18" ht="14.4" customHeight="1" x14ac:dyDescent="0.3">
      <c r="A13" s="421" t="s">
        <v>380</v>
      </c>
      <c r="B13" s="445" t="s">
        <v>381</v>
      </c>
      <c r="C13" s="445" t="s">
        <v>327</v>
      </c>
      <c r="D13" s="445" t="s">
        <v>382</v>
      </c>
      <c r="E13" s="445" t="s">
        <v>397</v>
      </c>
      <c r="F13" s="445" t="s">
        <v>398</v>
      </c>
      <c r="G13" s="422">
        <v>754</v>
      </c>
      <c r="H13" s="422">
        <v>412438</v>
      </c>
      <c r="I13" s="445">
        <v>1.1791961390888661</v>
      </c>
      <c r="J13" s="445">
        <v>547</v>
      </c>
      <c r="K13" s="422">
        <v>602</v>
      </c>
      <c r="L13" s="422">
        <v>349762</v>
      </c>
      <c r="M13" s="445">
        <v>1</v>
      </c>
      <c r="N13" s="445">
        <v>581</v>
      </c>
      <c r="O13" s="422">
        <v>678</v>
      </c>
      <c r="P13" s="422">
        <v>393918</v>
      </c>
      <c r="Q13" s="446">
        <v>1.1262458471760797</v>
      </c>
      <c r="R13" s="447">
        <v>581</v>
      </c>
    </row>
    <row r="14" spans="1:18" ht="14.4" customHeight="1" x14ac:dyDescent="0.3">
      <c r="A14" s="421" t="s">
        <v>380</v>
      </c>
      <c r="B14" s="445" t="s">
        <v>381</v>
      </c>
      <c r="C14" s="445" t="s">
        <v>327</v>
      </c>
      <c r="D14" s="445" t="s">
        <v>382</v>
      </c>
      <c r="E14" s="445" t="s">
        <v>399</v>
      </c>
      <c r="F14" s="445" t="s">
        <v>400</v>
      </c>
      <c r="G14" s="422">
        <v>8</v>
      </c>
      <c r="H14" s="422">
        <v>2184</v>
      </c>
      <c r="I14" s="445">
        <v>1.8827586206896552</v>
      </c>
      <c r="J14" s="445">
        <v>273</v>
      </c>
      <c r="K14" s="422">
        <v>4</v>
      </c>
      <c r="L14" s="422">
        <v>1160</v>
      </c>
      <c r="M14" s="445">
        <v>1</v>
      </c>
      <c r="N14" s="445">
        <v>290</v>
      </c>
      <c r="O14" s="422">
        <v>14</v>
      </c>
      <c r="P14" s="422">
        <v>4074</v>
      </c>
      <c r="Q14" s="446">
        <v>3.5120689655172415</v>
      </c>
      <c r="R14" s="447">
        <v>291</v>
      </c>
    </row>
    <row r="15" spans="1:18" ht="14.4" customHeight="1" x14ac:dyDescent="0.3">
      <c r="A15" s="421" t="s">
        <v>380</v>
      </c>
      <c r="B15" s="445" t="s">
        <v>381</v>
      </c>
      <c r="C15" s="445" t="s">
        <v>327</v>
      </c>
      <c r="D15" s="445" t="s">
        <v>382</v>
      </c>
      <c r="E15" s="445" t="s">
        <v>401</v>
      </c>
      <c r="F15" s="445" t="s">
        <v>402</v>
      </c>
      <c r="G15" s="422">
        <v>593</v>
      </c>
      <c r="H15" s="422">
        <v>324371</v>
      </c>
      <c r="I15" s="445">
        <v>1.5295829108999599</v>
      </c>
      <c r="J15" s="445">
        <v>547</v>
      </c>
      <c r="K15" s="422">
        <v>365</v>
      </c>
      <c r="L15" s="422">
        <v>212065</v>
      </c>
      <c r="M15" s="445">
        <v>1</v>
      </c>
      <c r="N15" s="445">
        <v>581</v>
      </c>
      <c r="O15" s="422">
        <v>274</v>
      </c>
      <c r="P15" s="422">
        <v>159194</v>
      </c>
      <c r="Q15" s="446">
        <v>0.75068493150684934</v>
      </c>
      <c r="R15" s="447">
        <v>581</v>
      </c>
    </row>
    <row r="16" spans="1:18" ht="14.4" customHeight="1" x14ac:dyDescent="0.3">
      <c r="A16" s="421" t="s">
        <v>380</v>
      </c>
      <c r="B16" s="445" t="s">
        <v>381</v>
      </c>
      <c r="C16" s="445" t="s">
        <v>327</v>
      </c>
      <c r="D16" s="445" t="s">
        <v>382</v>
      </c>
      <c r="E16" s="445" t="s">
        <v>403</v>
      </c>
      <c r="F16" s="445" t="s">
        <v>404</v>
      </c>
      <c r="G16" s="422">
        <v>245</v>
      </c>
      <c r="H16" s="422">
        <v>133770</v>
      </c>
      <c r="I16" s="445">
        <v>1.478448275862069</v>
      </c>
      <c r="J16" s="445">
        <v>546</v>
      </c>
      <c r="K16" s="422">
        <v>156</v>
      </c>
      <c r="L16" s="422">
        <v>90480</v>
      </c>
      <c r="M16" s="445">
        <v>1</v>
      </c>
      <c r="N16" s="445">
        <v>580</v>
      </c>
      <c r="O16" s="422">
        <v>112</v>
      </c>
      <c r="P16" s="422">
        <v>64960</v>
      </c>
      <c r="Q16" s="446">
        <v>0.71794871794871795</v>
      </c>
      <c r="R16" s="447">
        <v>580</v>
      </c>
    </row>
    <row r="17" spans="1:18" ht="14.4" customHeight="1" x14ac:dyDescent="0.3">
      <c r="A17" s="421" t="s">
        <v>380</v>
      </c>
      <c r="B17" s="445" t="s">
        <v>381</v>
      </c>
      <c r="C17" s="445" t="s">
        <v>327</v>
      </c>
      <c r="D17" s="445" t="s">
        <v>382</v>
      </c>
      <c r="E17" s="445" t="s">
        <v>405</v>
      </c>
      <c r="F17" s="445" t="s">
        <v>406</v>
      </c>
      <c r="G17" s="422"/>
      <c r="H17" s="422"/>
      <c r="I17" s="445"/>
      <c r="J17" s="445"/>
      <c r="K17" s="422"/>
      <c r="L17" s="422"/>
      <c r="M17" s="445"/>
      <c r="N17" s="445"/>
      <c r="O17" s="422">
        <v>8</v>
      </c>
      <c r="P17" s="422">
        <v>2328</v>
      </c>
      <c r="Q17" s="446"/>
      <c r="R17" s="447">
        <v>291</v>
      </c>
    </row>
    <row r="18" spans="1:18" ht="14.4" customHeight="1" thickBot="1" x14ac:dyDescent="0.35">
      <c r="A18" s="425" t="s">
        <v>380</v>
      </c>
      <c r="B18" s="448" t="s">
        <v>381</v>
      </c>
      <c r="C18" s="448" t="s">
        <v>327</v>
      </c>
      <c r="D18" s="448" t="s">
        <v>382</v>
      </c>
      <c r="E18" s="448" t="s">
        <v>407</v>
      </c>
      <c r="F18" s="448" t="s">
        <v>408</v>
      </c>
      <c r="G18" s="426"/>
      <c r="H18" s="426"/>
      <c r="I18" s="448"/>
      <c r="J18" s="448"/>
      <c r="K18" s="426"/>
      <c r="L18" s="426"/>
      <c r="M18" s="448"/>
      <c r="N18" s="448"/>
      <c r="O18" s="426">
        <v>1</v>
      </c>
      <c r="P18" s="426">
        <v>693</v>
      </c>
      <c r="Q18" s="449"/>
      <c r="R18" s="450">
        <v>693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105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01" customWidth="1"/>
    <col min="2" max="2" width="8.6640625" style="101" bestFit="1" customWidth="1"/>
    <col min="3" max="3" width="6.109375" style="101" customWidth="1"/>
    <col min="4" max="4" width="27.77734375" style="101" customWidth="1"/>
    <col min="5" max="5" width="2.109375" style="101" bestFit="1" customWidth="1"/>
    <col min="6" max="6" width="8" style="101" customWidth="1"/>
    <col min="7" max="7" width="50.88671875" style="101" bestFit="1" customWidth="1" collapsed="1"/>
    <col min="8" max="9" width="11.109375" style="176" hidden="1" customWidth="1" outlineLevel="1"/>
    <col min="10" max="11" width="9.33203125" style="101" hidden="1" customWidth="1"/>
    <col min="12" max="13" width="11.109375" style="176" customWidth="1"/>
    <col min="14" max="15" width="9.33203125" style="101" hidden="1" customWidth="1"/>
    <col min="16" max="17" width="11.109375" style="176" customWidth="1"/>
    <col min="18" max="18" width="11.109375" style="179" customWidth="1"/>
    <col min="19" max="19" width="11.109375" style="176" customWidth="1"/>
    <col min="20" max="16384" width="8.88671875" style="101"/>
  </cols>
  <sheetData>
    <row r="1" spans="1:19" ht="18.600000000000001" customHeight="1" thickBot="1" x14ac:dyDescent="0.4">
      <c r="A1" s="275" t="s">
        <v>410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07"/>
    </row>
    <row r="2" spans="1:19" ht="14.4" customHeight="1" thickBot="1" x14ac:dyDescent="0.35">
      <c r="A2" s="192" t="s">
        <v>207</v>
      </c>
      <c r="B2" s="166"/>
      <c r="C2" s="166"/>
      <c r="D2" s="166"/>
      <c r="E2" s="83"/>
      <c r="F2" s="83"/>
      <c r="G2" s="83"/>
      <c r="H2" s="190"/>
      <c r="I2" s="190"/>
      <c r="J2" s="83"/>
      <c r="K2" s="83"/>
      <c r="L2" s="190"/>
      <c r="M2" s="190"/>
      <c r="N2" s="83"/>
      <c r="O2" s="83"/>
      <c r="P2" s="190"/>
      <c r="Q2" s="190"/>
      <c r="R2" s="187"/>
      <c r="S2" s="190"/>
    </row>
    <row r="3" spans="1:19" ht="14.4" customHeight="1" thickBot="1" x14ac:dyDescent="0.35">
      <c r="G3" s="62" t="s">
        <v>98</v>
      </c>
      <c r="H3" s="74">
        <f t="shared" ref="H3:Q3" si="0">SUBTOTAL(9,H6:H1048576)</f>
        <v>11093</v>
      </c>
      <c r="I3" s="75">
        <f t="shared" si="0"/>
        <v>4082938.0199999996</v>
      </c>
      <c r="J3" s="57"/>
      <c r="K3" s="57"/>
      <c r="L3" s="75">
        <f t="shared" si="0"/>
        <v>12599</v>
      </c>
      <c r="M3" s="75">
        <f t="shared" si="0"/>
        <v>4703999.6500000004</v>
      </c>
      <c r="N3" s="57"/>
      <c r="O3" s="57"/>
      <c r="P3" s="75">
        <f t="shared" si="0"/>
        <v>13034</v>
      </c>
      <c r="Q3" s="75">
        <f t="shared" si="0"/>
        <v>4824919.3600000003</v>
      </c>
      <c r="R3" s="58">
        <f>IF(M3=0,0,Q3/M3)</f>
        <v>1.0257057225758934</v>
      </c>
      <c r="S3" s="76">
        <f>IF(P3=0,0,Q3/P3)</f>
        <v>370.17948135645236</v>
      </c>
    </row>
    <row r="4" spans="1:19" ht="14.4" customHeight="1" x14ac:dyDescent="0.3">
      <c r="A4" s="355" t="s">
        <v>170</v>
      </c>
      <c r="B4" s="355" t="s">
        <v>70</v>
      </c>
      <c r="C4" s="363" t="s">
        <v>0</v>
      </c>
      <c r="D4" s="214" t="s">
        <v>99</v>
      </c>
      <c r="E4" s="357" t="s">
        <v>71</v>
      </c>
      <c r="F4" s="362" t="s">
        <v>46</v>
      </c>
      <c r="G4" s="358" t="s">
        <v>45</v>
      </c>
      <c r="H4" s="359">
        <v>2015</v>
      </c>
      <c r="I4" s="360"/>
      <c r="J4" s="73"/>
      <c r="K4" s="73"/>
      <c r="L4" s="359">
        <v>2016</v>
      </c>
      <c r="M4" s="360"/>
      <c r="N4" s="73"/>
      <c r="O4" s="73"/>
      <c r="P4" s="359">
        <v>2017</v>
      </c>
      <c r="Q4" s="360"/>
      <c r="R4" s="361" t="s">
        <v>2</v>
      </c>
      <c r="S4" s="356" t="s">
        <v>73</v>
      </c>
    </row>
    <row r="5" spans="1:19" ht="14.4" customHeight="1" thickBot="1" x14ac:dyDescent="0.35">
      <c r="A5" s="432"/>
      <c r="B5" s="432"/>
      <c r="C5" s="433"/>
      <c r="D5" s="451"/>
      <c r="E5" s="434"/>
      <c r="F5" s="435"/>
      <c r="G5" s="436"/>
      <c r="H5" s="437" t="s">
        <v>47</v>
      </c>
      <c r="I5" s="438" t="s">
        <v>4</v>
      </c>
      <c r="J5" s="439"/>
      <c r="K5" s="439"/>
      <c r="L5" s="437" t="s">
        <v>47</v>
      </c>
      <c r="M5" s="438" t="s">
        <v>4</v>
      </c>
      <c r="N5" s="439"/>
      <c r="O5" s="439"/>
      <c r="P5" s="437" t="s">
        <v>47</v>
      </c>
      <c r="Q5" s="438" t="s">
        <v>4</v>
      </c>
      <c r="R5" s="440"/>
      <c r="S5" s="441"/>
    </row>
    <row r="6" spans="1:19" ht="14.4" customHeight="1" x14ac:dyDescent="0.3">
      <c r="A6" s="417" t="s">
        <v>380</v>
      </c>
      <c r="B6" s="442" t="s">
        <v>381</v>
      </c>
      <c r="C6" s="442" t="s">
        <v>327</v>
      </c>
      <c r="D6" s="442" t="s">
        <v>360</v>
      </c>
      <c r="E6" s="442" t="s">
        <v>382</v>
      </c>
      <c r="F6" s="442" t="s">
        <v>383</v>
      </c>
      <c r="G6" s="442" t="s">
        <v>384</v>
      </c>
      <c r="H6" s="418">
        <v>22</v>
      </c>
      <c r="I6" s="418">
        <v>1540</v>
      </c>
      <c r="J6" s="442">
        <v>3.4684684684684686</v>
      </c>
      <c r="K6" s="442">
        <v>70</v>
      </c>
      <c r="L6" s="418">
        <v>6</v>
      </c>
      <c r="M6" s="418">
        <v>444</v>
      </c>
      <c r="N6" s="442">
        <v>1</v>
      </c>
      <c r="O6" s="442">
        <v>74</v>
      </c>
      <c r="P6" s="418">
        <v>12</v>
      </c>
      <c r="Q6" s="418">
        <v>888</v>
      </c>
      <c r="R6" s="443">
        <v>2</v>
      </c>
      <c r="S6" s="444">
        <v>74</v>
      </c>
    </row>
    <row r="7" spans="1:19" ht="14.4" customHeight="1" x14ac:dyDescent="0.3">
      <c r="A7" s="421" t="s">
        <v>380</v>
      </c>
      <c r="B7" s="445" t="s">
        <v>381</v>
      </c>
      <c r="C7" s="445" t="s">
        <v>327</v>
      </c>
      <c r="D7" s="445" t="s">
        <v>360</v>
      </c>
      <c r="E7" s="445" t="s">
        <v>382</v>
      </c>
      <c r="F7" s="445" t="s">
        <v>385</v>
      </c>
      <c r="G7" s="445" t="s">
        <v>386</v>
      </c>
      <c r="H7" s="422">
        <v>86</v>
      </c>
      <c r="I7" s="422">
        <v>27778</v>
      </c>
      <c r="J7" s="445">
        <v>2.2300899165061017</v>
      </c>
      <c r="K7" s="445">
        <v>323</v>
      </c>
      <c r="L7" s="422">
        <v>36</v>
      </c>
      <c r="M7" s="422">
        <v>12456</v>
      </c>
      <c r="N7" s="445">
        <v>1</v>
      </c>
      <c r="O7" s="445">
        <v>346</v>
      </c>
      <c r="P7" s="422">
        <v>44</v>
      </c>
      <c r="Q7" s="422">
        <v>15268</v>
      </c>
      <c r="R7" s="446">
        <v>1.2257546563904946</v>
      </c>
      <c r="S7" s="447">
        <v>347</v>
      </c>
    </row>
    <row r="8" spans="1:19" ht="14.4" customHeight="1" x14ac:dyDescent="0.3">
      <c r="A8" s="421" t="s">
        <v>380</v>
      </c>
      <c r="B8" s="445" t="s">
        <v>381</v>
      </c>
      <c r="C8" s="445" t="s">
        <v>327</v>
      </c>
      <c r="D8" s="445" t="s">
        <v>360</v>
      </c>
      <c r="E8" s="445" t="s">
        <v>382</v>
      </c>
      <c r="F8" s="445" t="s">
        <v>389</v>
      </c>
      <c r="G8" s="445" t="s">
        <v>390</v>
      </c>
      <c r="H8" s="422">
        <v>425</v>
      </c>
      <c r="I8" s="422">
        <v>137275</v>
      </c>
      <c r="J8" s="445">
        <v>1.0305157270475189</v>
      </c>
      <c r="K8" s="445">
        <v>323</v>
      </c>
      <c r="L8" s="422">
        <v>385</v>
      </c>
      <c r="M8" s="422">
        <v>133210</v>
      </c>
      <c r="N8" s="445">
        <v>1</v>
      </c>
      <c r="O8" s="445">
        <v>346</v>
      </c>
      <c r="P8" s="422">
        <v>324</v>
      </c>
      <c r="Q8" s="422">
        <v>112428</v>
      </c>
      <c r="R8" s="446">
        <v>0.84399069138953531</v>
      </c>
      <c r="S8" s="447">
        <v>347</v>
      </c>
    </row>
    <row r="9" spans="1:19" ht="14.4" customHeight="1" x14ac:dyDescent="0.3">
      <c r="A9" s="421" t="s">
        <v>380</v>
      </c>
      <c r="B9" s="445" t="s">
        <v>381</v>
      </c>
      <c r="C9" s="445" t="s">
        <v>327</v>
      </c>
      <c r="D9" s="445" t="s">
        <v>360</v>
      </c>
      <c r="E9" s="445" t="s">
        <v>382</v>
      </c>
      <c r="F9" s="445" t="s">
        <v>391</v>
      </c>
      <c r="G9" s="445" t="s">
        <v>392</v>
      </c>
      <c r="H9" s="422">
        <v>4</v>
      </c>
      <c r="I9" s="422">
        <v>1292</v>
      </c>
      <c r="J9" s="445"/>
      <c r="K9" s="445">
        <v>323</v>
      </c>
      <c r="L9" s="422"/>
      <c r="M9" s="422"/>
      <c r="N9" s="445"/>
      <c r="O9" s="445"/>
      <c r="P9" s="422"/>
      <c r="Q9" s="422"/>
      <c r="R9" s="446"/>
      <c r="S9" s="447"/>
    </row>
    <row r="10" spans="1:19" ht="14.4" customHeight="1" x14ac:dyDescent="0.3">
      <c r="A10" s="421" t="s">
        <v>380</v>
      </c>
      <c r="B10" s="445" t="s">
        <v>381</v>
      </c>
      <c r="C10" s="445" t="s">
        <v>327</v>
      </c>
      <c r="D10" s="445" t="s">
        <v>360</v>
      </c>
      <c r="E10" s="445" t="s">
        <v>382</v>
      </c>
      <c r="F10" s="445" t="s">
        <v>393</v>
      </c>
      <c r="G10" s="445" t="s">
        <v>394</v>
      </c>
      <c r="H10" s="422"/>
      <c r="I10" s="422"/>
      <c r="J10" s="445"/>
      <c r="K10" s="445"/>
      <c r="L10" s="422">
        <v>1</v>
      </c>
      <c r="M10" s="422">
        <v>33.33</v>
      </c>
      <c r="N10" s="445">
        <v>1</v>
      </c>
      <c r="O10" s="445">
        <v>33.33</v>
      </c>
      <c r="P10" s="422"/>
      <c r="Q10" s="422"/>
      <c r="R10" s="446"/>
      <c r="S10" s="447"/>
    </row>
    <row r="11" spans="1:19" ht="14.4" customHeight="1" x14ac:dyDescent="0.3">
      <c r="A11" s="421" t="s">
        <v>380</v>
      </c>
      <c r="B11" s="445" t="s">
        <v>381</v>
      </c>
      <c r="C11" s="445" t="s">
        <v>327</v>
      </c>
      <c r="D11" s="445" t="s">
        <v>360</v>
      </c>
      <c r="E11" s="445" t="s">
        <v>382</v>
      </c>
      <c r="F11" s="445" t="s">
        <v>395</v>
      </c>
      <c r="G11" s="445" t="s">
        <v>396</v>
      </c>
      <c r="H11" s="422"/>
      <c r="I11" s="422"/>
      <c r="J11" s="445"/>
      <c r="K11" s="445"/>
      <c r="L11" s="422">
        <v>3</v>
      </c>
      <c r="M11" s="422">
        <v>1740</v>
      </c>
      <c r="N11" s="445">
        <v>1</v>
      </c>
      <c r="O11" s="445">
        <v>580</v>
      </c>
      <c r="P11" s="422"/>
      <c r="Q11" s="422"/>
      <c r="R11" s="446"/>
      <c r="S11" s="447"/>
    </row>
    <row r="12" spans="1:19" ht="14.4" customHeight="1" x14ac:dyDescent="0.3">
      <c r="A12" s="421" t="s">
        <v>380</v>
      </c>
      <c r="B12" s="445" t="s">
        <v>381</v>
      </c>
      <c r="C12" s="445" t="s">
        <v>327</v>
      </c>
      <c r="D12" s="445" t="s">
        <v>360</v>
      </c>
      <c r="E12" s="445" t="s">
        <v>382</v>
      </c>
      <c r="F12" s="445" t="s">
        <v>397</v>
      </c>
      <c r="G12" s="445" t="s">
        <v>398</v>
      </c>
      <c r="H12" s="422">
        <v>84</v>
      </c>
      <c r="I12" s="422">
        <v>45948</v>
      </c>
      <c r="J12" s="445">
        <v>1.1630049610205528</v>
      </c>
      <c r="K12" s="445">
        <v>547</v>
      </c>
      <c r="L12" s="422">
        <v>68</v>
      </c>
      <c r="M12" s="422">
        <v>39508</v>
      </c>
      <c r="N12" s="445">
        <v>1</v>
      </c>
      <c r="O12" s="445">
        <v>581</v>
      </c>
      <c r="P12" s="422">
        <v>111</v>
      </c>
      <c r="Q12" s="422">
        <v>64491</v>
      </c>
      <c r="R12" s="446">
        <v>1.6323529411764706</v>
      </c>
      <c r="S12" s="447">
        <v>581</v>
      </c>
    </row>
    <row r="13" spans="1:19" ht="14.4" customHeight="1" x14ac:dyDescent="0.3">
      <c r="A13" s="421" t="s">
        <v>380</v>
      </c>
      <c r="B13" s="445" t="s">
        <v>381</v>
      </c>
      <c r="C13" s="445" t="s">
        <v>327</v>
      </c>
      <c r="D13" s="445" t="s">
        <v>360</v>
      </c>
      <c r="E13" s="445" t="s">
        <v>382</v>
      </c>
      <c r="F13" s="445" t="s">
        <v>399</v>
      </c>
      <c r="G13" s="445" t="s">
        <v>400</v>
      </c>
      <c r="H13" s="422">
        <v>8</v>
      </c>
      <c r="I13" s="422">
        <v>2184</v>
      </c>
      <c r="J13" s="445">
        <v>1.8827586206896552</v>
      </c>
      <c r="K13" s="445">
        <v>273</v>
      </c>
      <c r="L13" s="422">
        <v>4</v>
      </c>
      <c r="M13" s="422">
        <v>1160</v>
      </c>
      <c r="N13" s="445">
        <v>1</v>
      </c>
      <c r="O13" s="445">
        <v>290</v>
      </c>
      <c r="P13" s="422">
        <v>10</v>
      </c>
      <c r="Q13" s="422">
        <v>2910</v>
      </c>
      <c r="R13" s="446">
        <v>2.5086206896551726</v>
      </c>
      <c r="S13" s="447">
        <v>291</v>
      </c>
    </row>
    <row r="14" spans="1:19" ht="14.4" customHeight="1" x14ac:dyDescent="0.3">
      <c r="A14" s="421" t="s">
        <v>380</v>
      </c>
      <c r="B14" s="445" t="s">
        <v>381</v>
      </c>
      <c r="C14" s="445" t="s">
        <v>327</v>
      </c>
      <c r="D14" s="445" t="s">
        <v>360</v>
      </c>
      <c r="E14" s="445" t="s">
        <v>382</v>
      </c>
      <c r="F14" s="445" t="s">
        <v>401</v>
      </c>
      <c r="G14" s="445" t="s">
        <v>402</v>
      </c>
      <c r="H14" s="422">
        <v>16</v>
      </c>
      <c r="I14" s="422">
        <v>8752</v>
      </c>
      <c r="J14" s="445">
        <v>1.882960413080895</v>
      </c>
      <c r="K14" s="445">
        <v>547</v>
      </c>
      <c r="L14" s="422">
        <v>8</v>
      </c>
      <c r="M14" s="422">
        <v>4648</v>
      </c>
      <c r="N14" s="445">
        <v>1</v>
      </c>
      <c r="O14" s="445">
        <v>581</v>
      </c>
      <c r="P14" s="422">
        <v>8</v>
      </c>
      <c r="Q14" s="422">
        <v>4648</v>
      </c>
      <c r="R14" s="446">
        <v>1</v>
      </c>
      <c r="S14" s="447">
        <v>581</v>
      </c>
    </row>
    <row r="15" spans="1:19" ht="14.4" customHeight="1" x14ac:dyDescent="0.3">
      <c r="A15" s="421" t="s">
        <v>380</v>
      </c>
      <c r="B15" s="445" t="s">
        <v>381</v>
      </c>
      <c r="C15" s="445" t="s">
        <v>327</v>
      </c>
      <c r="D15" s="445" t="s">
        <v>361</v>
      </c>
      <c r="E15" s="445" t="s">
        <v>382</v>
      </c>
      <c r="F15" s="445" t="s">
        <v>383</v>
      </c>
      <c r="G15" s="445" t="s">
        <v>384</v>
      </c>
      <c r="H15" s="422"/>
      <c r="I15" s="422"/>
      <c r="J15" s="445"/>
      <c r="K15" s="445"/>
      <c r="L15" s="422">
        <v>18</v>
      </c>
      <c r="M15" s="422">
        <v>1332</v>
      </c>
      <c r="N15" s="445">
        <v>1</v>
      </c>
      <c r="O15" s="445">
        <v>74</v>
      </c>
      <c r="P15" s="422">
        <v>10</v>
      </c>
      <c r="Q15" s="422">
        <v>740</v>
      </c>
      <c r="R15" s="446">
        <v>0.55555555555555558</v>
      </c>
      <c r="S15" s="447">
        <v>74</v>
      </c>
    </row>
    <row r="16" spans="1:19" ht="14.4" customHeight="1" x14ac:dyDescent="0.3">
      <c r="A16" s="421" t="s">
        <v>380</v>
      </c>
      <c r="B16" s="445" t="s">
        <v>381</v>
      </c>
      <c r="C16" s="445" t="s">
        <v>327</v>
      </c>
      <c r="D16" s="445" t="s">
        <v>361</v>
      </c>
      <c r="E16" s="445" t="s">
        <v>382</v>
      </c>
      <c r="F16" s="445" t="s">
        <v>385</v>
      </c>
      <c r="G16" s="445" t="s">
        <v>386</v>
      </c>
      <c r="H16" s="422">
        <v>448</v>
      </c>
      <c r="I16" s="422">
        <v>144704</v>
      </c>
      <c r="J16" s="445">
        <v>0.56592645897048821</v>
      </c>
      <c r="K16" s="445">
        <v>323</v>
      </c>
      <c r="L16" s="422">
        <v>739</v>
      </c>
      <c r="M16" s="422">
        <v>255694</v>
      </c>
      <c r="N16" s="445">
        <v>1</v>
      </c>
      <c r="O16" s="445">
        <v>346</v>
      </c>
      <c r="P16" s="422">
        <v>1167</v>
      </c>
      <c r="Q16" s="422">
        <v>404949</v>
      </c>
      <c r="R16" s="446">
        <v>1.5837250776318568</v>
      </c>
      <c r="S16" s="447">
        <v>347</v>
      </c>
    </row>
    <row r="17" spans="1:19" ht="14.4" customHeight="1" x14ac:dyDescent="0.3">
      <c r="A17" s="421" t="s">
        <v>380</v>
      </c>
      <c r="B17" s="445" t="s">
        <v>381</v>
      </c>
      <c r="C17" s="445" t="s">
        <v>327</v>
      </c>
      <c r="D17" s="445" t="s">
        <v>361</v>
      </c>
      <c r="E17" s="445" t="s">
        <v>382</v>
      </c>
      <c r="F17" s="445" t="s">
        <v>391</v>
      </c>
      <c r="G17" s="445" t="s">
        <v>392</v>
      </c>
      <c r="H17" s="422">
        <v>24</v>
      </c>
      <c r="I17" s="422">
        <v>7752</v>
      </c>
      <c r="J17" s="445">
        <v>0.36728892258125651</v>
      </c>
      <c r="K17" s="445">
        <v>323</v>
      </c>
      <c r="L17" s="422">
        <v>61</v>
      </c>
      <c r="M17" s="422">
        <v>21106</v>
      </c>
      <c r="N17" s="445">
        <v>1</v>
      </c>
      <c r="O17" s="445">
        <v>346</v>
      </c>
      <c r="P17" s="422">
        <v>8</v>
      </c>
      <c r="Q17" s="422">
        <v>2776</v>
      </c>
      <c r="R17" s="446">
        <v>0.13152658011939733</v>
      </c>
      <c r="S17" s="447">
        <v>347</v>
      </c>
    </row>
    <row r="18" spans="1:19" ht="14.4" customHeight="1" x14ac:dyDescent="0.3">
      <c r="A18" s="421" t="s">
        <v>380</v>
      </c>
      <c r="B18" s="445" t="s">
        <v>381</v>
      </c>
      <c r="C18" s="445" t="s">
        <v>327</v>
      </c>
      <c r="D18" s="445" t="s">
        <v>361</v>
      </c>
      <c r="E18" s="445" t="s">
        <v>382</v>
      </c>
      <c r="F18" s="445" t="s">
        <v>393</v>
      </c>
      <c r="G18" s="445" t="s">
        <v>394</v>
      </c>
      <c r="H18" s="422"/>
      <c r="I18" s="422"/>
      <c r="J18" s="445"/>
      <c r="K18" s="445"/>
      <c r="L18" s="422">
        <v>6</v>
      </c>
      <c r="M18" s="422">
        <v>199.99</v>
      </c>
      <c r="N18" s="445">
        <v>1</v>
      </c>
      <c r="O18" s="445">
        <v>33.331666666666671</v>
      </c>
      <c r="P18" s="422">
        <v>2</v>
      </c>
      <c r="Q18" s="422">
        <v>66.66</v>
      </c>
      <c r="R18" s="446">
        <v>0.33331666583329161</v>
      </c>
      <c r="S18" s="447">
        <v>33.33</v>
      </c>
    </row>
    <row r="19" spans="1:19" ht="14.4" customHeight="1" x14ac:dyDescent="0.3">
      <c r="A19" s="421" t="s">
        <v>380</v>
      </c>
      <c r="B19" s="445" t="s">
        <v>381</v>
      </c>
      <c r="C19" s="445" t="s">
        <v>327</v>
      </c>
      <c r="D19" s="445" t="s">
        <v>361</v>
      </c>
      <c r="E19" s="445" t="s">
        <v>382</v>
      </c>
      <c r="F19" s="445" t="s">
        <v>395</v>
      </c>
      <c r="G19" s="445" t="s">
        <v>396</v>
      </c>
      <c r="H19" s="422"/>
      <c r="I19" s="422"/>
      <c r="J19" s="445"/>
      <c r="K19" s="445"/>
      <c r="L19" s="422">
        <v>12</v>
      </c>
      <c r="M19" s="422">
        <v>6960</v>
      </c>
      <c r="N19" s="445">
        <v>1</v>
      </c>
      <c r="O19" s="445">
        <v>580</v>
      </c>
      <c r="P19" s="422">
        <v>7</v>
      </c>
      <c r="Q19" s="422">
        <v>4060</v>
      </c>
      <c r="R19" s="446">
        <v>0.58333333333333337</v>
      </c>
      <c r="S19" s="447">
        <v>580</v>
      </c>
    </row>
    <row r="20" spans="1:19" ht="14.4" customHeight="1" x14ac:dyDescent="0.3">
      <c r="A20" s="421" t="s">
        <v>380</v>
      </c>
      <c r="B20" s="445" t="s">
        <v>381</v>
      </c>
      <c r="C20" s="445" t="s">
        <v>327</v>
      </c>
      <c r="D20" s="445" t="s">
        <v>361</v>
      </c>
      <c r="E20" s="445" t="s">
        <v>382</v>
      </c>
      <c r="F20" s="445" t="s">
        <v>397</v>
      </c>
      <c r="G20" s="445" t="s">
        <v>398</v>
      </c>
      <c r="H20" s="422"/>
      <c r="I20" s="422"/>
      <c r="J20" s="445"/>
      <c r="K20" s="445"/>
      <c r="L20" s="422">
        <v>3</v>
      </c>
      <c r="M20" s="422">
        <v>1743</v>
      </c>
      <c r="N20" s="445">
        <v>1</v>
      </c>
      <c r="O20" s="445">
        <v>581</v>
      </c>
      <c r="P20" s="422"/>
      <c r="Q20" s="422"/>
      <c r="R20" s="446"/>
      <c r="S20" s="447"/>
    </row>
    <row r="21" spans="1:19" ht="14.4" customHeight="1" x14ac:dyDescent="0.3">
      <c r="A21" s="421" t="s">
        <v>380</v>
      </c>
      <c r="B21" s="445" t="s">
        <v>381</v>
      </c>
      <c r="C21" s="445" t="s">
        <v>327</v>
      </c>
      <c r="D21" s="445" t="s">
        <v>361</v>
      </c>
      <c r="E21" s="445" t="s">
        <v>382</v>
      </c>
      <c r="F21" s="445" t="s">
        <v>401</v>
      </c>
      <c r="G21" s="445" t="s">
        <v>402</v>
      </c>
      <c r="H21" s="422"/>
      <c r="I21" s="422"/>
      <c r="J21" s="445"/>
      <c r="K21" s="445"/>
      <c r="L21" s="422">
        <v>4</v>
      </c>
      <c r="M21" s="422">
        <v>2324</v>
      </c>
      <c r="N21" s="445">
        <v>1</v>
      </c>
      <c r="O21" s="445">
        <v>581</v>
      </c>
      <c r="P21" s="422"/>
      <c r="Q21" s="422"/>
      <c r="R21" s="446"/>
      <c r="S21" s="447"/>
    </row>
    <row r="22" spans="1:19" ht="14.4" customHeight="1" x14ac:dyDescent="0.3">
      <c r="A22" s="421" t="s">
        <v>380</v>
      </c>
      <c r="B22" s="445" t="s">
        <v>381</v>
      </c>
      <c r="C22" s="445" t="s">
        <v>327</v>
      </c>
      <c r="D22" s="445" t="s">
        <v>361</v>
      </c>
      <c r="E22" s="445" t="s">
        <v>382</v>
      </c>
      <c r="F22" s="445" t="s">
        <v>403</v>
      </c>
      <c r="G22" s="445" t="s">
        <v>404</v>
      </c>
      <c r="H22" s="422">
        <v>40</v>
      </c>
      <c r="I22" s="422">
        <v>21840</v>
      </c>
      <c r="J22" s="445">
        <v>3.1379310344827585</v>
      </c>
      <c r="K22" s="445">
        <v>546</v>
      </c>
      <c r="L22" s="422">
        <v>12</v>
      </c>
      <c r="M22" s="422">
        <v>6960</v>
      </c>
      <c r="N22" s="445">
        <v>1</v>
      </c>
      <c r="O22" s="445">
        <v>580</v>
      </c>
      <c r="P22" s="422"/>
      <c r="Q22" s="422"/>
      <c r="R22" s="446"/>
      <c r="S22" s="447"/>
    </row>
    <row r="23" spans="1:19" ht="14.4" customHeight="1" x14ac:dyDescent="0.3">
      <c r="A23" s="421" t="s">
        <v>380</v>
      </c>
      <c r="B23" s="445" t="s">
        <v>381</v>
      </c>
      <c r="C23" s="445" t="s">
        <v>327</v>
      </c>
      <c r="D23" s="445" t="s">
        <v>363</v>
      </c>
      <c r="E23" s="445" t="s">
        <v>382</v>
      </c>
      <c r="F23" s="445" t="s">
        <v>383</v>
      </c>
      <c r="G23" s="445" t="s">
        <v>384</v>
      </c>
      <c r="H23" s="422">
        <v>5</v>
      </c>
      <c r="I23" s="422">
        <v>350</v>
      </c>
      <c r="J23" s="445">
        <v>4.7297297297297298</v>
      </c>
      <c r="K23" s="445">
        <v>70</v>
      </c>
      <c r="L23" s="422">
        <v>1</v>
      </c>
      <c r="M23" s="422">
        <v>74</v>
      </c>
      <c r="N23" s="445">
        <v>1</v>
      </c>
      <c r="O23" s="445">
        <v>74</v>
      </c>
      <c r="P23" s="422"/>
      <c r="Q23" s="422"/>
      <c r="R23" s="446"/>
      <c r="S23" s="447"/>
    </row>
    <row r="24" spans="1:19" ht="14.4" customHeight="1" x14ac:dyDescent="0.3">
      <c r="A24" s="421" t="s">
        <v>380</v>
      </c>
      <c r="B24" s="445" t="s">
        <v>381</v>
      </c>
      <c r="C24" s="445" t="s">
        <v>327</v>
      </c>
      <c r="D24" s="445" t="s">
        <v>363</v>
      </c>
      <c r="E24" s="445" t="s">
        <v>382</v>
      </c>
      <c r="F24" s="445" t="s">
        <v>385</v>
      </c>
      <c r="G24" s="445" t="s">
        <v>386</v>
      </c>
      <c r="H24" s="422">
        <v>518</v>
      </c>
      <c r="I24" s="422">
        <v>167314</v>
      </c>
      <c r="J24" s="445">
        <v>1.1708631331439208</v>
      </c>
      <c r="K24" s="445">
        <v>323</v>
      </c>
      <c r="L24" s="422">
        <v>413</v>
      </c>
      <c r="M24" s="422">
        <v>142898</v>
      </c>
      <c r="N24" s="445">
        <v>1</v>
      </c>
      <c r="O24" s="445">
        <v>346</v>
      </c>
      <c r="P24" s="422"/>
      <c r="Q24" s="422"/>
      <c r="R24" s="446"/>
      <c r="S24" s="447"/>
    </row>
    <row r="25" spans="1:19" ht="14.4" customHeight="1" x14ac:dyDescent="0.3">
      <c r="A25" s="421" t="s">
        <v>380</v>
      </c>
      <c r="B25" s="445" t="s">
        <v>381</v>
      </c>
      <c r="C25" s="445" t="s">
        <v>327</v>
      </c>
      <c r="D25" s="445" t="s">
        <v>363</v>
      </c>
      <c r="E25" s="445" t="s">
        <v>382</v>
      </c>
      <c r="F25" s="445" t="s">
        <v>389</v>
      </c>
      <c r="G25" s="445" t="s">
        <v>390</v>
      </c>
      <c r="H25" s="422">
        <v>424</v>
      </c>
      <c r="I25" s="422">
        <v>136952</v>
      </c>
      <c r="J25" s="445">
        <v>0.90991960667065308</v>
      </c>
      <c r="K25" s="445">
        <v>323</v>
      </c>
      <c r="L25" s="422">
        <v>435</v>
      </c>
      <c r="M25" s="422">
        <v>150510</v>
      </c>
      <c r="N25" s="445">
        <v>1</v>
      </c>
      <c r="O25" s="445">
        <v>346</v>
      </c>
      <c r="P25" s="422"/>
      <c r="Q25" s="422"/>
      <c r="R25" s="446"/>
      <c r="S25" s="447"/>
    </row>
    <row r="26" spans="1:19" ht="14.4" customHeight="1" x14ac:dyDescent="0.3">
      <c r="A26" s="421" t="s">
        <v>380</v>
      </c>
      <c r="B26" s="445" t="s">
        <v>381</v>
      </c>
      <c r="C26" s="445" t="s">
        <v>327</v>
      </c>
      <c r="D26" s="445" t="s">
        <v>363</v>
      </c>
      <c r="E26" s="445" t="s">
        <v>382</v>
      </c>
      <c r="F26" s="445" t="s">
        <v>391</v>
      </c>
      <c r="G26" s="445" t="s">
        <v>392</v>
      </c>
      <c r="H26" s="422">
        <v>72</v>
      </c>
      <c r="I26" s="422">
        <v>23256</v>
      </c>
      <c r="J26" s="445">
        <v>2.4894026974951831</v>
      </c>
      <c r="K26" s="445">
        <v>323</v>
      </c>
      <c r="L26" s="422">
        <v>27</v>
      </c>
      <c r="M26" s="422">
        <v>9342</v>
      </c>
      <c r="N26" s="445">
        <v>1</v>
      </c>
      <c r="O26" s="445">
        <v>346</v>
      </c>
      <c r="P26" s="422"/>
      <c r="Q26" s="422"/>
      <c r="R26" s="446"/>
      <c r="S26" s="447"/>
    </row>
    <row r="27" spans="1:19" ht="14.4" customHeight="1" x14ac:dyDescent="0.3">
      <c r="A27" s="421" t="s">
        <v>380</v>
      </c>
      <c r="B27" s="445" t="s">
        <v>381</v>
      </c>
      <c r="C27" s="445" t="s">
        <v>327</v>
      </c>
      <c r="D27" s="445" t="s">
        <v>363</v>
      </c>
      <c r="E27" s="445" t="s">
        <v>382</v>
      </c>
      <c r="F27" s="445" t="s">
        <v>397</v>
      </c>
      <c r="G27" s="445" t="s">
        <v>398</v>
      </c>
      <c r="H27" s="422">
        <v>419</v>
      </c>
      <c r="I27" s="422">
        <v>229193</v>
      </c>
      <c r="J27" s="445">
        <v>0.98129404612051618</v>
      </c>
      <c r="K27" s="445">
        <v>547</v>
      </c>
      <c r="L27" s="422">
        <v>402</v>
      </c>
      <c r="M27" s="422">
        <v>233562</v>
      </c>
      <c r="N27" s="445">
        <v>1</v>
      </c>
      <c r="O27" s="445">
        <v>581</v>
      </c>
      <c r="P27" s="422"/>
      <c r="Q27" s="422"/>
      <c r="R27" s="446"/>
      <c r="S27" s="447"/>
    </row>
    <row r="28" spans="1:19" ht="14.4" customHeight="1" x14ac:dyDescent="0.3">
      <c r="A28" s="421" t="s">
        <v>380</v>
      </c>
      <c r="B28" s="445" t="s">
        <v>381</v>
      </c>
      <c r="C28" s="445" t="s">
        <v>327</v>
      </c>
      <c r="D28" s="445" t="s">
        <v>363</v>
      </c>
      <c r="E28" s="445" t="s">
        <v>382</v>
      </c>
      <c r="F28" s="445" t="s">
        <v>401</v>
      </c>
      <c r="G28" s="445" t="s">
        <v>402</v>
      </c>
      <c r="H28" s="422">
        <v>3</v>
      </c>
      <c r="I28" s="422">
        <v>1641</v>
      </c>
      <c r="J28" s="445"/>
      <c r="K28" s="445">
        <v>547</v>
      </c>
      <c r="L28" s="422"/>
      <c r="M28" s="422"/>
      <c r="N28" s="445"/>
      <c r="O28" s="445"/>
      <c r="P28" s="422"/>
      <c r="Q28" s="422"/>
      <c r="R28" s="446"/>
      <c r="S28" s="447"/>
    </row>
    <row r="29" spans="1:19" ht="14.4" customHeight="1" x14ac:dyDescent="0.3">
      <c r="A29" s="421" t="s">
        <v>380</v>
      </c>
      <c r="B29" s="445" t="s">
        <v>381</v>
      </c>
      <c r="C29" s="445" t="s">
        <v>327</v>
      </c>
      <c r="D29" s="445" t="s">
        <v>364</v>
      </c>
      <c r="E29" s="445" t="s">
        <v>382</v>
      </c>
      <c r="F29" s="445" t="s">
        <v>383</v>
      </c>
      <c r="G29" s="445" t="s">
        <v>384</v>
      </c>
      <c r="H29" s="422">
        <v>4</v>
      </c>
      <c r="I29" s="422">
        <v>280</v>
      </c>
      <c r="J29" s="445">
        <v>1.8918918918918919</v>
      </c>
      <c r="K29" s="445">
        <v>70</v>
      </c>
      <c r="L29" s="422">
        <v>2</v>
      </c>
      <c r="M29" s="422">
        <v>148</v>
      </c>
      <c r="N29" s="445">
        <v>1</v>
      </c>
      <c r="O29" s="445">
        <v>74</v>
      </c>
      <c r="P29" s="422"/>
      <c r="Q29" s="422"/>
      <c r="R29" s="446"/>
      <c r="S29" s="447"/>
    </row>
    <row r="30" spans="1:19" ht="14.4" customHeight="1" x14ac:dyDescent="0.3">
      <c r="A30" s="421" t="s">
        <v>380</v>
      </c>
      <c r="B30" s="445" t="s">
        <v>381</v>
      </c>
      <c r="C30" s="445" t="s">
        <v>327</v>
      </c>
      <c r="D30" s="445" t="s">
        <v>364</v>
      </c>
      <c r="E30" s="445" t="s">
        <v>382</v>
      </c>
      <c r="F30" s="445" t="s">
        <v>385</v>
      </c>
      <c r="G30" s="445" t="s">
        <v>386</v>
      </c>
      <c r="H30" s="422">
        <v>380</v>
      </c>
      <c r="I30" s="422">
        <v>122740</v>
      </c>
      <c r="J30" s="445">
        <v>2.7714053468208091</v>
      </c>
      <c r="K30" s="445">
        <v>323</v>
      </c>
      <c r="L30" s="422">
        <v>128</v>
      </c>
      <c r="M30" s="422">
        <v>44288</v>
      </c>
      <c r="N30" s="445">
        <v>1</v>
      </c>
      <c r="O30" s="445">
        <v>346</v>
      </c>
      <c r="P30" s="422"/>
      <c r="Q30" s="422"/>
      <c r="R30" s="446"/>
      <c r="S30" s="447"/>
    </row>
    <row r="31" spans="1:19" ht="14.4" customHeight="1" x14ac:dyDescent="0.3">
      <c r="A31" s="421" t="s">
        <v>380</v>
      </c>
      <c r="B31" s="445" t="s">
        <v>381</v>
      </c>
      <c r="C31" s="445" t="s">
        <v>327</v>
      </c>
      <c r="D31" s="445" t="s">
        <v>364</v>
      </c>
      <c r="E31" s="445" t="s">
        <v>382</v>
      </c>
      <c r="F31" s="445" t="s">
        <v>389</v>
      </c>
      <c r="G31" s="445" t="s">
        <v>390</v>
      </c>
      <c r="H31" s="422">
        <v>32</v>
      </c>
      <c r="I31" s="422">
        <v>10336</v>
      </c>
      <c r="J31" s="445">
        <v>2.4894026974951831</v>
      </c>
      <c r="K31" s="445">
        <v>323</v>
      </c>
      <c r="L31" s="422">
        <v>12</v>
      </c>
      <c r="M31" s="422">
        <v>4152</v>
      </c>
      <c r="N31" s="445">
        <v>1</v>
      </c>
      <c r="O31" s="445">
        <v>346</v>
      </c>
      <c r="P31" s="422"/>
      <c r="Q31" s="422"/>
      <c r="R31" s="446"/>
      <c r="S31" s="447"/>
    </row>
    <row r="32" spans="1:19" ht="14.4" customHeight="1" x14ac:dyDescent="0.3">
      <c r="A32" s="421" t="s">
        <v>380</v>
      </c>
      <c r="B32" s="445" t="s">
        <v>381</v>
      </c>
      <c r="C32" s="445" t="s">
        <v>327</v>
      </c>
      <c r="D32" s="445" t="s">
        <v>364</v>
      </c>
      <c r="E32" s="445" t="s">
        <v>382</v>
      </c>
      <c r="F32" s="445" t="s">
        <v>391</v>
      </c>
      <c r="G32" s="445" t="s">
        <v>392</v>
      </c>
      <c r="H32" s="422">
        <v>35</v>
      </c>
      <c r="I32" s="422">
        <v>11305</v>
      </c>
      <c r="J32" s="445">
        <v>8.1683526011560694</v>
      </c>
      <c r="K32" s="445">
        <v>323</v>
      </c>
      <c r="L32" s="422">
        <v>4</v>
      </c>
      <c r="M32" s="422">
        <v>1384</v>
      </c>
      <c r="N32" s="445">
        <v>1</v>
      </c>
      <c r="O32" s="445">
        <v>346</v>
      </c>
      <c r="P32" s="422"/>
      <c r="Q32" s="422"/>
      <c r="R32" s="446"/>
      <c r="S32" s="447"/>
    </row>
    <row r="33" spans="1:19" ht="14.4" customHeight="1" x14ac:dyDescent="0.3">
      <c r="A33" s="421" t="s">
        <v>380</v>
      </c>
      <c r="B33" s="445" t="s">
        <v>381</v>
      </c>
      <c r="C33" s="445" t="s">
        <v>327</v>
      </c>
      <c r="D33" s="445" t="s">
        <v>364</v>
      </c>
      <c r="E33" s="445" t="s">
        <v>382</v>
      </c>
      <c r="F33" s="445" t="s">
        <v>397</v>
      </c>
      <c r="G33" s="445" t="s">
        <v>398</v>
      </c>
      <c r="H33" s="422">
        <v>223</v>
      </c>
      <c r="I33" s="422">
        <v>121981</v>
      </c>
      <c r="J33" s="445">
        <v>4.1166683540886231</v>
      </c>
      <c r="K33" s="445">
        <v>547</v>
      </c>
      <c r="L33" s="422">
        <v>51</v>
      </c>
      <c r="M33" s="422">
        <v>29631</v>
      </c>
      <c r="N33" s="445">
        <v>1</v>
      </c>
      <c r="O33" s="445">
        <v>581</v>
      </c>
      <c r="P33" s="422"/>
      <c r="Q33" s="422"/>
      <c r="R33" s="446"/>
      <c r="S33" s="447"/>
    </row>
    <row r="34" spans="1:19" ht="14.4" customHeight="1" x14ac:dyDescent="0.3">
      <c r="A34" s="421" t="s">
        <v>380</v>
      </c>
      <c r="B34" s="445" t="s">
        <v>381</v>
      </c>
      <c r="C34" s="445" t="s">
        <v>327</v>
      </c>
      <c r="D34" s="445" t="s">
        <v>364</v>
      </c>
      <c r="E34" s="445" t="s">
        <v>382</v>
      </c>
      <c r="F34" s="445" t="s">
        <v>401</v>
      </c>
      <c r="G34" s="445" t="s">
        <v>402</v>
      </c>
      <c r="H34" s="422">
        <v>389</v>
      </c>
      <c r="I34" s="422">
        <v>212783</v>
      </c>
      <c r="J34" s="445">
        <v>2.7331029876435378</v>
      </c>
      <c r="K34" s="445">
        <v>547</v>
      </c>
      <c r="L34" s="422">
        <v>134</v>
      </c>
      <c r="M34" s="422">
        <v>77854</v>
      </c>
      <c r="N34" s="445">
        <v>1</v>
      </c>
      <c r="O34" s="445">
        <v>581</v>
      </c>
      <c r="P34" s="422"/>
      <c r="Q34" s="422"/>
      <c r="R34" s="446"/>
      <c r="S34" s="447"/>
    </row>
    <row r="35" spans="1:19" ht="14.4" customHeight="1" x14ac:dyDescent="0.3">
      <c r="A35" s="421" t="s">
        <v>380</v>
      </c>
      <c r="B35" s="445" t="s">
        <v>381</v>
      </c>
      <c r="C35" s="445" t="s">
        <v>327</v>
      </c>
      <c r="D35" s="445" t="s">
        <v>365</v>
      </c>
      <c r="E35" s="445" t="s">
        <v>382</v>
      </c>
      <c r="F35" s="445" t="s">
        <v>383</v>
      </c>
      <c r="G35" s="445" t="s">
        <v>384</v>
      </c>
      <c r="H35" s="422">
        <v>1</v>
      </c>
      <c r="I35" s="422">
        <v>70</v>
      </c>
      <c r="J35" s="445">
        <v>0.47297297297297297</v>
      </c>
      <c r="K35" s="445">
        <v>70</v>
      </c>
      <c r="L35" s="422">
        <v>2</v>
      </c>
      <c r="M35" s="422">
        <v>148</v>
      </c>
      <c r="N35" s="445">
        <v>1</v>
      </c>
      <c r="O35" s="445">
        <v>74</v>
      </c>
      <c r="P35" s="422">
        <v>2</v>
      </c>
      <c r="Q35" s="422">
        <v>148</v>
      </c>
      <c r="R35" s="446">
        <v>1</v>
      </c>
      <c r="S35" s="447">
        <v>74</v>
      </c>
    </row>
    <row r="36" spans="1:19" ht="14.4" customHeight="1" x14ac:dyDescent="0.3">
      <c r="A36" s="421" t="s">
        <v>380</v>
      </c>
      <c r="B36" s="445" t="s">
        <v>381</v>
      </c>
      <c r="C36" s="445" t="s">
        <v>327</v>
      </c>
      <c r="D36" s="445" t="s">
        <v>365</v>
      </c>
      <c r="E36" s="445" t="s">
        <v>382</v>
      </c>
      <c r="F36" s="445" t="s">
        <v>385</v>
      </c>
      <c r="G36" s="445" t="s">
        <v>386</v>
      </c>
      <c r="H36" s="422">
        <v>1143</v>
      </c>
      <c r="I36" s="422">
        <v>369189</v>
      </c>
      <c r="J36" s="445">
        <v>0.66730470995239077</v>
      </c>
      <c r="K36" s="445">
        <v>323</v>
      </c>
      <c r="L36" s="422">
        <v>1599</v>
      </c>
      <c r="M36" s="422">
        <v>553254</v>
      </c>
      <c r="N36" s="445">
        <v>1</v>
      </c>
      <c r="O36" s="445">
        <v>346</v>
      </c>
      <c r="P36" s="422">
        <v>1604</v>
      </c>
      <c r="Q36" s="422">
        <v>556588</v>
      </c>
      <c r="R36" s="446">
        <v>1.0060261651971789</v>
      </c>
      <c r="S36" s="447">
        <v>347</v>
      </c>
    </row>
    <row r="37" spans="1:19" ht="14.4" customHeight="1" x14ac:dyDescent="0.3">
      <c r="A37" s="421" t="s">
        <v>380</v>
      </c>
      <c r="B37" s="445" t="s">
        <v>381</v>
      </c>
      <c r="C37" s="445" t="s">
        <v>327</v>
      </c>
      <c r="D37" s="445" t="s">
        <v>365</v>
      </c>
      <c r="E37" s="445" t="s">
        <v>382</v>
      </c>
      <c r="F37" s="445" t="s">
        <v>387</v>
      </c>
      <c r="G37" s="445" t="s">
        <v>388</v>
      </c>
      <c r="H37" s="422">
        <v>62</v>
      </c>
      <c r="I37" s="422">
        <v>13330</v>
      </c>
      <c r="J37" s="445"/>
      <c r="K37" s="445">
        <v>215</v>
      </c>
      <c r="L37" s="422"/>
      <c r="M37" s="422"/>
      <c r="N37" s="445"/>
      <c r="O37" s="445"/>
      <c r="P37" s="422"/>
      <c r="Q37" s="422"/>
      <c r="R37" s="446"/>
      <c r="S37" s="447"/>
    </row>
    <row r="38" spans="1:19" ht="14.4" customHeight="1" x14ac:dyDescent="0.3">
      <c r="A38" s="421" t="s">
        <v>380</v>
      </c>
      <c r="B38" s="445" t="s">
        <v>381</v>
      </c>
      <c r="C38" s="445" t="s">
        <v>327</v>
      </c>
      <c r="D38" s="445" t="s">
        <v>365</v>
      </c>
      <c r="E38" s="445" t="s">
        <v>382</v>
      </c>
      <c r="F38" s="445" t="s">
        <v>389</v>
      </c>
      <c r="G38" s="445" t="s">
        <v>390</v>
      </c>
      <c r="H38" s="422"/>
      <c r="I38" s="422"/>
      <c r="J38" s="445"/>
      <c r="K38" s="445"/>
      <c r="L38" s="422">
        <v>4</v>
      </c>
      <c r="M38" s="422">
        <v>1384</v>
      </c>
      <c r="N38" s="445">
        <v>1</v>
      </c>
      <c r="O38" s="445">
        <v>346</v>
      </c>
      <c r="P38" s="422">
        <v>45</v>
      </c>
      <c r="Q38" s="422">
        <v>15615</v>
      </c>
      <c r="R38" s="446">
        <v>11.282514450867051</v>
      </c>
      <c r="S38" s="447">
        <v>347</v>
      </c>
    </row>
    <row r="39" spans="1:19" ht="14.4" customHeight="1" x14ac:dyDescent="0.3">
      <c r="A39" s="421" t="s">
        <v>380</v>
      </c>
      <c r="B39" s="445" t="s">
        <v>381</v>
      </c>
      <c r="C39" s="445" t="s">
        <v>327</v>
      </c>
      <c r="D39" s="445" t="s">
        <v>365</v>
      </c>
      <c r="E39" s="445" t="s">
        <v>382</v>
      </c>
      <c r="F39" s="445" t="s">
        <v>393</v>
      </c>
      <c r="G39" s="445" t="s">
        <v>394</v>
      </c>
      <c r="H39" s="422">
        <v>30</v>
      </c>
      <c r="I39" s="422">
        <v>966.66</v>
      </c>
      <c r="J39" s="445">
        <v>1.0741024700823361</v>
      </c>
      <c r="K39" s="445">
        <v>32.222000000000001</v>
      </c>
      <c r="L39" s="422">
        <v>27</v>
      </c>
      <c r="M39" s="422">
        <v>899.97</v>
      </c>
      <c r="N39" s="445">
        <v>1</v>
      </c>
      <c r="O39" s="445">
        <v>33.332222222222221</v>
      </c>
      <c r="P39" s="422">
        <v>29</v>
      </c>
      <c r="Q39" s="422">
        <v>966.65000000000009</v>
      </c>
      <c r="R39" s="446">
        <v>1.0740913586008423</v>
      </c>
      <c r="S39" s="447">
        <v>33.33275862068966</v>
      </c>
    </row>
    <row r="40" spans="1:19" ht="14.4" customHeight="1" x14ac:dyDescent="0.3">
      <c r="A40" s="421" t="s">
        <v>380</v>
      </c>
      <c r="B40" s="445" t="s">
        <v>381</v>
      </c>
      <c r="C40" s="445" t="s">
        <v>327</v>
      </c>
      <c r="D40" s="445" t="s">
        <v>365</v>
      </c>
      <c r="E40" s="445" t="s">
        <v>382</v>
      </c>
      <c r="F40" s="445" t="s">
        <v>395</v>
      </c>
      <c r="G40" s="445" t="s">
        <v>396</v>
      </c>
      <c r="H40" s="422">
        <v>193</v>
      </c>
      <c r="I40" s="422">
        <v>105378</v>
      </c>
      <c r="J40" s="445">
        <v>2.5955172413793104</v>
      </c>
      <c r="K40" s="445">
        <v>546</v>
      </c>
      <c r="L40" s="422">
        <v>70</v>
      </c>
      <c r="M40" s="422">
        <v>40600</v>
      </c>
      <c r="N40" s="445">
        <v>1</v>
      </c>
      <c r="O40" s="445">
        <v>580</v>
      </c>
      <c r="P40" s="422">
        <v>66</v>
      </c>
      <c r="Q40" s="422">
        <v>38280</v>
      </c>
      <c r="R40" s="446">
        <v>0.94285714285714284</v>
      </c>
      <c r="S40" s="447">
        <v>580</v>
      </c>
    </row>
    <row r="41" spans="1:19" ht="14.4" customHeight="1" x14ac:dyDescent="0.3">
      <c r="A41" s="421" t="s">
        <v>380</v>
      </c>
      <c r="B41" s="445" t="s">
        <v>381</v>
      </c>
      <c r="C41" s="445" t="s">
        <v>327</v>
      </c>
      <c r="D41" s="445" t="s">
        <v>365</v>
      </c>
      <c r="E41" s="445" t="s">
        <v>382</v>
      </c>
      <c r="F41" s="445" t="s">
        <v>403</v>
      </c>
      <c r="G41" s="445" t="s">
        <v>404</v>
      </c>
      <c r="H41" s="422"/>
      <c r="I41" s="422"/>
      <c r="J41" s="445"/>
      <c r="K41" s="445"/>
      <c r="L41" s="422">
        <v>40</v>
      </c>
      <c r="M41" s="422">
        <v>23200</v>
      </c>
      <c r="N41" s="445">
        <v>1</v>
      </c>
      <c r="O41" s="445">
        <v>580</v>
      </c>
      <c r="P41" s="422">
        <v>52</v>
      </c>
      <c r="Q41" s="422">
        <v>30160</v>
      </c>
      <c r="R41" s="446">
        <v>1.3</v>
      </c>
      <c r="S41" s="447">
        <v>580</v>
      </c>
    </row>
    <row r="42" spans="1:19" ht="14.4" customHeight="1" x14ac:dyDescent="0.3">
      <c r="A42" s="421" t="s">
        <v>380</v>
      </c>
      <c r="B42" s="445" t="s">
        <v>381</v>
      </c>
      <c r="C42" s="445" t="s">
        <v>327</v>
      </c>
      <c r="D42" s="445" t="s">
        <v>366</v>
      </c>
      <c r="E42" s="445" t="s">
        <v>382</v>
      </c>
      <c r="F42" s="445" t="s">
        <v>385</v>
      </c>
      <c r="G42" s="445" t="s">
        <v>386</v>
      </c>
      <c r="H42" s="422"/>
      <c r="I42" s="422"/>
      <c r="J42" s="445"/>
      <c r="K42" s="445"/>
      <c r="L42" s="422"/>
      <c r="M42" s="422"/>
      <c r="N42" s="445"/>
      <c r="O42" s="445"/>
      <c r="P42" s="422">
        <v>33</v>
      </c>
      <c r="Q42" s="422">
        <v>11451</v>
      </c>
      <c r="R42" s="446"/>
      <c r="S42" s="447">
        <v>347</v>
      </c>
    </row>
    <row r="43" spans="1:19" ht="14.4" customHeight="1" x14ac:dyDescent="0.3">
      <c r="A43" s="421" t="s">
        <v>380</v>
      </c>
      <c r="B43" s="445" t="s">
        <v>381</v>
      </c>
      <c r="C43" s="445" t="s">
        <v>327</v>
      </c>
      <c r="D43" s="445" t="s">
        <v>367</v>
      </c>
      <c r="E43" s="445" t="s">
        <v>382</v>
      </c>
      <c r="F43" s="445" t="s">
        <v>385</v>
      </c>
      <c r="G43" s="445" t="s">
        <v>386</v>
      </c>
      <c r="H43" s="422"/>
      <c r="I43" s="422"/>
      <c r="J43" s="445"/>
      <c r="K43" s="445"/>
      <c r="L43" s="422">
        <v>72</v>
      </c>
      <c r="M43" s="422">
        <v>24912</v>
      </c>
      <c r="N43" s="445">
        <v>1</v>
      </c>
      <c r="O43" s="445">
        <v>346</v>
      </c>
      <c r="P43" s="422"/>
      <c r="Q43" s="422"/>
      <c r="R43" s="446"/>
      <c r="S43" s="447"/>
    </row>
    <row r="44" spans="1:19" ht="14.4" customHeight="1" x14ac:dyDescent="0.3">
      <c r="A44" s="421" t="s">
        <v>380</v>
      </c>
      <c r="B44" s="445" t="s">
        <v>381</v>
      </c>
      <c r="C44" s="445" t="s">
        <v>327</v>
      </c>
      <c r="D44" s="445" t="s">
        <v>367</v>
      </c>
      <c r="E44" s="445" t="s">
        <v>382</v>
      </c>
      <c r="F44" s="445" t="s">
        <v>389</v>
      </c>
      <c r="G44" s="445" t="s">
        <v>390</v>
      </c>
      <c r="H44" s="422"/>
      <c r="I44" s="422"/>
      <c r="J44" s="445"/>
      <c r="K44" s="445"/>
      <c r="L44" s="422">
        <v>4</v>
      </c>
      <c r="M44" s="422">
        <v>1384</v>
      </c>
      <c r="N44" s="445">
        <v>1</v>
      </c>
      <c r="O44" s="445">
        <v>346</v>
      </c>
      <c r="P44" s="422"/>
      <c r="Q44" s="422"/>
      <c r="R44" s="446"/>
      <c r="S44" s="447"/>
    </row>
    <row r="45" spans="1:19" ht="14.4" customHeight="1" x14ac:dyDescent="0.3">
      <c r="A45" s="421" t="s">
        <v>380</v>
      </c>
      <c r="B45" s="445" t="s">
        <v>381</v>
      </c>
      <c r="C45" s="445" t="s">
        <v>327</v>
      </c>
      <c r="D45" s="445" t="s">
        <v>367</v>
      </c>
      <c r="E45" s="445" t="s">
        <v>382</v>
      </c>
      <c r="F45" s="445" t="s">
        <v>397</v>
      </c>
      <c r="G45" s="445" t="s">
        <v>398</v>
      </c>
      <c r="H45" s="422"/>
      <c r="I45" s="422"/>
      <c r="J45" s="445"/>
      <c r="K45" s="445"/>
      <c r="L45" s="422">
        <v>33</v>
      </c>
      <c r="M45" s="422">
        <v>19173</v>
      </c>
      <c r="N45" s="445">
        <v>1</v>
      </c>
      <c r="O45" s="445">
        <v>581</v>
      </c>
      <c r="P45" s="422"/>
      <c r="Q45" s="422"/>
      <c r="R45" s="446"/>
      <c r="S45" s="447"/>
    </row>
    <row r="46" spans="1:19" ht="14.4" customHeight="1" x14ac:dyDescent="0.3">
      <c r="A46" s="421" t="s">
        <v>380</v>
      </c>
      <c r="B46" s="445" t="s">
        <v>381</v>
      </c>
      <c r="C46" s="445" t="s">
        <v>327</v>
      </c>
      <c r="D46" s="445" t="s">
        <v>367</v>
      </c>
      <c r="E46" s="445" t="s">
        <v>382</v>
      </c>
      <c r="F46" s="445" t="s">
        <v>401</v>
      </c>
      <c r="G46" s="445" t="s">
        <v>402</v>
      </c>
      <c r="H46" s="422"/>
      <c r="I46" s="422"/>
      <c r="J46" s="445"/>
      <c r="K46" s="445"/>
      <c r="L46" s="422">
        <v>17</v>
      </c>
      <c r="M46" s="422">
        <v>9877</v>
      </c>
      <c r="N46" s="445">
        <v>1</v>
      </c>
      <c r="O46" s="445">
        <v>581</v>
      </c>
      <c r="P46" s="422"/>
      <c r="Q46" s="422"/>
      <c r="R46" s="446"/>
      <c r="S46" s="447"/>
    </row>
    <row r="47" spans="1:19" ht="14.4" customHeight="1" x14ac:dyDescent="0.3">
      <c r="A47" s="421" t="s">
        <v>380</v>
      </c>
      <c r="B47" s="445" t="s">
        <v>381</v>
      </c>
      <c r="C47" s="445" t="s">
        <v>327</v>
      </c>
      <c r="D47" s="445" t="s">
        <v>368</v>
      </c>
      <c r="E47" s="445" t="s">
        <v>382</v>
      </c>
      <c r="F47" s="445" t="s">
        <v>383</v>
      </c>
      <c r="G47" s="445" t="s">
        <v>384</v>
      </c>
      <c r="H47" s="422">
        <v>16</v>
      </c>
      <c r="I47" s="422">
        <v>1120</v>
      </c>
      <c r="J47" s="445">
        <v>1.8918918918918919</v>
      </c>
      <c r="K47" s="445">
        <v>70</v>
      </c>
      <c r="L47" s="422">
        <v>8</v>
      </c>
      <c r="M47" s="422">
        <v>592</v>
      </c>
      <c r="N47" s="445">
        <v>1</v>
      </c>
      <c r="O47" s="445">
        <v>74</v>
      </c>
      <c r="P47" s="422">
        <v>8</v>
      </c>
      <c r="Q47" s="422">
        <v>592</v>
      </c>
      <c r="R47" s="446">
        <v>1</v>
      </c>
      <c r="S47" s="447">
        <v>74</v>
      </c>
    </row>
    <row r="48" spans="1:19" ht="14.4" customHeight="1" x14ac:dyDescent="0.3">
      <c r="A48" s="421" t="s">
        <v>380</v>
      </c>
      <c r="B48" s="445" t="s">
        <v>381</v>
      </c>
      <c r="C48" s="445" t="s">
        <v>327</v>
      </c>
      <c r="D48" s="445" t="s">
        <v>368</v>
      </c>
      <c r="E48" s="445" t="s">
        <v>382</v>
      </c>
      <c r="F48" s="445" t="s">
        <v>385</v>
      </c>
      <c r="G48" s="445" t="s">
        <v>386</v>
      </c>
      <c r="H48" s="422">
        <v>732</v>
      </c>
      <c r="I48" s="422">
        <v>236436</v>
      </c>
      <c r="J48" s="445">
        <v>0.64833115793399221</v>
      </c>
      <c r="K48" s="445">
        <v>323</v>
      </c>
      <c r="L48" s="422">
        <v>1054</v>
      </c>
      <c r="M48" s="422">
        <v>364684</v>
      </c>
      <c r="N48" s="445">
        <v>1</v>
      </c>
      <c r="O48" s="445">
        <v>346</v>
      </c>
      <c r="P48" s="422">
        <v>732</v>
      </c>
      <c r="Q48" s="422">
        <v>254004</v>
      </c>
      <c r="R48" s="446">
        <v>0.69650437090741568</v>
      </c>
      <c r="S48" s="447">
        <v>347</v>
      </c>
    </row>
    <row r="49" spans="1:19" ht="14.4" customHeight="1" x14ac:dyDescent="0.3">
      <c r="A49" s="421" t="s">
        <v>380</v>
      </c>
      <c r="B49" s="445" t="s">
        <v>381</v>
      </c>
      <c r="C49" s="445" t="s">
        <v>327</v>
      </c>
      <c r="D49" s="445" t="s">
        <v>368</v>
      </c>
      <c r="E49" s="445" t="s">
        <v>382</v>
      </c>
      <c r="F49" s="445" t="s">
        <v>389</v>
      </c>
      <c r="G49" s="445" t="s">
        <v>390</v>
      </c>
      <c r="H49" s="422">
        <v>302</v>
      </c>
      <c r="I49" s="422">
        <v>97546</v>
      </c>
      <c r="J49" s="445">
        <v>1.483815028901734</v>
      </c>
      <c r="K49" s="445">
        <v>323</v>
      </c>
      <c r="L49" s="422">
        <v>190</v>
      </c>
      <c r="M49" s="422">
        <v>65740</v>
      </c>
      <c r="N49" s="445">
        <v>1</v>
      </c>
      <c r="O49" s="445">
        <v>346</v>
      </c>
      <c r="P49" s="422">
        <v>202</v>
      </c>
      <c r="Q49" s="422">
        <v>70094</v>
      </c>
      <c r="R49" s="446">
        <v>1.0662306054152724</v>
      </c>
      <c r="S49" s="447">
        <v>347</v>
      </c>
    </row>
    <row r="50" spans="1:19" ht="14.4" customHeight="1" x14ac:dyDescent="0.3">
      <c r="A50" s="421" t="s">
        <v>380</v>
      </c>
      <c r="B50" s="445" t="s">
        <v>381</v>
      </c>
      <c r="C50" s="445" t="s">
        <v>327</v>
      </c>
      <c r="D50" s="445" t="s">
        <v>368</v>
      </c>
      <c r="E50" s="445" t="s">
        <v>382</v>
      </c>
      <c r="F50" s="445" t="s">
        <v>391</v>
      </c>
      <c r="G50" s="445" t="s">
        <v>392</v>
      </c>
      <c r="H50" s="422">
        <v>255</v>
      </c>
      <c r="I50" s="422">
        <v>82365</v>
      </c>
      <c r="J50" s="445">
        <v>9.5219653179190757</v>
      </c>
      <c r="K50" s="445">
        <v>323</v>
      </c>
      <c r="L50" s="422">
        <v>25</v>
      </c>
      <c r="M50" s="422">
        <v>8650</v>
      </c>
      <c r="N50" s="445">
        <v>1</v>
      </c>
      <c r="O50" s="445">
        <v>346</v>
      </c>
      <c r="P50" s="422">
        <v>16</v>
      </c>
      <c r="Q50" s="422">
        <v>5552</v>
      </c>
      <c r="R50" s="446">
        <v>0.64184971098265897</v>
      </c>
      <c r="S50" s="447">
        <v>347</v>
      </c>
    </row>
    <row r="51" spans="1:19" ht="14.4" customHeight="1" x14ac:dyDescent="0.3">
      <c r="A51" s="421" t="s">
        <v>380</v>
      </c>
      <c r="B51" s="445" t="s">
        <v>381</v>
      </c>
      <c r="C51" s="445" t="s">
        <v>327</v>
      </c>
      <c r="D51" s="445" t="s">
        <v>368</v>
      </c>
      <c r="E51" s="445" t="s">
        <v>382</v>
      </c>
      <c r="F51" s="445" t="s">
        <v>397</v>
      </c>
      <c r="G51" s="445" t="s">
        <v>398</v>
      </c>
      <c r="H51" s="422">
        <v>28</v>
      </c>
      <c r="I51" s="422">
        <v>15316</v>
      </c>
      <c r="J51" s="445">
        <v>0.58580990629183405</v>
      </c>
      <c r="K51" s="445">
        <v>547</v>
      </c>
      <c r="L51" s="422">
        <v>45</v>
      </c>
      <c r="M51" s="422">
        <v>26145</v>
      </c>
      <c r="N51" s="445">
        <v>1</v>
      </c>
      <c r="O51" s="445">
        <v>581</v>
      </c>
      <c r="P51" s="422">
        <v>127</v>
      </c>
      <c r="Q51" s="422">
        <v>73787</v>
      </c>
      <c r="R51" s="446">
        <v>2.8222222222222224</v>
      </c>
      <c r="S51" s="447">
        <v>581</v>
      </c>
    </row>
    <row r="52" spans="1:19" ht="14.4" customHeight="1" x14ac:dyDescent="0.3">
      <c r="A52" s="421" t="s">
        <v>380</v>
      </c>
      <c r="B52" s="445" t="s">
        <v>381</v>
      </c>
      <c r="C52" s="445" t="s">
        <v>327</v>
      </c>
      <c r="D52" s="445" t="s">
        <v>368</v>
      </c>
      <c r="E52" s="445" t="s">
        <v>382</v>
      </c>
      <c r="F52" s="445" t="s">
        <v>401</v>
      </c>
      <c r="G52" s="445" t="s">
        <v>402</v>
      </c>
      <c r="H52" s="422">
        <v>185</v>
      </c>
      <c r="I52" s="422">
        <v>101195</v>
      </c>
      <c r="J52" s="445">
        <v>0.86224672381179601</v>
      </c>
      <c r="K52" s="445">
        <v>547</v>
      </c>
      <c r="L52" s="422">
        <v>202</v>
      </c>
      <c r="M52" s="422">
        <v>117362</v>
      </c>
      <c r="N52" s="445">
        <v>1</v>
      </c>
      <c r="O52" s="445">
        <v>581</v>
      </c>
      <c r="P52" s="422">
        <v>215</v>
      </c>
      <c r="Q52" s="422">
        <v>124915</v>
      </c>
      <c r="R52" s="446">
        <v>1.0643564356435644</v>
      </c>
      <c r="S52" s="447">
        <v>581</v>
      </c>
    </row>
    <row r="53" spans="1:19" ht="14.4" customHeight="1" x14ac:dyDescent="0.3">
      <c r="A53" s="421" t="s">
        <v>380</v>
      </c>
      <c r="B53" s="445" t="s">
        <v>381</v>
      </c>
      <c r="C53" s="445" t="s">
        <v>327</v>
      </c>
      <c r="D53" s="445" t="s">
        <v>369</v>
      </c>
      <c r="E53" s="445" t="s">
        <v>382</v>
      </c>
      <c r="F53" s="445" t="s">
        <v>385</v>
      </c>
      <c r="G53" s="445" t="s">
        <v>386</v>
      </c>
      <c r="H53" s="422">
        <v>453</v>
      </c>
      <c r="I53" s="422">
        <v>146319</v>
      </c>
      <c r="J53" s="445">
        <v>0.66076138005780349</v>
      </c>
      <c r="K53" s="445">
        <v>323</v>
      </c>
      <c r="L53" s="422">
        <v>640</v>
      </c>
      <c r="M53" s="422">
        <v>221440</v>
      </c>
      <c r="N53" s="445">
        <v>1</v>
      </c>
      <c r="O53" s="445">
        <v>346</v>
      </c>
      <c r="P53" s="422">
        <v>668</v>
      </c>
      <c r="Q53" s="422">
        <v>231796</v>
      </c>
      <c r="R53" s="446">
        <v>1.0467666184971098</v>
      </c>
      <c r="S53" s="447">
        <v>347</v>
      </c>
    </row>
    <row r="54" spans="1:19" ht="14.4" customHeight="1" x14ac:dyDescent="0.3">
      <c r="A54" s="421" t="s">
        <v>380</v>
      </c>
      <c r="B54" s="445" t="s">
        <v>381</v>
      </c>
      <c r="C54" s="445" t="s">
        <v>327</v>
      </c>
      <c r="D54" s="445" t="s">
        <v>369</v>
      </c>
      <c r="E54" s="445" t="s">
        <v>382</v>
      </c>
      <c r="F54" s="445" t="s">
        <v>387</v>
      </c>
      <c r="G54" s="445" t="s">
        <v>388</v>
      </c>
      <c r="H54" s="422">
        <v>30</v>
      </c>
      <c r="I54" s="422">
        <v>6450</v>
      </c>
      <c r="J54" s="445"/>
      <c r="K54" s="445">
        <v>215</v>
      </c>
      <c r="L54" s="422"/>
      <c r="M54" s="422"/>
      <c r="N54" s="445"/>
      <c r="O54" s="445"/>
      <c r="P54" s="422"/>
      <c r="Q54" s="422"/>
      <c r="R54" s="446"/>
      <c r="S54" s="447"/>
    </row>
    <row r="55" spans="1:19" ht="14.4" customHeight="1" x14ac:dyDescent="0.3">
      <c r="A55" s="421" t="s">
        <v>380</v>
      </c>
      <c r="B55" s="445" t="s">
        <v>381</v>
      </c>
      <c r="C55" s="445" t="s">
        <v>327</v>
      </c>
      <c r="D55" s="445" t="s">
        <v>369</v>
      </c>
      <c r="E55" s="445" t="s">
        <v>382</v>
      </c>
      <c r="F55" s="445" t="s">
        <v>389</v>
      </c>
      <c r="G55" s="445" t="s">
        <v>390</v>
      </c>
      <c r="H55" s="422"/>
      <c r="I55" s="422"/>
      <c r="J55" s="445"/>
      <c r="K55" s="445"/>
      <c r="L55" s="422">
        <v>4</v>
      </c>
      <c r="M55" s="422">
        <v>1384</v>
      </c>
      <c r="N55" s="445">
        <v>1</v>
      </c>
      <c r="O55" s="445">
        <v>346</v>
      </c>
      <c r="P55" s="422"/>
      <c r="Q55" s="422"/>
      <c r="R55" s="446"/>
      <c r="S55" s="447"/>
    </row>
    <row r="56" spans="1:19" ht="14.4" customHeight="1" x14ac:dyDescent="0.3">
      <c r="A56" s="421" t="s">
        <v>380</v>
      </c>
      <c r="B56" s="445" t="s">
        <v>381</v>
      </c>
      <c r="C56" s="445" t="s">
        <v>327</v>
      </c>
      <c r="D56" s="445" t="s">
        <v>369</v>
      </c>
      <c r="E56" s="445" t="s">
        <v>382</v>
      </c>
      <c r="F56" s="445" t="s">
        <v>391</v>
      </c>
      <c r="G56" s="445" t="s">
        <v>392</v>
      </c>
      <c r="H56" s="422">
        <v>4</v>
      </c>
      <c r="I56" s="422">
        <v>1292</v>
      </c>
      <c r="J56" s="445"/>
      <c r="K56" s="445">
        <v>323</v>
      </c>
      <c r="L56" s="422"/>
      <c r="M56" s="422"/>
      <c r="N56" s="445"/>
      <c r="O56" s="445"/>
      <c r="P56" s="422"/>
      <c r="Q56" s="422"/>
      <c r="R56" s="446"/>
      <c r="S56" s="447"/>
    </row>
    <row r="57" spans="1:19" ht="14.4" customHeight="1" x14ac:dyDescent="0.3">
      <c r="A57" s="421" t="s">
        <v>380</v>
      </c>
      <c r="B57" s="445" t="s">
        <v>381</v>
      </c>
      <c r="C57" s="445" t="s">
        <v>327</v>
      </c>
      <c r="D57" s="445" t="s">
        <v>369</v>
      </c>
      <c r="E57" s="445" t="s">
        <v>382</v>
      </c>
      <c r="F57" s="445" t="s">
        <v>393</v>
      </c>
      <c r="G57" s="445" t="s">
        <v>394</v>
      </c>
      <c r="H57" s="422">
        <v>18</v>
      </c>
      <c r="I57" s="422">
        <v>599.9899999999999</v>
      </c>
      <c r="J57" s="445">
        <v>1.5000875065629924</v>
      </c>
      <c r="K57" s="445">
        <v>33.332777777777771</v>
      </c>
      <c r="L57" s="422">
        <v>12</v>
      </c>
      <c r="M57" s="422">
        <v>399.96999999999991</v>
      </c>
      <c r="N57" s="445">
        <v>1</v>
      </c>
      <c r="O57" s="445">
        <v>33.330833333333324</v>
      </c>
      <c r="P57" s="422">
        <v>1</v>
      </c>
      <c r="Q57" s="422">
        <v>33.33</v>
      </c>
      <c r="R57" s="446">
        <v>8.3331249843738298E-2</v>
      </c>
      <c r="S57" s="447">
        <v>33.33</v>
      </c>
    </row>
    <row r="58" spans="1:19" ht="14.4" customHeight="1" x14ac:dyDescent="0.3">
      <c r="A58" s="421" t="s">
        <v>380</v>
      </c>
      <c r="B58" s="445" t="s">
        <v>381</v>
      </c>
      <c r="C58" s="445" t="s">
        <v>327</v>
      </c>
      <c r="D58" s="445" t="s">
        <v>369</v>
      </c>
      <c r="E58" s="445" t="s">
        <v>382</v>
      </c>
      <c r="F58" s="445" t="s">
        <v>395</v>
      </c>
      <c r="G58" s="445" t="s">
        <v>396</v>
      </c>
      <c r="H58" s="422">
        <v>127</v>
      </c>
      <c r="I58" s="422">
        <v>69342</v>
      </c>
      <c r="J58" s="445">
        <v>2.4907327586206898</v>
      </c>
      <c r="K58" s="445">
        <v>546</v>
      </c>
      <c r="L58" s="422">
        <v>48</v>
      </c>
      <c r="M58" s="422">
        <v>27840</v>
      </c>
      <c r="N58" s="445">
        <v>1</v>
      </c>
      <c r="O58" s="445">
        <v>580</v>
      </c>
      <c r="P58" s="422">
        <v>4</v>
      </c>
      <c r="Q58" s="422">
        <v>2320</v>
      </c>
      <c r="R58" s="446">
        <v>8.3333333333333329E-2</v>
      </c>
      <c r="S58" s="447">
        <v>580</v>
      </c>
    </row>
    <row r="59" spans="1:19" ht="14.4" customHeight="1" x14ac:dyDescent="0.3">
      <c r="A59" s="421" t="s">
        <v>380</v>
      </c>
      <c r="B59" s="445" t="s">
        <v>381</v>
      </c>
      <c r="C59" s="445" t="s">
        <v>327</v>
      </c>
      <c r="D59" s="445" t="s">
        <v>370</v>
      </c>
      <c r="E59" s="445" t="s">
        <v>382</v>
      </c>
      <c r="F59" s="445" t="s">
        <v>383</v>
      </c>
      <c r="G59" s="445" t="s">
        <v>384</v>
      </c>
      <c r="H59" s="422">
        <v>20</v>
      </c>
      <c r="I59" s="422">
        <v>1400</v>
      </c>
      <c r="J59" s="445">
        <v>0.47297297297297297</v>
      </c>
      <c r="K59" s="445">
        <v>70</v>
      </c>
      <c r="L59" s="422">
        <v>40</v>
      </c>
      <c r="M59" s="422">
        <v>2960</v>
      </c>
      <c r="N59" s="445">
        <v>1</v>
      </c>
      <c r="O59" s="445">
        <v>74</v>
      </c>
      <c r="P59" s="422">
        <v>17</v>
      </c>
      <c r="Q59" s="422">
        <v>1258</v>
      </c>
      <c r="R59" s="446">
        <v>0.42499999999999999</v>
      </c>
      <c r="S59" s="447">
        <v>74</v>
      </c>
    </row>
    <row r="60" spans="1:19" ht="14.4" customHeight="1" x14ac:dyDescent="0.3">
      <c r="A60" s="421" t="s">
        <v>380</v>
      </c>
      <c r="B60" s="445" t="s">
        <v>381</v>
      </c>
      <c r="C60" s="445" t="s">
        <v>327</v>
      </c>
      <c r="D60" s="445" t="s">
        <v>370</v>
      </c>
      <c r="E60" s="445" t="s">
        <v>382</v>
      </c>
      <c r="F60" s="445" t="s">
        <v>385</v>
      </c>
      <c r="G60" s="445" t="s">
        <v>386</v>
      </c>
      <c r="H60" s="422">
        <v>492</v>
      </c>
      <c r="I60" s="422">
        <v>158916</v>
      </c>
      <c r="J60" s="445">
        <v>0.87987509135605613</v>
      </c>
      <c r="K60" s="445">
        <v>323</v>
      </c>
      <c r="L60" s="422">
        <v>522</v>
      </c>
      <c r="M60" s="422">
        <v>180612</v>
      </c>
      <c r="N60" s="445">
        <v>1</v>
      </c>
      <c r="O60" s="445">
        <v>346</v>
      </c>
      <c r="P60" s="422">
        <v>312</v>
      </c>
      <c r="Q60" s="422">
        <v>108264</v>
      </c>
      <c r="R60" s="446">
        <v>0.59942860939472464</v>
      </c>
      <c r="S60" s="447">
        <v>347</v>
      </c>
    </row>
    <row r="61" spans="1:19" ht="14.4" customHeight="1" x14ac:dyDescent="0.3">
      <c r="A61" s="421" t="s">
        <v>380</v>
      </c>
      <c r="B61" s="445" t="s">
        <v>381</v>
      </c>
      <c r="C61" s="445" t="s">
        <v>327</v>
      </c>
      <c r="D61" s="445" t="s">
        <v>370</v>
      </c>
      <c r="E61" s="445" t="s">
        <v>382</v>
      </c>
      <c r="F61" s="445" t="s">
        <v>389</v>
      </c>
      <c r="G61" s="445" t="s">
        <v>390</v>
      </c>
      <c r="H61" s="422">
        <v>8</v>
      </c>
      <c r="I61" s="422">
        <v>2584</v>
      </c>
      <c r="J61" s="445">
        <v>0.37341040462427744</v>
      </c>
      <c r="K61" s="445">
        <v>323</v>
      </c>
      <c r="L61" s="422">
        <v>20</v>
      </c>
      <c r="M61" s="422">
        <v>6920</v>
      </c>
      <c r="N61" s="445">
        <v>1</v>
      </c>
      <c r="O61" s="445">
        <v>346</v>
      </c>
      <c r="P61" s="422">
        <v>25</v>
      </c>
      <c r="Q61" s="422">
        <v>8675</v>
      </c>
      <c r="R61" s="446">
        <v>1.2536127167630058</v>
      </c>
      <c r="S61" s="447">
        <v>347</v>
      </c>
    </row>
    <row r="62" spans="1:19" ht="14.4" customHeight="1" x14ac:dyDescent="0.3">
      <c r="A62" s="421" t="s">
        <v>380</v>
      </c>
      <c r="B62" s="445" t="s">
        <v>381</v>
      </c>
      <c r="C62" s="445" t="s">
        <v>327</v>
      </c>
      <c r="D62" s="445" t="s">
        <v>370</v>
      </c>
      <c r="E62" s="445" t="s">
        <v>382</v>
      </c>
      <c r="F62" s="445" t="s">
        <v>391</v>
      </c>
      <c r="G62" s="445" t="s">
        <v>392</v>
      </c>
      <c r="H62" s="422"/>
      <c r="I62" s="422"/>
      <c r="J62" s="445"/>
      <c r="K62" s="445"/>
      <c r="L62" s="422">
        <v>4</v>
      </c>
      <c r="M62" s="422">
        <v>1384</v>
      </c>
      <c r="N62" s="445">
        <v>1</v>
      </c>
      <c r="O62" s="445">
        <v>346</v>
      </c>
      <c r="P62" s="422"/>
      <c r="Q62" s="422"/>
      <c r="R62" s="446"/>
      <c r="S62" s="447"/>
    </row>
    <row r="63" spans="1:19" ht="14.4" customHeight="1" x14ac:dyDescent="0.3">
      <c r="A63" s="421" t="s">
        <v>380</v>
      </c>
      <c r="B63" s="445" t="s">
        <v>381</v>
      </c>
      <c r="C63" s="445" t="s">
        <v>327</v>
      </c>
      <c r="D63" s="445" t="s">
        <v>370</v>
      </c>
      <c r="E63" s="445" t="s">
        <v>382</v>
      </c>
      <c r="F63" s="445" t="s">
        <v>393</v>
      </c>
      <c r="G63" s="445" t="s">
        <v>394</v>
      </c>
      <c r="H63" s="422">
        <v>13</v>
      </c>
      <c r="I63" s="422">
        <v>433.34000000000003</v>
      </c>
      <c r="J63" s="445">
        <v>0.54166145846353841</v>
      </c>
      <c r="K63" s="445">
        <v>33.333846153846153</v>
      </c>
      <c r="L63" s="422">
        <v>24</v>
      </c>
      <c r="M63" s="422">
        <v>800.02</v>
      </c>
      <c r="N63" s="445">
        <v>1</v>
      </c>
      <c r="O63" s="445">
        <v>33.334166666666668</v>
      </c>
      <c r="P63" s="422">
        <v>14</v>
      </c>
      <c r="Q63" s="422">
        <v>466.68000000000006</v>
      </c>
      <c r="R63" s="446">
        <v>0.58333541661458477</v>
      </c>
      <c r="S63" s="447">
        <v>33.33428571428572</v>
      </c>
    </row>
    <row r="64" spans="1:19" ht="14.4" customHeight="1" x14ac:dyDescent="0.3">
      <c r="A64" s="421" t="s">
        <v>380</v>
      </c>
      <c r="B64" s="445" t="s">
        <v>381</v>
      </c>
      <c r="C64" s="445" t="s">
        <v>327</v>
      </c>
      <c r="D64" s="445" t="s">
        <v>370</v>
      </c>
      <c r="E64" s="445" t="s">
        <v>382</v>
      </c>
      <c r="F64" s="445" t="s">
        <v>395</v>
      </c>
      <c r="G64" s="445" t="s">
        <v>396</v>
      </c>
      <c r="H64" s="422">
        <v>56</v>
      </c>
      <c r="I64" s="422">
        <v>30576</v>
      </c>
      <c r="J64" s="445">
        <v>0.73218390804597699</v>
      </c>
      <c r="K64" s="445">
        <v>546</v>
      </c>
      <c r="L64" s="422">
        <v>72</v>
      </c>
      <c r="M64" s="422">
        <v>41760</v>
      </c>
      <c r="N64" s="445">
        <v>1</v>
      </c>
      <c r="O64" s="445">
        <v>580</v>
      </c>
      <c r="P64" s="422">
        <v>50</v>
      </c>
      <c r="Q64" s="422">
        <v>29000</v>
      </c>
      <c r="R64" s="446">
        <v>0.69444444444444442</v>
      </c>
      <c r="S64" s="447">
        <v>580</v>
      </c>
    </row>
    <row r="65" spans="1:19" ht="14.4" customHeight="1" x14ac:dyDescent="0.3">
      <c r="A65" s="421" t="s">
        <v>380</v>
      </c>
      <c r="B65" s="445" t="s">
        <v>381</v>
      </c>
      <c r="C65" s="445" t="s">
        <v>327</v>
      </c>
      <c r="D65" s="445" t="s">
        <v>371</v>
      </c>
      <c r="E65" s="445" t="s">
        <v>382</v>
      </c>
      <c r="F65" s="445" t="s">
        <v>383</v>
      </c>
      <c r="G65" s="445" t="s">
        <v>384</v>
      </c>
      <c r="H65" s="422">
        <v>4</v>
      </c>
      <c r="I65" s="422">
        <v>280</v>
      </c>
      <c r="J65" s="445"/>
      <c r="K65" s="445">
        <v>70</v>
      </c>
      <c r="L65" s="422"/>
      <c r="M65" s="422"/>
      <c r="N65" s="445"/>
      <c r="O65" s="445"/>
      <c r="P65" s="422"/>
      <c r="Q65" s="422"/>
      <c r="R65" s="446"/>
      <c r="S65" s="447"/>
    </row>
    <row r="66" spans="1:19" ht="14.4" customHeight="1" x14ac:dyDescent="0.3">
      <c r="A66" s="421" t="s">
        <v>380</v>
      </c>
      <c r="B66" s="445" t="s">
        <v>381</v>
      </c>
      <c r="C66" s="445" t="s">
        <v>327</v>
      </c>
      <c r="D66" s="445" t="s">
        <v>371</v>
      </c>
      <c r="E66" s="445" t="s">
        <v>382</v>
      </c>
      <c r="F66" s="445" t="s">
        <v>385</v>
      </c>
      <c r="G66" s="445" t="s">
        <v>386</v>
      </c>
      <c r="H66" s="422">
        <v>339</v>
      </c>
      <c r="I66" s="422">
        <v>109497</v>
      </c>
      <c r="J66" s="445"/>
      <c r="K66" s="445">
        <v>323</v>
      </c>
      <c r="L66" s="422"/>
      <c r="M66" s="422"/>
      <c r="N66" s="445"/>
      <c r="O66" s="445"/>
      <c r="P66" s="422"/>
      <c r="Q66" s="422"/>
      <c r="R66" s="446"/>
      <c r="S66" s="447"/>
    </row>
    <row r="67" spans="1:19" ht="14.4" customHeight="1" x14ac:dyDescent="0.3">
      <c r="A67" s="421" t="s">
        <v>380</v>
      </c>
      <c r="B67" s="445" t="s">
        <v>381</v>
      </c>
      <c r="C67" s="445" t="s">
        <v>327</v>
      </c>
      <c r="D67" s="445" t="s">
        <v>371</v>
      </c>
      <c r="E67" s="445" t="s">
        <v>382</v>
      </c>
      <c r="F67" s="445" t="s">
        <v>389</v>
      </c>
      <c r="G67" s="445" t="s">
        <v>390</v>
      </c>
      <c r="H67" s="422">
        <v>12</v>
      </c>
      <c r="I67" s="422">
        <v>3876</v>
      </c>
      <c r="J67" s="445"/>
      <c r="K67" s="445">
        <v>323</v>
      </c>
      <c r="L67" s="422"/>
      <c r="M67" s="422"/>
      <c r="N67" s="445"/>
      <c r="O67" s="445"/>
      <c r="P67" s="422"/>
      <c r="Q67" s="422"/>
      <c r="R67" s="446"/>
      <c r="S67" s="447"/>
    </row>
    <row r="68" spans="1:19" ht="14.4" customHeight="1" x14ac:dyDescent="0.3">
      <c r="A68" s="421" t="s">
        <v>380</v>
      </c>
      <c r="B68" s="445" t="s">
        <v>381</v>
      </c>
      <c r="C68" s="445" t="s">
        <v>327</v>
      </c>
      <c r="D68" s="445" t="s">
        <v>371</v>
      </c>
      <c r="E68" s="445" t="s">
        <v>382</v>
      </c>
      <c r="F68" s="445" t="s">
        <v>391</v>
      </c>
      <c r="G68" s="445" t="s">
        <v>392</v>
      </c>
      <c r="H68" s="422">
        <v>20</v>
      </c>
      <c r="I68" s="422">
        <v>6460</v>
      </c>
      <c r="J68" s="445"/>
      <c r="K68" s="445">
        <v>323</v>
      </c>
      <c r="L68" s="422"/>
      <c r="M68" s="422"/>
      <c r="N68" s="445"/>
      <c r="O68" s="445"/>
      <c r="P68" s="422"/>
      <c r="Q68" s="422"/>
      <c r="R68" s="446"/>
      <c r="S68" s="447"/>
    </row>
    <row r="69" spans="1:19" ht="14.4" customHeight="1" x14ac:dyDescent="0.3">
      <c r="A69" s="421" t="s">
        <v>380</v>
      </c>
      <c r="B69" s="445" t="s">
        <v>381</v>
      </c>
      <c r="C69" s="445" t="s">
        <v>327</v>
      </c>
      <c r="D69" s="445" t="s">
        <v>372</v>
      </c>
      <c r="E69" s="445" t="s">
        <v>382</v>
      </c>
      <c r="F69" s="445" t="s">
        <v>383</v>
      </c>
      <c r="G69" s="445" t="s">
        <v>384</v>
      </c>
      <c r="H69" s="422">
        <v>28</v>
      </c>
      <c r="I69" s="422">
        <v>1960</v>
      </c>
      <c r="J69" s="445">
        <v>0.1504914004914005</v>
      </c>
      <c r="K69" s="445">
        <v>70</v>
      </c>
      <c r="L69" s="422">
        <v>176</v>
      </c>
      <c r="M69" s="422">
        <v>13024</v>
      </c>
      <c r="N69" s="445">
        <v>1</v>
      </c>
      <c r="O69" s="445">
        <v>74</v>
      </c>
      <c r="P69" s="422">
        <v>153</v>
      </c>
      <c r="Q69" s="422">
        <v>11322</v>
      </c>
      <c r="R69" s="446">
        <v>0.86931818181818177</v>
      </c>
      <c r="S69" s="447">
        <v>74</v>
      </c>
    </row>
    <row r="70" spans="1:19" ht="14.4" customHeight="1" x14ac:dyDescent="0.3">
      <c r="A70" s="421" t="s">
        <v>380</v>
      </c>
      <c r="B70" s="445" t="s">
        <v>381</v>
      </c>
      <c r="C70" s="445" t="s">
        <v>327</v>
      </c>
      <c r="D70" s="445" t="s">
        <v>372</v>
      </c>
      <c r="E70" s="445" t="s">
        <v>382</v>
      </c>
      <c r="F70" s="445" t="s">
        <v>385</v>
      </c>
      <c r="G70" s="445" t="s">
        <v>386</v>
      </c>
      <c r="H70" s="422">
        <v>322</v>
      </c>
      <c r="I70" s="422">
        <v>104006</v>
      </c>
      <c r="J70" s="445">
        <v>0.25345309926015458</v>
      </c>
      <c r="K70" s="445">
        <v>323</v>
      </c>
      <c r="L70" s="422">
        <v>1186</v>
      </c>
      <c r="M70" s="422">
        <v>410356</v>
      </c>
      <c r="N70" s="445">
        <v>1</v>
      </c>
      <c r="O70" s="445">
        <v>346</v>
      </c>
      <c r="P70" s="422">
        <v>1084</v>
      </c>
      <c r="Q70" s="422">
        <v>376148</v>
      </c>
      <c r="R70" s="446">
        <v>0.9166382360681945</v>
      </c>
      <c r="S70" s="447">
        <v>347</v>
      </c>
    </row>
    <row r="71" spans="1:19" ht="14.4" customHeight="1" x14ac:dyDescent="0.3">
      <c r="A71" s="421" t="s">
        <v>380</v>
      </c>
      <c r="B71" s="445" t="s">
        <v>381</v>
      </c>
      <c r="C71" s="445" t="s">
        <v>327</v>
      </c>
      <c r="D71" s="445" t="s">
        <v>372</v>
      </c>
      <c r="E71" s="445" t="s">
        <v>382</v>
      </c>
      <c r="F71" s="445" t="s">
        <v>389</v>
      </c>
      <c r="G71" s="445" t="s">
        <v>390</v>
      </c>
      <c r="H71" s="422">
        <v>4</v>
      </c>
      <c r="I71" s="422">
        <v>1292</v>
      </c>
      <c r="J71" s="445">
        <v>7.0454793325335371E-2</v>
      </c>
      <c r="K71" s="445">
        <v>323</v>
      </c>
      <c r="L71" s="422">
        <v>53</v>
      </c>
      <c r="M71" s="422">
        <v>18338</v>
      </c>
      <c r="N71" s="445">
        <v>1</v>
      </c>
      <c r="O71" s="445">
        <v>346</v>
      </c>
      <c r="P71" s="422">
        <v>44</v>
      </c>
      <c r="Q71" s="422">
        <v>15268</v>
      </c>
      <c r="R71" s="446">
        <v>0.83258806849165667</v>
      </c>
      <c r="S71" s="447">
        <v>347</v>
      </c>
    </row>
    <row r="72" spans="1:19" ht="14.4" customHeight="1" x14ac:dyDescent="0.3">
      <c r="A72" s="421" t="s">
        <v>380</v>
      </c>
      <c r="B72" s="445" t="s">
        <v>381</v>
      </c>
      <c r="C72" s="445" t="s">
        <v>327</v>
      </c>
      <c r="D72" s="445" t="s">
        <v>372</v>
      </c>
      <c r="E72" s="445" t="s">
        <v>382</v>
      </c>
      <c r="F72" s="445" t="s">
        <v>391</v>
      </c>
      <c r="G72" s="445" t="s">
        <v>392</v>
      </c>
      <c r="H72" s="422">
        <v>14</v>
      </c>
      <c r="I72" s="422">
        <v>4522</v>
      </c>
      <c r="J72" s="445">
        <v>0.38439306358381503</v>
      </c>
      <c r="K72" s="445">
        <v>323</v>
      </c>
      <c r="L72" s="422">
        <v>34</v>
      </c>
      <c r="M72" s="422">
        <v>11764</v>
      </c>
      <c r="N72" s="445">
        <v>1</v>
      </c>
      <c r="O72" s="445">
        <v>346</v>
      </c>
      <c r="P72" s="422">
        <v>20</v>
      </c>
      <c r="Q72" s="422">
        <v>6940</v>
      </c>
      <c r="R72" s="446">
        <v>0.58993539612376744</v>
      </c>
      <c r="S72" s="447">
        <v>347</v>
      </c>
    </row>
    <row r="73" spans="1:19" ht="14.4" customHeight="1" x14ac:dyDescent="0.3">
      <c r="A73" s="421" t="s">
        <v>380</v>
      </c>
      <c r="B73" s="445" t="s">
        <v>381</v>
      </c>
      <c r="C73" s="445" t="s">
        <v>327</v>
      </c>
      <c r="D73" s="445" t="s">
        <v>372</v>
      </c>
      <c r="E73" s="445" t="s">
        <v>382</v>
      </c>
      <c r="F73" s="445" t="s">
        <v>393</v>
      </c>
      <c r="G73" s="445" t="s">
        <v>394</v>
      </c>
      <c r="H73" s="422">
        <v>6</v>
      </c>
      <c r="I73" s="422">
        <v>200.01</v>
      </c>
      <c r="J73" s="445">
        <v>2.0000999999999998</v>
      </c>
      <c r="K73" s="445">
        <v>33.335000000000001</v>
      </c>
      <c r="L73" s="422">
        <v>3</v>
      </c>
      <c r="M73" s="422">
        <v>100</v>
      </c>
      <c r="N73" s="445">
        <v>1</v>
      </c>
      <c r="O73" s="445">
        <v>33.333333333333336</v>
      </c>
      <c r="P73" s="422">
        <v>13</v>
      </c>
      <c r="Q73" s="422">
        <v>433.30999999999995</v>
      </c>
      <c r="R73" s="446">
        <v>4.3330999999999991</v>
      </c>
      <c r="S73" s="447">
        <v>33.331538461538457</v>
      </c>
    </row>
    <row r="74" spans="1:19" ht="14.4" customHeight="1" x14ac:dyDescent="0.3">
      <c r="A74" s="421" t="s">
        <v>380</v>
      </c>
      <c r="B74" s="445" t="s">
        <v>381</v>
      </c>
      <c r="C74" s="445" t="s">
        <v>327</v>
      </c>
      <c r="D74" s="445" t="s">
        <v>372</v>
      </c>
      <c r="E74" s="445" t="s">
        <v>382</v>
      </c>
      <c r="F74" s="445" t="s">
        <v>395</v>
      </c>
      <c r="G74" s="445" t="s">
        <v>396</v>
      </c>
      <c r="H74" s="422">
        <v>17</v>
      </c>
      <c r="I74" s="422">
        <v>9282</v>
      </c>
      <c r="J74" s="445">
        <v>2.6672413793103447</v>
      </c>
      <c r="K74" s="445">
        <v>546</v>
      </c>
      <c r="L74" s="422">
        <v>6</v>
      </c>
      <c r="M74" s="422">
        <v>3480</v>
      </c>
      <c r="N74" s="445">
        <v>1</v>
      </c>
      <c r="O74" s="445">
        <v>580</v>
      </c>
      <c r="P74" s="422">
        <v>30</v>
      </c>
      <c r="Q74" s="422">
        <v>17400</v>
      </c>
      <c r="R74" s="446">
        <v>5</v>
      </c>
      <c r="S74" s="447">
        <v>580</v>
      </c>
    </row>
    <row r="75" spans="1:19" ht="14.4" customHeight="1" x14ac:dyDescent="0.3">
      <c r="A75" s="421" t="s">
        <v>380</v>
      </c>
      <c r="B75" s="445" t="s">
        <v>381</v>
      </c>
      <c r="C75" s="445" t="s">
        <v>327</v>
      </c>
      <c r="D75" s="445" t="s">
        <v>372</v>
      </c>
      <c r="E75" s="445" t="s">
        <v>382</v>
      </c>
      <c r="F75" s="445" t="s">
        <v>403</v>
      </c>
      <c r="G75" s="445" t="s">
        <v>404</v>
      </c>
      <c r="H75" s="422"/>
      <c r="I75" s="422"/>
      <c r="J75" s="445"/>
      <c r="K75" s="445"/>
      <c r="L75" s="422"/>
      <c r="M75" s="422"/>
      <c r="N75" s="445"/>
      <c r="O75" s="445"/>
      <c r="P75" s="422">
        <v>6</v>
      </c>
      <c r="Q75" s="422">
        <v>3480</v>
      </c>
      <c r="R75" s="446"/>
      <c r="S75" s="447">
        <v>580</v>
      </c>
    </row>
    <row r="76" spans="1:19" ht="14.4" customHeight="1" x14ac:dyDescent="0.3">
      <c r="A76" s="421" t="s">
        <v>380</v>
      </c>
      <c r="B76" s="445" t="s">
        <v>381</v>
      </c>
      <c r="C76" s="445" t="s">
        <v>327</v>
      </c>
      <c r="D76" s="445" t="s">
        <v>372</v>
      </c>
      <c r="E76" s="445" t="s">
        <v>382</v>
      </c>
      <c r="F76" s="445" t="s">
        <v>405</v>
      </c>
      <c r="G76" s="445" t="s">
        <v>406</v>
      </c>
      <c r="H76" s="422"/>
      <c r="I76" s="422"/>
      <c r="J76" s="445"/>
      <c r="K76" s="445"/>
      <c r="L76" s="422"/>
      <c r="M76" s="422"/>
      <c r="N76" s="445"/>
      <c r="O76" s="445"/>
      <c r="P76" s="422">
        <v>8</v>
      </c>
      <c r="Q76" s="422">
        <v>2328</v>
      </c>
      <c r="R76" s="446"/>
      <c r="S76" s="447">
        <v>291</v>
      </c>
    </row>
    <row r="77" spans="1:19" ht="14.4" customHeight="1" x14ac:dyDescent="0.3">
      <c r="A77" s="421" t="s">
        <v>380</v>
      </c>
      <c r="B77" s="445" t="s">
        <v>381</v>
      </c>
      <c r="C77" s="445" t="s">
        <v>327</v>
      </c>
      <c r="D77" s="445" t="s">
        <v>373</v>
      </c>
      <c r="E77" s="445" t="s">
        <v>382</v>
      </c>
      <c r="F77" s="445" t="s">
        <v>385</v>
      </c>
      <c r="G77" s="445" t="s">
        <v>386</v>
      </c>
      <c r="H77" s="422">
        <v>148</v>
      </c>
      <c r="I77" s="422">
        <v>47804</v>
      </c>
      <c r="J77" s="445">
        <v>0.70490739648460543</v>
      </c>
      <c r="K77" s="445">
        <v>323</v>
      </c>
      <c r="L77" s="422">
        <v>196</v>
      </c>
      <c r="M77" s="422">
        <v>67816</v>
      </c>
      <c r="N77" s="445">
        <v>1</v>
      </c>
      <c r="O77" s="445">
        <v>346</v>
      </c>
      <c r="P77" s="422">
        <v>284</v>
      </c>
      <c r="Q77" s="422">
        <v>98548</v>
      </c>
      <c r="R77" s="446">
        <v>1.4531673941252801</v>
      </c>
      <c r="S77" s="447">
        <v>347</v>
      </c>
    </row>
    <row r="78" spans="1:19" ht="14.4" customHeight="1" x14ac:dyDescent="0.3">
      <c r="A78" s="421" t="s">
        <v>380</v>
      </c>
      <c r="B78" s="445" t="s">
        <v>381</v>
      </c>
      <c r="C78" s="445" t="s">
        <v>327</v>
      </c>
      <c r="D78" s="445" t="s">
        <v>373</v>
      </c>
      <c r="E78" s="445" t="s">
        <v>382</v>
      </c>
      <c r="F78" s="445" t="s">
        <v>391</v>
      </c>
      <c r="G78" s="445" t="s">
        <v>392</v>
      </c>
      <c r="H78" s="422">
        <v>6</v>
      </c>
      <c r="I78" s="422">
        <v>1938</v>
      </c>
      <c r="J78" s="445">
        <v>0.93352601156069359</v>
      </c>
      <c r="K78" s="445">
        <v>323</v>
      </c>
      <c r="L78" s="422">
        <v>6</v>
      </c>
      <c r="M78" s="422">
        <v>2076</v>
      </c>
      <c r="N78" s="445">
        <v>1</v>
      </c>
      <c r="O78" s="445">
        <v>346</v>
      </c>
      <c r="P78" s="422">
        <v>8</v>
      </c>
      <c r="Q78" s="422">
        <v>2776</v>
      </c>
      <c r="R78" s="446">
        <v>1.3371868978805395</v>
      </c>
      <c r="S78" s="447">
        <v>347</v>
      </c>
    </row>
    <row r="79" spans="1:19" ht="14.4" customHeight="1" x14ac:dyDescent="0.3">
      <c r="A79" s="421" t="s">
        <v>380</v>
      </c>
      <c r="B79" s="445" t="s">
        <v>381</v>
      </c>
      <c r="C79" s="445" t="s">
        <v>327</v>
      </c>
      <c r="D79" s="445" t="s">
        <v>373</v>
      </c>
      <c r="E79" s="445" t="s">
        <v>382</v>
      </c>
      <c r="F79" s="445" t="s">
        <v>393</v>
      </c>
      <c r="G79" s="445" t="s">
        <v>394</v>
      </c>
      <c r="H79" s="422"/>
      <c r="I79" s="422"/>
      <c r="J79" s="445"/>
      <c r="K79" s="445"/>
      <c r="L79" s="422"/>
      <c r="M79" s="422"/>
      <c r="N79" s="445"/>
      <c r="O79" s="445"/>
      <c r="P79" s="422">
        <v>2</v>
      </c>
      <c r="Q79" s="422">
        <v>66.67</v>
      </c>
      <c r="R79" s="446"/>
      <c r="S79" s="447">
        <v>33.335000000000001</v>
      </c>
    </row>
    <row r="80" spans="1:19" ht="14.4" customHeight="1" x14ac:dyDescent="0.3">
      <c r="A80" s="421" t="s">
        <v>380</v>
      </c>
      <c r="B80" s="445" t="s">
        <v>381</v>
      </c>
      <c r="C80" s="445" t="s">
        <v>327</v>
      </c>
      <c r="D80" s="445" t="s">
        <v>373</v>
      </c>
      <c r="E80" s="445" t="s">
        <v>382</v>
      </c>
      <c r="F80" s="445" t="s">
        <v>395</v>
      </c>
      <c r="G80" s="445" t="s">
        <v>396</v>
      </c>
      <c r="H80" s="422"/>
      <c r="I80" s="422"/>
      <c r="J80" s="445"/>
      <c r="K80" s="445"/>
      <c r="L80" s="422"/>
      <c r="M80" s="422"/>
      <c r="N80" s="445"/>
      <c r="O80" s="445"/>
      <c r="P80" s="422">
        <v>10</v>
      </c>
      <c r="Q80" s="422">
        <v>5800</v>
      </c>
      <c r="R80" s="446"/>
      <c r="S80" s="447">
        <v>580</v>
      </c>
    </row>
    <row r="81" spans="1:19" ht="14.4" customHeight="1" x14ac:dyDescent="0.3">
      <c r="A81" s="421" t="s">
        <v>380</v>
      </c>
      <c r="B81" s="445" t="s">
        <v>381</v>
      </c>
      <c r="C81" s="445" t="s">
        <v>327</v>
      </c>
      <c r="D81" s="445" t="s">
        <v>374</v>
      </c>
      <c r="E81" s="445" t="s">
        <v>382</v>
      </c>
      <c r="F81" s="445" t="s">
        <v>385</v>
      </c>
      <c r="G81" s="445" t="s">
        <v>386</v>
      </c>
      <c r="H81" s="422">
        <v>697</v>
      </c>
      <c r="I81" s="422">
        <v>225131</v>
      </c>
      <c r="J81" s="445">
        <v>0.74192432161665167</v>
      </c>
      <c r="K81" s="445">
        <v>323</v>
      </c>
      <c r="L81" s="422">
        <v>877</v>
      </c>
      <c r="M81" s="422">
        <v>303442</v>
      </c>
      <c r="N81" s="445">
        <v>1</v>
      </c>
      <c r="O81" s="445">
        <v>346</v>
      </c>
      <c r="P81" s="422">
        <v>923</v>
      </c>
      <c r="Q81" s="422">
        <v>320281</v>
      </c>
      <c r="R81" s="446">
        <v>1.0554933067933905</v>
      </c>
      <c r="S81" s="447">
        <v>347</v>
      </c>
    </row>
    <row r="82" spans="1:19" ht="14.4" customHeight="1" x14ac:dyDescent="0.3">
      <c r="A82" s="421" t="s">
        <v>380</v>
      </c>
      <c r="B82" s="445" t="s">
        <v>381</v>
      </c>
      <c r="C82" s="445" t="s">
        <v>327</v>
      </c>
      <c r="D82" s="445" t="s">
        <v>374</v>
      </c>
      <c r="E82" s="445" t="s">
        <v>382</v>
      </c>
      <c r="F82" s="445" t="s">
        <v>393</v>
      </c>
      <c r="G82" s="445" t="s">
        <v>394</v>
      </c>
      <c r="H82" s="422">
        <v>62</v>
      </c>
      <c r="I82" s="422">
        <v>2033.34</v>
      </c>
      <c r="J82" s="445">
        <v>0.53982000159290611</v>
      </c>
      <c r="K82" s="445">
        <v>32.795806451612904</v>
      </c>
      <c r="L82" s="422">
        <v>113</v>
      </c>
      <c r="M82" s="422">
        <v>3766.7000000000007</v>
      </c>
      <c r="N82" s="445">
        <v>1</v>
      </c>
      <c r="O82" s="445">
        <v>33.333628318584076</v>
      </c>
      <c r="P82" s="422">
        <v>84</v>
      </c>
      <c r="Q82" s="422">
        <v>2800.0400000000004</v>
      </c>
      <c r="R82" s="446">
        <v>0.74336687285953218</v>
      </c>
      <c r="S82" s="447">
        <v>33.333809523809528</v>
      </c>
    </row>
    <row r="83" spans="1:19" ht="14.4" customHeight="1" x14ac:dyDescent="0.3">
      <c r="A83" s="421" t="s">
        <v>380</v>
      </c>
      <c r="B83" s="445" t="s">
        <v>381</v>
      </c>
      <c r="C83" s="445" t="s">
        <v>327</v>
      </c>
      <c r="D83" s="445" t="s">
        <v>374</v>
      </c>
      <c r="E83" s="445" t="s">
        <v>382</v>
      </c>
      <c r="F83" s="445" t="s">
        <v>395</v>
      </c>
      <c r="G83" s="445" t="s">
        <v>396</v>
      </c>
      <c r="H83" s="422">
        <v>316</v>
      </c>
      <c r="I83" s="422">
        <v>172536</v>
      </c>
      <c r="J83" s="445">
        <v>0.97214334009465853</v>
      </c>
      <c r="K83" s="445">
        <v>546</v>
      </c>
      <c r="L83" s="422">
        <v>306</v>
      </c>
      <c r="M83" s="422">
        <v>177480</v>
      </c>
      <c r="N83" s="445">
        <v>1</v>
      </c>
      <c r="O83" s="445">
        <v>580</v>
      </c>
      <c r="P83" s="422">
        <v>244</v>
      </c>
      <c r="Q83" s="422">
        <v>141520</v>
      </c>
      <c r="R83" s="446">
        <v>0.79738562091503273</v>
      </c>
      <c r="S83" s="447">
        <v>580</v>
      </c>
    </row>
    <row r="84" spans="1:19" ht="14.4" customHeight="1" x14ac:dyDescent="0.3">
      <c r="A84" s="421" t="s">
        <v>380</v>
      </c>
      <c r="B84" s="445" t="s">
        <v>381</v>
      </c>
      <c r="C84" s="445" t="s">
        <v>327</v>
      </c>
      <c r="D84" s="445" t="s">
        <v>374</v>
      </c>
      <c r="E84" s="445" t="s">
        <v>382</v>
      </c>
      <c r="F84" s="445" t="s">
        <v>403</v>
      </c>
      <c r="G84" s="445" t="s">
        <v>404</v>
      </c>
      <c r="H84" s="422">
        <v>101</v>
      </c>
      <c r="I84" s="422">
        <v>55146</v>
      </c>
      <c r="J84" s="445">
        <v>1.3205459770114942</v>
      </c>
      <c r="K84" s="445">
        <v>546</v>
      </c>
      <c r="L84" s="422">
        <v>72</v>
      </c>
      <c r="M84" s="422">
        <v>41760</v>
      </c>
      <c r="N84" s="445">
        <v>1</v>
      </c>
      <c r="O84" s="445">
        <v>580</v>
      </c>
      <c r="P84" s="422">
        <v>40</v>
      </c>
      <c r="Q84" s="422">
        <v>23200</v>
      </c>
      <c r="R84" s="446">
        <v>0.55555555555555558</v>
      </c>
      <c r="S84" s="447">
        <v>580</v>
      </c>
    </row>
    <row r="85" spans="1:19" ht="14.4" customHeight="1" x14ac:dyDescent="0.3">
      <c r="A85" s="421" t="s">
        <v>380</v>
      </c>
      <c r="B85" s="445" t="s">
        <v>381</v>
      </c>
      <c r="C85" s="445" t="s">
        <v>327</v>
      </c>
      <c r="D85" s="445" t="s">
        <v>374</v>
      </c>
      <c r="E85" s="445" t="s">
        <v>382</v>
      </c>
      <c r="F85" s="445" t="s">
        <v>407</v>
      </c>
      <c r="G85" s="445" t="s">
        <v>408</v>
      </c>
      <c r="H85" s="422"/>
      <c r="I85" s="422"/>
      <c r="J85" s="445"/>
      <c r="K85" s="445"/>
      <c r="L85" s="422"/>
      <c r="M85" s="422"/>
      <c r="N85" s="445"/>
      <c r="O85" s="445"/>
      <c r="P85" s="422">
        <v>1</v>
      </c>
      <c r="Q85" s="422">
        <v>693</v>
      </c>
      <c r="R85" s="446"/>
      <c r="S85" s="447">
        <v>693</v>
      </c>
    </row>
    <row r="86" spans="1:19" ht="14.4" customHeight="1" x14ac:dyDescent="0.3">
      <c r="A86" s="421" t="s">
        <v>380</v>
      </c>
      <c r="B86" s="445" t="s">
        <v>381</v>
      </c>
      <c r="C86" s="445" t="s">
        <v>327</v>
      </c>
      <c r="D86" s="445" t="s">
        <v>375</v>
      </c>
      <c r="E86" s="445" t="s">
        <v>382</v>
      </c>
      <c r="F86" s="445" t="s">
        <v>385</v>
      </c>
      <c r="G86" s="445" t="s">
        <v>386</v>
      </c>
      <c r="H86" s="422">
        <v>452</v>
      </c>
      <c r="I86" s="422">
        <v>145996</v>
      </c>
      <c r="J86" s="445">
        <v>0.52221999656613061</v>
      </c>
      <c r="K86" s="445">
        <v>323</v>
      </c>
      <c r="L86" s="422">
        <v>808</v>
      </c>
      <c r="M86" s="422">
        <v>279568</v>
      </c>
      <c r="N86" s="445">
        <v>1</v>
      </c>
      <c r="O86" s="445">
        <v>346</v>
      </c>
      <c r="P86" s="422">
        <v>1092</v>
      </c>
      <c r="Q86" s="422">
        <v>378924</v>
      </c>
      <c r="R86" s="446">
        <v>1.3553911749556458</v>
      </c>
      <c r="S86" s="447">
        <v>347</v>
      </c>
    </row>
    <row r="87" spans="1:19" ht="14.4" customHeight="1" x14ac:dyDescent="0.3">
      <c r="A87" s="421" t="s">
        <v>380</v>
      </c>
      <c r="B87" s="445" t="s">
        <v>381</v>
      </c>
      <c r="C87" s="445" t="s">
        <v>327</v>
      </c>
      <c r="D87" s="445" t="s">
        <v>375</v>
      </c>
      <c r="E87" s="445" t="s">
        <v>382</v>
      </c>
      <c r="F87" s="445" t="s">
        <v>393</v>
      </c>
      <c r="G87" s="445" t="s">
        <v>394</v>
      </c>
      <c r="H87" s="422">
        <v>24</v>
      </c>
      <c r="I87" s="422">
        <v>800.0100000000001</v>
      </c>
      <c r="J87" s="445">
        <v>0.1875021972639084</v>
      </c>
      <c r="K87" s="445">
        <v>33.333750000000002</v>
      </c>
      <c r="L87" s="422">
        <v>128</v>
      </c>
      <c r="M87" s="422">
        <v>4266.67</v>
      </c>
      <c r="N87" s="445">
        <v>1</v>
      </c>
      <c r="O87" s="445">
        <v>33.333359375000001</v>
      </c>
      <c r="P87" s="422">
        <v>108</v>
      </c>
      <c r="Q87" s="422">
        <v>3600.0200000000004</v>
      </c>
      <c r="R87" s="446">
        <v>0.84375402831716551</v>
      </c>
      <c r="S87" s="447">
        <v>33.333518518518524</v>
      </c>
    </row>
    <row r="88" spans="1:19" ht="14.4" customHeight="1" x14ac:dyDescent="0.3">
      <c r="A88" s="421" t="s">
        <v>380</v>
      </c>
      <c r="B88" s="445" t="s">
        <v>381</v>
      </c>
      <c r="C88" s="445" t="s">
        <v>327</v>
      </c>
      <c r="D88" s="445" t="s">
        <v>375</v>
      </c>
      <c r="E88" s="445" t="s">
        <v>382</v>
      </c>
      <c r="F88" s="445" t="s">
        <v>395</v>
      </c>
      <c r="G88" s="445" t="s">
        <v>396</v>
      </c>
      <c r="H88" s="422">
        <v>160</v>
      </c>
      <c r="I88" s="422">
        <v>87360</v>
      </c>
      <c r="J88" s="445">
        <v>0.41379310344827586</v>
      </c>
      <c r="K88" s="445">
        <v>546</v>
      </c>
      <c r="L88" s="422">
        <v>364</v>
      </c>
      <c r="M88" s="422">
        <v>211120</v>
      </c>
      <c r="N88" s="445">
        <v>1</v>
      </c>
      <c r="O88" s="445">
        <v>580</v>
      </c>
      <c r="P88" s="422">
        <v>313</v>
      </c>
      <c r="Q88" s="422">
        <v>181540</v>
      </c>
      <c r="R88" s="446">
        <v>0.85989010989010994</v>
      </c>
      <c r="S88" s="447">
        <v>580</v>
      </c>
    </row>
    <row r="89" spans="1:19" ht="14.4" customHeight="1" x14ac:dyDescent="0.3">
      <c r="A89" s="421" t="s">
        <v>380</v>
      </c>
      <c r="B89" s="445" t="s">
        <v>381</v>
      </c>
      <c r="C89" s="445" t="s">
        <v>327</v>
      </c>
      <c r="D89" s="445" t="s">
        <v>375</v>
      </c>
      <c r="E89" s="445" t="s">
        <v>382</v>
      </c>
      <c r="F89" s="445" t="s">
        <v>403</v>
      </c>
      <c r="G89" s="445" t="s">
        <v>404</v>
      </c>
      <c r="H89" s="422">
        <v>104</v>
      </c>
      <c r="I89" s="422">
        <v>56784</v>
      </c>
      <c r="J89" s="445">
        <v>3.0594827586206899</v>
      </c>
      <c r="K89" s="445">
        <v>546</v>
      </c>
      <c r="L89" s="422">
        <v>32</v>
      </c>
      <c r="M89" s="422">
        <v>18560</v>
      </c>
      <c r="N89" s="445">
        <v>1</v>
      </c>
      <c r="O89" s="445">
        <v>580</v>
      </c>
      <c r="P89" s="422">
        <v>14</v>
      </c>
      <c r="Q89" s="422">
        <v>8120</v>
      </c>
      <c r="R89" s="446">
        <v>0.4375</v>
      </c>
      <c r="S89" s="447">
        <v>580</v>
      </c>
    </row>
    <row r="90" spans="1:19" ht="14.4" customHeight="1" x14ac:dyDescent="0.3">
      <c r="A90" s="421" t="s">
        <v>380</v>
      </c>
      <c r="B90" s="445" t="s">
        <v>381</v>
      </c>
      <c r="C90" s="445" t="s">
        <v>327</v>
      </c>
      <c r="D90" s="445" t="s">
        <v>376</v>
      </c>
      <c r="E90" s="445" t="s">
        <v>382</v>
      </c>
      <c r="F90" s="445" t="s">
        <v>385</v>
      </c>
      <c r="G90" s="445" t="s">
        <v>386</v>
      </c>
      <c r="H90" s="422">
        <v>131</v>
      </c>
      <c r="I90" s="422">
        <v>42313</v>
      </c>
      <c r="J90" s="445"/>
      <c r="K90" s="445">
        <v>323</v>
      </c>
      <c r="L90" s="422"/>
      <c r="M90" s="422"/>
      <c r="N90" s="445"/>
      <c r="O90" s="445"/>
      <c r="P90" s="422"/>
      <c r="Q90" s="422"/>
      <c r="R90" s="446"/>
      <c r="S90" s="447"/>
    </row>
    <row r="91" spans="1:19" ht="14.4" customHeight="1" x14ac:dyDescent="0.3">
      <c r="A91" s="421" t="s">
        <v>380</v>
      </c>
      <c r="B91" s="445" t="s">
        <v>381</v>
      </c>
      <c r="C91" s="445" t="s">
        <v>327</v>
      </c>
      <c r="D91" s="445" t="s">
        <v>376</v>
      </c>
      <c r="E91" s="445" t="s">
        <v>382</v>
      </c>
      <c r="F91" s="445" t="s">
        <v>395</v>
      </c>
      <c r="G91" s="445" t="s">
        <v>396</v>
      </c>
      <c r="H91" s="422">
        <v>1</v>
      </c>
      <c r="I91" s="422">
        <v>546</v>
      </c>
      <c r="J91" s="445"/>
      <c r="K91" s="445">
        <v>546</v>
      </c>
      <c r="L91" s="422"/>
      <c r="M91" s="422"/>
      <c r="N91" s="445"/>
      <c r="O91" s="445"/>
      <c r="P91" s="422"/>
      <c r="Q91" s="422"/>
      <c r="R91" s="446"/>
      <c r="S91" s="447"/>
    </row>
    <row r="92" spans="1:19" ht="14.4" customHeight="1" x14ac:dyDescent="0.3">
      <c r="A92" s="421" t="s">
        <v>380</v>
      </c>
      <c r="B92" s="445" t="s">
        <v>381</v>
      </c>
      <c r="C92" s="445" t="s">
        <v>327</v>
      </c>
      <c r="D92" s="445" t="s">
        <v>377</v>
      </c>
      <c r="E92" s="445" t="s">
        <v>382</v>
      </c>
      <c r="F92" s="445" t="s">
        <v>385</v>
      </c>
      <c r="G92" s="445" t="s">
        <v>386</v>
      </c>
      <c r="H92" s="422">
        <v>53</v>
      </c>
      <c r="I92" s="422">
        <v>17119</v>
      </c>
      <c r="J92" s="445">
        <v>0.51538415221579958</v>
      </c>
      <c r="K92" s="445">
        <v>323</v>
      </c>
      <c r="L92" s="422">
        <v>96</v>
      </c>
      <c r="M92" s="422">
        <v>33216</v>
      </c>
      <c r="N92" s="445">
        <v>1</v>
      </c>
      <c r="O92" s="445">
        <v>346</v>
      </c>
      <c r="P92" s="422">
        <v>150</v>
      </c>
      <c r="Q92" s="422">
        <v>52050</v>
      </c>
      <c r="R92" s="446">
        <v>1.5670158959537572</v>
      </c>
      <c r="S92" s="447">
        <v>347</v>
      </c>
    </row>
    <row r="93" spans="1:19" ht="14.4" customHeight="1" x14ac:dyDescent="0.3">
      <c r="A93" s="421" t="s">
        <v>380</v>
      </c>
      <c r="B93" s="445" t="s">
        <v>381</v>
      </c>
      <c r="C93" s="445" t="s">
        <v>327</v>
      </c>
      <c r="D93" s="445" t="s">
        <v>377</v>
      </c>
      <c r="E93" s="445" t="s">
        <v>382</v>
      </c>
      <c r="F93" s="445" t="s">
        <v>393</v>
      </c>
      <c r="G93" s="445" t="s">
        <v>394</v>
      </c>
      <c r="H93" s="422">
        <v>48</v>
      </c>
      <c r="I93" s="422">
        <v>1566.67</v>
      </c>
      <c r="J93" s="445">
        <v>0.52222333333333337</v>
      </c>
      <c r="K93" s="445">
        <v>32.638958333333335</v>
      </c>
      <c r="L93" s="422">
        <v>90</v>
      </c>
      <c r="M93" s="422">
        <v>3000</v>
      </c>
      <c r="N93" s="445">
        <v>1</v>
      </c>
      <c r="O93" s="445">
        <v>33.333333333333336</v>
      </c>
      <c r="P93" s="422">
        <v>78</v>
      </c>
      <c r="Q93" s="422">
        <v>2600</v>
      </c>
      <c r="R93" s="446">
        <v>0.8666666666666667</v>
      </c>
      <c r="S93" s="447">
        <v>33.333333333333336</v>
      </c>
    </row>
    <row r="94" spans="1:19" ht="14.4" customHeight="1" x14ac:dyDescent="0.3">
      <c r="A94" s="421" t="s">
        <v>380</v>
      </c>
      <c r="B94" s="445" t="s">
        <v>381</v>
      </c>
      <c r="C94" s="445" t="s">
        <v>327</v>
      </c>
      <c r="D94" s="445" t="s">
        <v>377</v>
      </c>
      <c r="E94" s="445" t="s">
        <v>382</v>
      </c>
      <c r="F94" s="445" t="s">
        <v>395</v>
      </c>
      <c r="G94" s="445" t="s">
        <v>396</v>
      </c>
      <c r="H94" s="422">
        <v>195</v>
      </c>
      <c r="I94" s="422">
        <v>106470</v>
      </c>
      <c r="J94" s="445">
        <v>0.61189655172413793</v>
      </c>
      <c r="K94" s="445">
        <v>546</v>
      </c>
      <c r="L94" s="422">
        <v>300</v>
      </c>
      <c r="M94" s="422">
        <v>174000</v>
      </c>
      <c r="N94" s="445">
        <v>1</v>
      </c>
      <c r="O94" s="445">
        <v>580</v>
      </c>
      <c r="P94" s="422">
        <v>234</v>
      </c>
      <c r="Q94" s="422">
        <v>135720</v>
      </c>
      <c r="R94" s="446">
        <v>0.78</v>
      </c>
      <c r="S94" s="447">
        <v>580</v>
      </c>
    </row>
    <row r="95" spans="1:19" ht="14.4" customHeight="1" x14ac:dyDescent="0.3">
      <c r="A95" s="421" t="s">
        <v>380</v>
      </c>
      <c r="B95" s="445" t="s">
        <v>381</v>
      </c>
      <c r="C95" s="445" t="s">
        <v>327</v>
      </c>
      <c r="D95" s="445" t="s">
        <v>378</v>
      </c>
      <c r="E95" s="445" t="s">
        <v>382</v>
      </c>
      <c r="F95" s="445" t="s">
        <v>383</v>
      </c>
      <c r="G95" s="445" t="s">
        <v>384</v>
      </c>
      <c r="H95" s="422"/>
      <c r="I95" s="422"/>
      <c r="J95" s="445"/>
      <c r="K95" s="445"/>
      <c r="L95" s="422"/>
      <c r="M95" s="422"/>
      <c r="N95" s="445"/>
      <c r="O95" s="445"/>
      <c r="P95" s="422">
        <v>14</v>
      </c>
      <c r="Q95" s="422">
        <v>1036</v>
      </c>
      <c r="R95" s="446"/>
      <c r="S95" s="447">
        <v>74</v>
      </c>
    </row>
    <row r="96" spans="1:19" ht="14.4" customHeight="1" x14ac:dyDescent="0.3">
      <c r="A96" s="421" t="s">
        <v>380</v>
      </c>
      <c r="B96" s="445" t="s">
        <v>381</v>
      </c>
      <c r="C96" s="445" t="s">
        <v>327</v>
      </c>
      <c r="D96" s="445" t="s">
        <v>378</v>
      </c>
      <c r="E96" s="445" t="s">
        <v>382</v>
      </c>
      <c r="F96" s="445" t="s">
        <v>385</v>
      </c>
      <c r="G96" s="445" t="s">
        <v>386</v>
      </c>
      <c r="H96" s="422"/>
      <c r="I96" s="422"/>
      <c r="J96" s="445"/>
      <c r="K96" s="445"/>
      <c r="L96" s="422"/>
      <c r="M96" s="422"/>
      <c r="N96" s="445"/>
      <c r="O96" s="445"/>
      <c r="P96" s="422">
        <v>348</v>
      </c>
      <c r="Q96" s="422">
        <v>120756</v>
      </c>
      <c r="R96" s="446"/>
      <c r="S96" s="447">
        <v>347</v>
      </c>
    </row>
    <row r="97" spans="1:19" ht="14.4" customHeight="1" x14ac:dyDescent="0.3">
      <c r="A97" s="421" t="s">
        <v>380</v>
      </c>
      <c r="B97" s="445" t="s">
        <v>381</v>
      </c>
      <c r="C97" s="445" t="s">
        <v>327</v>
      </c>
      <c r="D97" s="445" t="s">
        <v>378</v>
      </c>
      <c r="E97" s="445" t="s">
        <v>382</v>
      </c>
      <c r="F97" s="445" t="s">
        <v>389</v>
      </c>
      <c r="G97" s="445" t="s">
        <v>390</v>
      </c>
      <c r="H97" s="422"/>
      <c r="I97" s="422"/>
      <c r="J97" s="445"/>
      <c r="K97" s="445"/>
      <c r="L97" s="422"/>
      <c r="M97" s="422"/>
      <c r="N97" s="445"/>
      <c r="O97" s="445"/>
      <c r="P97" s="422">
        <v>361</v>
      </c>
      <c r="Q97" s="422">
        <v>125267</v>
      </c>
      <c r="R97" s="446"/>
      <c r="S97" s="447">
        <v>347</v>
      </c>
    </row>
    <row r="98" spans="1:19" ht="14.4" customHeight="1" x14ac:dyDescent="0.3">
      <c r="A98" s="421" t="s">
        <v>380</v>
      </c>
      <c r="B98" s="445" t="s">
        <v>381</v>
      </c>
      <c r="C98" s="445" t="s">
        <v>327</v>
      </c>
      <c r="D98" s="445" t="s">
        <v>378</v>
      </c>
      <c r="E98" s="445" t="s">
        <v>382</v>
      </c>
      <c r="F98" s="445" t="s">
        <v>397</v>
      </c>
      <c r="G98" s="445" t="s">
        <v>398</v>
      </c>
      <c r="H98" s="422"/>
      <c r="I98" s="422"/>
      <c r="J98" s="445"/>
      <c r="K98" s="445"/>
      <c r="L98" s="422"/>
      <c r="M98" s="422"/>
      <c r="N98" s="445"/>
      <c r="O98" s="445"/>
      <c r="P98" s="422">
        <v>180</v>
      </c>
      <c r="Q98" s="422">
        <v>104580</v>
      </c>
      <c r="R98" s="446"/>
      <c r="S98" s="447">
        <v>581</v>
      </c>
    </row>
    <row r="99" spans="1:19" ht="14.4" customHeight="1" x14ac:dyDescent="0.3">
      <c r="A99" s="421" t="s">
        <v>380</v>
      </c>
      <c r="B99" s="445" t="s">
        <v>381</v>
      </c>
      <c r="C99" s="445" t="s">
        <v>327</v>
      </c>
      <c r="D99" s="445" t="s">
        <v>378</v>
      </c>
      <c r="E99" s="445" t="s">
        <v>382</v>
      </c>
      <c r="F99" s="445" t="s">
        <v>399</v>
      </c>
      <c r="G99" s="445" t="s">
        <v>400</v>
      </c>
      <c r="H99" s="422"/>
      <c r="I99" s="422"/>
      <c r="J99" s="445"/>
      <c r="K99" s="445"/>
      <c r="L99" s="422"/>
      <c r="M99" s="422"/>
      <c r="N99" s="445"/>
      <c r="O99" s="445"/>
      <c r="P99" s="422">
        <v>4</v>
      </c>
      <c r="Q99" s="422">
        <v>1164</v>
      </c>
      <c r="R99" s="446"/>
      <c r="S99" s="447">
        <v>291</v>
      </c>
    </row>
    <row r="100" spans="1:19" ht="14.4" customHeight="1" x14ac:dyDescent="0.3">
      <c r="A100" s="421" t="s">
        <v>380</v>
      </c>
      <c r="B100" s="445" t="s">
        <v>381</v>
      </c>
      <c r="C100" s="445" t="s">
        <v>327</v>
      </c>
      <c r="D100" s="445" t="s">
        <v>378</v>
      </c>
      <c r="E100" s="445" t="s">
        <v>382</v>
      </c>
      <c r="F100" s="445" t="s">
        <v>401</v>
      </c>
      <c r="G100" s="445" t="s">
        <v>402</v>
      </c>
      <c r="H100" s="422"/>
      <c r="I100" s="422"/>
      <c r="J100" s="445"/>
      <c r="K100" s="445"/>
      <c r="L100" s="422"/>
      <c r="M100" s="422"/>
      <c r="N100" s="445"/>
      <c r="O100" s="445"/>
      <c r="P100" s="422">
        <v>45</v>
      </c>
      <c r="Q100" s="422">
        <v>26145</v>
      </c>
      <c r="R100" s="446"/>
      <c r="S100" s="447">
        <v>581</v>
      </c>
    </row>
    <row r="101" spans="1:19" ht="14.4" customHeight="1" x14ac:dyDescent="0.3">
      <c r="A101" s="421" t="s">
        <v>380</v>
      </c>
      <c r="B101" s="445" t="s">
        <v>381</v>
      </c>
      <c r="C101" s="445" t="s">
        <v>327</v>
      </c>
      <c r="D101" s="445" t="s">
        <v>362</v>
      </c>
      <c r="E101" s="445" t="s">
        <v>382</v>
      </c>
      <c r="F101" s="445" t="s">
        <v>383</v>
      </c>
      <c r="G101" s="445" t="s">
        <v>384</v>
      </c>
      <c r="H101" s="422"/>
      <c r="I101" s="422"/>
      <c r="J101" s="445"/>
      <c r="K101" s="445"/>
      <c r="L101" s="422"/>
      <c r="M101" s="422"/>
      <c r="N101" s="445"/>
      <c r="O101" s="445"/>
      <c r="P101" s="422">
        <v>23</v>
      </c>
      <c r="Q101" s="422">
        <v>1702</v>
      </c>
      <c r="R101" s="446"/>
      <c r="S101" s="447">
        <v>74</v>
      </c>
    </row>
    <row r="102" spans="1:19" ht="14.4" customHeight="1" x14ac:dyDescent="0.3">
      <c r="A102" s="421" t="s">
        <v>380</v>
      </c>
      <c r="B102" s="445" t="s">
        <v>381</v>
      </c>
      <c r="C102" s="445" t="s">
        <v>327</v>
      </c>
      <c r="D102" s="445" t="s">
        <v>362</v>
      </c>
      <c r="E102" s="445" t="s">
        <v>382</v>
      </c>
      <c r="F102" s="445" t="s">
        <v>385</v>
      </c>
      <c r="G102" s="445" t="s">
        <v>386</v>
      </c>
      <c r="H102" s="422"/>
      <c r="I102" s="422"/>
      <c r="J102" s="445"/>
      <c r="K102" s="445"/>
      <c r="L102" s="422"/>
      <c r="M102" s="422"/>
      <c r="N102" s="445"/>
      <c r="O102" s="445"/>
      <c r="P102" s="422">
        <v>595</v>
      </c>
      <c r="Q102" s="422">
        <v>206465</v>
      </c>
      <c r="R102" s="446"/>
      <c r="S102" s="447">
        <v>347</v>
      </c>
    </row>
    <row r="103" spans="1:19" ht="14.4" customHeight="1" x14ac:dyDescent="0.3">
      <c r="A103" s="421" t="s">
        <v>380</v>
      </c>
      <c r="B103" s="445" t="s">
        <v>381</v>
      </c>
      <c r="C103" s="445" t="s">
        <v>327</v>
      </c>
      <c r="D103" s="445" t="s">
        <v>362</v>
      </c>
      <c r="E103" s="445" t="s">
        <v>382</v>
      </c>
      <c r="F103" s="445" t="s">
        <v>389</v>
      </c>
      <c r="G103" s="445" t="s">
        <v>390</v>
      </c>
      <c r="H103" s="422"/>
      <c r="I103" s="422"/>
      <c r="J103" s="445"/>
      <c r="K103" s="445"/>
      <c r="L103" s="422"/>
      <c r="M103" s="422"/>
      <c r="N103" s="445"/>
      <c r="O103" s="445"/>
      <c r="P103" s="422">
        <v>330</v>
      </c>
      <c r="Q103" s="422">
        <v>114510</v>
      </c>
      <c r="R103" s="446"/>
      <c r="S103" s="447">
        <v>347</v>
      </c>
    </row>
    <row r="104" spans="1:19" ht="14.4" customHeight="1" x14ac:dyDescent="0.3">
      <c r="A104" s="421" t="s">
        <v>380</v>
      </c>
      <c r="B104" s="445" t="s">
        <v>381</v>
      </c>
      <c r="C104" s="445" t="s">
        <v>327</v>
      </c>
      <c r="D104" s="445" t="s">
        <v>362</v>
      </c>
      <c r="E104" s="445" t="s">
        <v>382</v>
      </c>
      <c r="F104" s="445" t="s">
        <v>397</v>
      </c>
      <c r="G104" s="445" t="s">
        <v>398</v>
      </c>
      <c r="H104" s="422"/>
      <c r="I104" s="422"/>
      <c r="J104" s="445"/>
      <c r="K104" s="445"/>
      <c r="L104" s="422"/>
      <c r="M104" s="422"/>
      <c r="N104" s="445"/>
      <c r="O104" s="445"/>
      <c r="P104" s="422">
        <v>260</v>
      </c>
      <c r="Q104" s="422">
        <v>151060</v>
      </c>
      <c r="R104" s="446"/>
      <c r="S104" s="447">
        <v>581</v>
      </c>
    </row>
    <row r="105" spans="1:19" ht="14.4" customHeight="1" thickBot="1" x14ac:dyDescent="0.35">
      <c r="A105" s="425" t="s">
        <v>380</v>
      </c>
      <c r="B105" s="448" t="s">
        <v>381</v>
      </c>
      <c r="C105" s="448" t="s">
        <v>327</v>
      </c>
      <c r="D105" s="448" t="s">
        <v>362</v>
      </c>
      <c r="E105" s="448" t="s">
        <v>382</v>
      </c>
      <c r="F105" s="448" t="s">
        <v>401</v>
      </c>
      <c r="G105" s="448" t="s">
        <v>402</v>
      </c>
      <c r="H105" s="426"/>
      <c r="I105" s="426"/>
      <c r="J105" s="448"/>
      <c r="K105" s="448"/>
      <c r="L105" s="426"/>
      <c r="M105" s="426"/>
      <c r="N105" s="448"/>
      <c r="O105" s="448"/>
      <c r="P105" s="426">
        <v>6</v>
      </c>
      <c r="Q105" s="426">
        <v>3486</v>
      </c>
      <c r="R105" s="449"/>
      <c r="S105" s="450">
        <v>581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01" bestFit="1" customWidth="1" collapsed="1"/>
    <col min="2" max="2" width="7.77734375" style="78" hidden="1" customWidth="1" outlineLevel="1"/>
    <col min="3" max="3" width="0.109375" style="101" hidden="1" customWidth="1"/>
    <col min="4" max="4" width="7.77734375" style="78" customWidth="1"/>
    <col min="5" max="5" width="5.44140625" style="101" hidden="1" customWidth="1"/>
    <col min="6" max="6" width="7.77734375" style="78" customWidth="1"/>
    <col min="7" max="7" width="7.77734375" style="179" customWidth="1" collapsed="1"/>
    <col min="8" max="8" width="7.77734375" style="78" hidden="1" customWidth="1" outlineLevel="1"/>
    <col min="9" max="9" width="5.44140625" style="101" hidden="1" customWidth="1"/>
    <col min="10" max="10" width="7.77734375" style="78" customWidth="1"/>
    <col min="11" max="11" width="5.44140625" style="101" hidden="1" customWidth="1"/>
    <col min="12" max="12" width="7.77734375" style="78" customWidth="1"/>
    <col min="13" max="13" width="7.77734375" style="179" customWidth="1" collapsed="1"/>
    <col min="14" max="14" width="7.77734375" style="78" hidden="1" customWidth="1" outlineLevel="1"/>
    <col min="15" max="15" width="5" style="101" hidden="1" customWidth="1"/>
    <col min="16" max="16" width="7.77734375" style="78" customWidth="1"/>
    <col min="17" max="17" width="5" style="101" hidden="1" customWidth="1"/>
    <col min="18" max="18" width="7.77734375" style="78" customWidth="1"/>
    <col min="19" max="19" width="7.77734375" style="179" customWidth="1"/>
    <col min="20" max="16384" width="8.88671875" style="101"/>
  </cols>
  <sheetData>
    <row r="1" spans="1:19" ht="18.600000000000001" customHeight="1" thickBot="1" x14ac:dyDescent="0.4">
      <c r="A1" s="287" t="s">
        <v>97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</row>
    <row r="2" spans="1:19" ht="14.4" customHeight="1" thickBot="1" x14ac:dyDescent="0.35">
      <c r="A2" s="192" t="s">
        <v>207</v>
      </c>
      <c r="B2" s="186"/>
      <c r="C2" s="83"/>
      <c r="D2" s="186"/>
      <c r="E2" s="83"/>
      <c r="F2" s="186"/>
      <c r="G2" s="187"/>
      <c r="H2" s="186"/>
      <c r="I2" s="83"/>
      <c r="J2" s="186"/>
      <c r="K2" s="83"/>
      <c r="L2" s="186"/>
      <c r="M2" s="187"/>
      <c r="N2" s="186"/>
      <c r="O2" s="83"/>
      <c r="P2" s="186"/>
      <c r="Q2" s="83"/>
      <c r="R2" s="186"/>
      <c r="S2" s="187"/>
    </row>
    <row r="3" spans="1:19" ht="14.4" customHeight="1" thickBot="1" x14ac:dyDescent="0.35">
      <c r="A3" s="180" t="s">
        <v>98</v>
      </c>
      <c r="B3" s="181">
        <f>SUBTOTAL(9,B6:B1048576)</f>
        <v>4498511</v>
      </c>
      <c r="C3" s="182">
        <f t="shared" ref="C3:R3" si="0">SUBTOTAL(9,C6:C1048576)</f>
        <v>31.859021699768007</v>
      </c>
      <c r="D3" s="182">
        <f t="shared" si="0"/>
        <v>4876519</v>
      </c>
      <c r="E3" s="182">
        <f t="shared" si="0"/>
        <v>25</v>
      </c>
      <c r="F3" s="182">
        <f t="shared" si="0"/>
        <v>4582205</v>
      </c>
      <c r="G3" s="185">
        <f>IF(D3&lt;&gt;0,F3/D3,"")</f>
        <v>0.93964670290426433</v>
      </c>
      <c r="H3" s="181">
        <f t="shared" si="0"/>
        <v>0</v>
      </c>
      <c r="I3" s="182">
        <f t="shared" si="0"/>
        <v>0</v>
      </c>
      <c r="J3" s="182">
        <f t="shared" si="0"/>
        <v>0</v>
      </c>
      <c r="K3" s="182">
        <f t="shared" si="0"/>
        <v>0</v>
      </c>
      <c r="L3" s="182">
        <f t="shared" si="0"/>
        <v>0</v>
      </c>
      <c r="M3" s="183" t="str">
        <f>IF(J3&lt;&gt;0,L3/J3,"")</f>
        <v/>
      </c>
      <c r="N3" s="184">
        <f t="shared" si="0"/>
        <v>0</v>
      </c>
      <c r="O3" s="182">
        <f t="shared" si="0"/>
        <v>0</v>
      </c>
      <c r="P3" s="182">
        <f t="shared" si="0"/>
        <v>0</v>
      </c>
      <c r="Q3" s="182">
        <f t="shared" si="0"/>
        <v>0</v>
      </c>
      <c r="R3" s="182">
        <f t="shared" si="0"/>
        <v>0</v>
      </c>
      <c r="S3" s="183" t="str">
        <f>IF(P3&lt;&gt;0,R3/P3,"")</f>
        <v/>
      </c>
    </row>
    <row r="4" spans="1:19" ht="14.4" customHeight="1" x14ac:dyDescent="0.3">
      <c r="A4" s="348" t="s">
        <v>80</v>
      </c>
      <c r="B4" s="349" t="s">
        <v>74</v>
      </c>
      <c r="C4" s="350"/>
      <c r="D4" s="350"/>
      <c r="E4" s="350"/>
      <c r="F4" s="350"/>
      <c r="G4" s="352"/>
      <c r="H4" s="349" t="s">
        <v>75</v>
      </c>
      <c r="I4" s="350"/>
      <c r="J4" s="350"/>
      <c r="K4" s="350"/>
      <c r="L4" s="350"/>
      <c r="M4" s="352"/>
      <c r="N4" s="349" t="s">
        <v>76</v>
      </c>
      <c r="O4" s="350"/>
      <c r="P4" s="350"/>
      <c r="Q4" s="350"/>
      <c r="R4" s="350"/>
      <c r="S4" s="352"/>
    </row>
    <row r="5" spans="1:19" ht="14.4" customHeight="1" thickBot="1" x14ac:dyDescent="0.35">
      <c r="A5" s="401"/>
      <c r="B5" s="402">
        <v>2015</v>
      </c>
      <c r="C5" s="403"/>
      <c r="D5" s="403">
        <v>2016</v>
      </c>
      <c r="E5" s="403"/>
      <c r="F5" s="403">
        <v>2017</v>
      </c>
      <c r="G5" s="452" t="s">
        <v>2</v>
      </c>
      <c r="H5" s="402">
        <v>2015</v>
      </c>
      <c r="I5" s="403"/>
      <c r="J5" s="403">
        <v>2016</v>
      </c>
      <c r="K5" s="403"/>
      <c r="L5" s="403">
        <v>2017</v>
      </c>
      <c r="M5" s="452" t="s">
        <v>2</v>
      </c>
      <c r="N5" s="402">
        <v>2015</v>
      </c>
      <c r="O5" s="403"/>
      <c r="P5" s="403">
        <v>2016</v>
      </c>
      <c r="Q5" s="403"/>
      <c r="R5" s="403">
        <v>2017</v>
      </c>
      <c r="S5" s="452" t="s">
        <v>2</v>
      </c>
    </row>
    <row r="6" spans="1:19" ht="14.4" customHeight="1" x14ac:dyDescent="0.3">
      <c r="A6" s="429" t="s">
        <v>411</v>
      </c>
      <c r="B6" s="419">
        <v>39590</v>
      </c>
      <c r="C6" s="442">
        <v>0.62869211713142348</v>
      </c>
      <c r="D6" s="419">
        <v>62972</v>
      </c>
      <c r="E6" s="442">
        <v>1</v>
      </c>
      <c r="F6" s="419">
        <v>31468</v>
      </c>
      <c r="G6" s="443">
        <v>0.49971415867369623</v>
      </c>
      <c r="H6" s="419"/>
      <c r="I6" s="442"/>
      <c r="J6" s="419"/>
      <c r="K6" s="442"/>
      <c r="L6" s="419"/>
      <c r="M6" s="443"/>
      <c r="N6" s="419"/>
      <c r="O6" s="442"/>
      <c r="P6" s="419"/>
      <c r="Q6" s="442"/>
      <c r="R6" s="419"/>
      <c r="S6" s="453"/>
    </row>
    <row r="7" spans="1:19" ht="14.4" customHeight="1" x14ac:dyDescent="0.3">
      <c r="A7" s="430" t="s">
        <v>412</v>
      </c>
      <c r="B7" s="423">
        <v>20166</v>
      </c>
      <c r="C7" s="445">
        <v>1.0793192035966603</v>
      </c>
      <c r="D7" s="423">
        <v>18684</v>
      </c>
      <c r="E7" s="445">
        <v>1</v>
      </c>
      <c r="F7" s="423">
        <v>20592</v>
      </c>
      <c r="G7" s="446">
        <v>1.1021194605009634</v>
      </c>
      <c r="H7" s="423"/>
      <c r="I7" s="445"/>
      <c r="J7" s="423"/>
      <c r="K7" s="445"/>
      <c r="L7" s="423"/>
      <c r="M7" s="446"/>
      <c r="N7" s="423"/>
      <c r="O7" s="445"/>
      <c r="P7" s="423"/>
      <c r="Q7" s="445"/>
      <c r="R7" s="423"/>
      <c r="S7" s="454"/>
    </row>
    <row r="8" spans="1:19" ht="14.4" customHeight="1" x14ac:dyDescent="0.3">
      <c r="A8" s="430" t="s">
        <v>413</v>
      </c>
      <c r="B8" s="423">
        <v>189589</v>
      </c>
      <c r="C8" s="445">
        <v>0.86025101185182495</v>
      </c>
      <c r="D8" s="423">
        <v>220388</v>
      </c>
      <c r="E8" s="445">
        <v>1</v>
      </c>
      <c r="F8" s="423">
        <v>145746</v>
      </c>
      <c r="G8" s="446">
        <v>0.66131549812149482</v>
      </c>
      <c r="H8" s="423"/>
      <c r="I8" s="445"/>
      <c r="J8" s="423"/>
      <c r="K8" s="445"/>
      <c r="L8" s="423"/>
      <c r="M8" s="446"/>
      <c r="N8" s="423"/>
      <c r="O8" s="445"/>
      <c r="P8" s="423"/>
      <c r="Q8" s="445"/>
      <c r="R8" s="423"/>
      <c r="S8" s="454"/>
    </row>
    <row r="9" spans="1:19" ht="14.4" customHeight="1" x14ac:dyDescent="0.3">
      <c r="A9" s="430" t="s">
        <v>414</v>
      </c>
      <c r="B9" s="423">
        <v>81396</v>
      </c>
      <c r="C9" s="445">
        <v>0.938325686486985</v>
      </c>
      <c r="D9" s="423">
        <v>86746</v>
      </c>
      <c r="E9" s="445">
        <v>1</v>
      </c>
      <c r="F9" s="423">
        <v>65236</v>
      </c>
      <c r="G9" s="446">
        <v>0.75203467595047613</v>
      </c>
      <c r="H9" s="423"/>
      <c r="I9" s="445"/>
      <c r="J9" s="423"/>
      <c r="K9" s="445"/>
      <c r="L9" s="423"/>
      <c r="M9" s="446"/>
      <c r="N9" s="423"/>
      <c r="O9" s="445"/>
      <c r="P9" s="423"/>
      <c r="Q9" s="445"/>
      <c r="R9" s="423"/>
      <c r="S9" s="454"/>
    </row>
    <row r="10" spans="1:19" ht="14.4" customHeight="1" x14ac:dyDescent="0.3">
      <c r="A10" s="430" t="s">
        <v>415</v>
      </c>
      <c r="B10" s="423">
        <v>15181</v>
      </c>
      <c r="C10" s="445">
        <v>0.73126204238921</v>
      </c>
      <c r="D10" s="423">
        <v>20760</v>
      </c>
      <c r="E10" s="445">
        <v>1</v>
      </c>
      <c r="F10" s="423">
        <v>2776</v>
      </c>
      <c r="G10" s="446">
        <v>0.13371868978805396</v>
      </c>
      <c r="H10" s="423"/>
      <c r="I10" s="445"/>
      <c r="J10" s="423"/>
      <c r="K10" s="445"/>
      <c r="L10" s="423"/>
      <c r="M10" s="446"/>
      <c r="N10" s="423"/>
      <c r="O10" s="445"/>
      <c r="P10" s="423"/>
      <c r="Q10" s="445"/>
      <c r="R10" s="423"/>
      <c r="S10" s="454"/>
    </row>
    <row r="11" spans="1:19" ht="14.4" customHeight="1" x14ac:dyDescent="0.3">
      <c r="A11" s="430" t="s">
        <v>416</v>
      </c>
      <c r="B11" s="423">
        <v>3476</v>
      </c>
      <c r="C11" s="445">
        <v>0.6543674698795181</v>
      </c>
      <c r="D11" s="423">
        <v>5312</v>
      </c>
      <c r="E11" s="445">
        <v>1</v>
      </c>
      <c r="F11" s="423"/>
      <c r="G11" s="446"/>
      <c r="H11" s="423"/>
      <c r="I11" s="445"/>
      <c r="J11" s="423"/>
      <c r="K11" s="445"/>
      <c r="L11" s="423"/>
      <c r="M11" s="446"/>
      <c r="N11" s="423"/>
      <c r="O11" s="445"/>
      <c r="P11" s="423"/>
      <c r="Q11" s="445"/>
      <c r="R11" s="423"/>
      <c r="S11" s="454"/>
    </row>
    <row r="12" spans="1:19" ht="14.4" customHeight="1" x14ac:dyDescent="0.3">
      <c r="A12" s="430" t="s">
        <v>417</v>
      </c>
      <c r="B12" s="423">
        <v>2584</v>
      </c>
      <c r="C12" s="445">
        <v>0.11146579242515745</v>
      </c>
      <c r="D12" s="423">
        <v>23182</v>
      </c>
      <c r="E12" s="445">
        <v>1</v>
      </c>
      <c r="F12" s="423">
        <v>10410</v>
      </c>
      <c r="G12" s="446">
        <v>0.44905530152704687</v>
      </c>
      <c r="H12" s="423"/>
      <c r="I12" s="445"/>
      <c r="J12" s="423"/>
      <c r="K12" s="445"/>
      <c r="L12" s="423"/>
      <c r="M12" s="446"/>
      <c r="N12" s="423"/>
      <c r="O12" s="445"/>
      <c r="P12" s="423"/>
      <c r="Q12" s="445"/>
      <c r="R12" s="423"/>
      <c r="S12" s="454"/>
    </row>
    <row r="13" spans="1:19" ht="14.4" customHeight="1" x14ac:dyDescent="0.3">
      <c r="A13" s="430" t="s">
        <v>418</v>
      </c>
      <c r="B13" s="423">
        <v>569772</v>
      </c>
      <c r="C13" s="445">
        <v>0.95384234210103391</v>
      </c>
      <c r="D13" s="423">
        <v>597344</v>
      </c>
      <c r="E13" s="445">
        <v>1</v>
      </c>
      <c r="F13" s="423">
        <v>488573</v>
      </c>
      <c r="G13" s="446">
        <v>0.81790894359029298</v>
      </c>
      <c r="H13" s="423"/>
      <c r="I13" s="445"/>
      <c r="J13" s="423"/>
      <c r="K13" s="445"/>
      <c r="L13" s="423"/>
      <c r="M13" s="446"/>
      <c r="N13" s="423"/>
      <c r="O13" s="445"/>
      <c r="P13" s="423"/>
      <c r="Q13" s="445"/>
      <c r="R13" s="423"/>
      <c r="S13" s="454"/>
    </row>
    <row r="14" spans="1:19" ht="14.4" customHeight="1" x14ac:dyDescent="0.3">
      <c r="A14" s="430" t="s">
        <v>419</v>
      </c>
      <c r="B14" s="423">
        <v>1292</v>
      </c>
      <c r="C14" s="445">
        <v>0.4667630057803468</v>
      </c>
      <c r="D14" s="423">
        <v>2768</v>
      </c>
      <c r="E14" s="445">
        <v>1</v>
      </c>
      <c r="F14" s="423"/>
      <c r="G14" s="446"/>
      <c r="H14" s="423"/>
      <c r="I14" s="445"/>
      <c r="J14" s="423"/>
      <c r="K14" s="445"/>
      <c r="L14" s="423"/>
      <c r="M14" s="446"/>
      <c r="N14" s="423"/>
      <c r="O14" s="445"/>
      <c r="P14" s="423"/>
      <c r="Q14" s="445"/>
      <c r="R14" s="423"/>
      <c r="S14" s="454"/>
    </row>
    <row r="15" spans="1:19" ht="14.4" customHeight="1" x14ac:dyDescent="0.3">
      <c r="A15" s="430" t="s">
        <v>420</v>
      </c>
      <c r="B15" s="423">
        <v>573660</v>
      </c>
      <c r="C15" s="445">
        <v>0.96686605350578692</v>
      </c>
      <c r="D15" s="423">
        <v>593319</v>
      </c>
      <c r="E15" s="445">
        <v>1</v>
      </c>
      <c r="F15" s="423">
        <v>782902</v>
      </c>
      <c r="G15" s="446">
        <v>1.3195296290865453</v>
      </c>
      <c r="H15" s="423"/>
      <c r="I15" s="445"/>
      <c r="J15" s="423"/>
      <c r="K15" s="445"/>
      <c r="L15" s="423"/>
      <c r="M15" s="446"/>
      <c r="N15" s="423"/>
      <c r="O15" s="445"/>
      <c r="P15" s="423"/>
      <c r="Q15" s="445"/>
      <c r="R15" s="423"/>
      <c r="S15" s="454"/>
    </row>
    <row r="16" spans="1:19" ht="14.4" customHeight="1" x14ac:dyDescent="0.3">
      <c r="A16" s="430" t="s">
        <v>421</v>
      </c>
      <c r="B16" s="423">
        <v>15504</v>
      </c>
      <c r="C16" s="445">
        <v>3.7341040462427744</v>
      </c>
      <c r="D16" s="423">
        <v>4152</v>
      </c>
      <c r="E16" s="445">
        <v>1</v>
      </c>
      <c r="F16" s="423">
        <v>36088</v>
      </c>
      <c r="G16" s="446">
        <v>8.6917148362235075</v>
      </c>
      <c r="H16" s="423"/>
      <c r="I16" s="445"/>
      <c r="J16" s="423"/>
      <c r="K16" s="445"/>
      <c r="L16" s="423"/>
      <c r="M16" s="446"/>
      <c r="N16" s="423"/>
      <c r="O16" s="445"/>
      <c r="P16" s="423"/>
      <c r="Q16" s="445"/>
      <c r="R16" s="423"/>
      <c r="S16" s="454"/>
    </row>
    <row r="17" spans="1:19" ht="14.4" customHeight="1" x14ac:dyDescent="0.3">
      <c r="A17" s="430" t="s">
        <v>422</v>
      </c>
      <c r="B17" s="423">
        <v>41344</v>
      </c>
      <c r="C17" s="445">
        <v>2.3898265895953759</v>
      </c>
      <c r="D17" s="423">
        <v>17300</v>
      </c>
      <c r="E17" s="445">
        <v>1</v>
      </c>
      <c r="F17" s="423">
        <v>26724</v>
      </c>
      <c r="G17" s="446">
        <v>1.5447398843930635</v>
      </c>
      <c r="H17" s="423"/>
      <c r="I17" s="445"/>
      <c r="J17" s="423"/>
      <c r="K17" s="445"/>
      <c r="L17" s="423"/>
      <c r="M17" s="446"/>
      <c r="N17" s="423"/>
      <c r="O17" s="445"/>
      <c r="P17" s="423"/>
      <c r="Q17" s="445"/>
      <c r="R17" s="423"/>
      <c r="S17" s="454"/>
    </row>
    <row r="18" spans="1:19" ht="14.4" customHeight="1" x14ac:dyDescent="0.3">
      <c r="A18" s="430" t="s">
        <v>423</v>
      </c>
      <c r="B18" s="423">
        <v>42636</v>
      </c>
      <c r="C18" s="445">
        <v>1.6213872832369942</v>
      </c>
      <c r="D18" s="423">
        <v>26296</v>
      </c>
      <c r="E18" s="445">
        <v>1</v>
      </c>
      <c r="F18" s="423">
        <v>25678</v>
      </c>
      <c r="G18" s="446">
        <v>0.97649832674170978</v>
      </c>
      <c r="H18" s="423"/>
      <c r="I18" s="445"/>
      <c r="J18" s="423"/>
      <c r="K18" s="445"/>
      <c r="L18" s="423"/>
      <c r="M18" s="446"/>
      <c r="N18" s="423"/>
      <c r="O18" s="445"/>
      <c r="P18" s="423"/>
      <c r="Q18" s="445"/>
      <c r="R18" s="423"/>
      <c r="S18" s="454"/>
    </row>
    <row r="19" spans="1:19" ht="14.4" customHeight="1" x14ac:dyDescent="0.3">
      <c r="A19" s="430" t="s">
        <v>424</v>
      </c>
      <c r="B19" s="423">
        <v>11628</v>
      </c>
      <c r="C19" s="445"/>
      <c r="D19" s="423"/>
      <c r="E19" s="445"/>
      <c r="F19" s="423"/>
      <c r="G19" s="446"/>
      <c r="H19" s="423"/>
      <c r="I19" s="445"/>
      <c r="J19" s="423"/>
      <c r="K19" s="445"/>
      <c r="L19" s="423"/>
      <c r="M19" s="446"/>
      <c r="N19" s="423"/>
      <c r="O19" s="445"/>
      <c r="P19" s="423"/>
      <c r="Q19" s="445"/>
      <c r="R19" s="423"/>
      <c r="S19" s="454"/>
    </row>
    <row r="20" spans="1:19" ht="14.4" customHeight="1" x14ac:dyDescent="0.3">
      <c r="A20" s="430" t="s">
        <v>425</v>
      </c>
      <c r="B20" s="423">
        <v>577770</v>
      </c>
      <c r="C20" s="445">
        <v>1.4454946660528791</v>
      </c>
      <c r="D20" s="423">
        <v>399704</v>
      </c>
      <c r="E20" s="445">
        <v>1</v>
      </c>
      <c r="F20" s="423">
        <v>347581</v>
      </c>
      <c r="G20" s="446">
        <v>0.86959600104077017</v>
      </c>
      <c r="H20" s="423"/>
      <c r="I20" s="445"/>
      <c r="J20" s="423"/>
      <c r="K20" s="445"/>
      <c r="L20" s="423"/>
      <c r="M20" s="446"/>
      <c r="N20" s="423"/>
      <c r="O20" s="445"/>
      <c r="P20" s="423"/>
      <c r="Q20" s="445"/>
      <c r="R20" s="423"/>
      <c r="S20" s="454"/>
    </row>
    <row r="21" spans="1:19" ht="14.4" customHeight="1" x14ac:dyDescent="0.3">
      <c r="A21" s="430" t="s">
        <v>426</v>
      </c>
      <c r="B21" s="423">
        <v>933262</v>
      </c>
      <c r="C21" s="445">
        <v>1.0421895694162473</v>
      </c>
      <c r="D21" s="423">
        <v>895482</v>
      </c>
      <c r="E21" s="445">
        <v>1</v>
      </c>
      <c r="F21" s="423">
        <v>729552</v>
      </c>
      <c r="G21" s="446">
        <v>0.81470314311175429</v>
      </c>
      <c r="H21" s="423"/>
      <c r="I21" s="445"/>
      <c r="J21" s="423"/>
      <c r="K21" s="445"/>
      <c r="L21" s="423"/>
      <c r="M21" s="446"/>
      <c r="N21" s="423"/>
      <c r="O21" s="445"/>
      <c r="P21" s="423"/>
      <c r="Q21" s="445"/>
      <c r="R21" s="423"/>
      <c r="S21" s="454"/>
    </row>
    <row r="22" spans="1:19" ht="14.4" customHeight="1" x14ac:dyDescent="0.3">
      <c r="A22" s="430" t="s">
        <v>427</v>
      </c>
      <c r="B22" s="423">
        <v>21488</v>
      </c>
      <c r="C22" s="445">
        <v>7.7630057803468207</v>
      </c>
      <c r="D22" s="423">
        <v>2768</v>
      </c>
      <c r="E22" s="445">
        <v>1</v>
      </c>
      <c r="F22" s="423">
        <v>8338</v>
      </c>
      <c r="G22" s="446">
        <v>3.0122832369942198</v>
      </c>
      <c r="H22" s="423"/>
      <c r="I22" s="445"/>
      <c r="J22" s="423"/>
      <c r="K22" s="445"/>
      <c r="L22" s="423"/>
      <c r="M22" s="446"/>
      <c r="N22" s="423"/>
      <c r="O22" s="445"/>
      <c r="P22" s="423"/>
      <c r="Q22" s="445"/>
      <c r="R22" s="423"/>
      <c r="S22" s="454"/>
    </row>
    <row r="23" spans="1:19" ht="14.4" customHeight="1" x14ac:dyDescent="0.3">
      <c r="A23" s="430" t="s">
        <v>428</v>
      </c>
      <c r="B23" s="423">
        <v>26486</v>
      </c>
      <c r="C23" s="445">
        <v>0.86913434403097722</v>
      </c>
      <c r="D23" s="423">
        <v>30474</v>
      </c>
      <c r="E23" s="445">
        <v>1</v>
      </c>
      <c r="F23" s="423"/>
      <c r="G23" s="446"/>
      <c r="H23" s="423"/>
      <c r="I23" s="445"/>
      <c r="J23" s="423"/>
      <c r="K23" s="445"/>
      <c r="L23" s="423"/>
      <c r="M23" s="446"/>
      <c r="N23" s="423"/>
      <c r="O23" s="445"/>
      <c r="P23" s="423"/>
      <c r="Q23" s="445"/>
      <c r="R23" s="423"/>
      <c r="S23" s="454"/>
    </row>
    <row r="24" spans="1:19" ht="14.4" customHeight="1" x14ac:dyDescent="0.3">
      <c r="A24" s="430" t="s">
        <v>429</v>
      </c>
      <c r="B24" s="423">
        <v>330150</v>
      </c>
      <c r="C24" s="445">
        <v>0.68741437250925508</v>
      </c>
      <c r="D24" s="423">
        <v>480278</v>
      </c>
      <c r="E24" s="445">
        <v>1</v>
      </c>
      <c r="F24" s="423">
        <v>369692</v>
      </c>
      <c r="G24" s="446">
        <v>0.76974585552534158</v>
      </c>
      <c r="H24" s="423"/>
      <c r="I24" s="445"/>
      <c r="J24" s="423"/>
      <c r="K24" s="445"/>
      <c r="L24" s="423"/>
      <c r="M24" s="446"/>
      <c r="N24" s="423"/>
      <c r="O24" s="445"/>
      <c r="P24" s="423"/>
      <c r="Q24" s="445"/>
      <c r="R24" s="423"/>
      <c r="S24" s="454"/>
    </row>
    <row r="25" spans="1:19" ht="14.4" customHeight="1" x14ac:dyDescent="0.3">
      <c r="A25" s="430" t="s">
        <v>430</v>
      </c>
      <c r="B25" s="423">
        <v>19380</v>
      </c>
      <c r="C25" s="445">
        <v>1.2729900157645822</v>
      </c>
      <c r="D25" s="423">
        <v>15224</v>
      </c>
      <c r="E25" s="445">
        <v>1</v>
      </c>
      <c r="F25" s="423"/>
      <c r="G25" s="446"/>
      <c r="H25" s="423"/>
      <c r="I25" s="445"/>
      <c r="J25" s="423"/>
      <c r="K25" s="445"/>
      <c r="L25" s="423"/>
      <c r="M25" s="446"/>
      <c r="N25" s="423"/>
      <c r="O25" s="445"/>
      <c r="P25" s="423"/>
      <c r="Q25" s="445"/>
      <c r="R25" s="423"/>
      <c r="S25" s="454"/>
    </row>
    <row r="26" spans="1:19" ht="14.4" customHeight="1" x14ac:dyDescent="0.3">
      <c r="A26" s="430" t="s">
        <v>431</v>
      </c>
      <c r="B26" s="423">
        <v>150609</v>
      </c>
      <c r="C26" s="445">
        <v>0.51809081527347778</v>
      </c>
      <c r="D26" s="423">
        <v>290700</v>
      </c>
      <c r="E26" s="445">
        <v>1</v>
      </c>
      <c r="F26" s="423">
        <v>450318</v>
      </c>
      <c r="G26" s="446">
        <v>1.5490815273477812</v>
      </c>
      <c r="H26" s="423"/>
      <c r="I26" s="445"/>
      <c r="J26" s="423"/>
      <c r="K26" s="445"/>
      <c r="L26" s="423"/>
      <c r="M26" s="446"/>
      <c r="N26" s="423"/>
      <c r="O26" s="445"/>
      <c r="P26" s="423"/>
      <c r="Q26" s="445"/>
      <c r="R26" s="423"/>
      <c r="S26" s="454"/>
    </row>
    <row r="27" spans="1:19" ht="14.4" customHeight="1" x14ac:dyDescent="0.3">
      <c r="A27" s="430" t="s">
        <v>432</v>
      </c>
      <c r="B27" s="423">
        <v>140256</v>
      </c>
      <c r="C27" s="445">
        <v>1.2003902706218654</v>
      </c>
      <c r="D27" s="423">
        <v>116842</v>
      </c>
      <c r="E27" s="445">
        <v>1</v>
      </c>
      <c r="F27" s="423">
        <v>171658</v>
      </c>
      <c r="G27" s="446">
        <v>1.4691463686003321</v>
      </c>
      <c r="H27" s="423"/>
      <c r="I27" s="445"/>
      <c r="J27" s="423"/>
      <c r="K27" s="445"/>
      <c r="L27" s="423"/>
      <c r="M27" s="446"/>
      <c r="N27" s="423"/>
      <c r="O27" s="445"/>
      <c r="P27" s="423"/>
      <c r="Q27" s="445"/>
      <c r="R27" s="423"/>
      <c r="S27" s="454"/>
    </row>
    <row r="28" spans="1:19" ht="14.4" customHeight="1" x14ac:dyDescent="0.3">
      <c r="A28" s="430" t="s">
        <v>433</v>
      </c>
      <c r="B28" s="423">
        <v>132756</v>
      </c>
      <c r="C28" s="445">
        <v>0.61842473028117839</v>
      </c>
      <c r="D28" s="423">
        <v>214668</v>
      </c>
      <c r="E28" s="445">
        <v>1</v>
      </c>
      <c r="F28" s="423">
        <v>163110</v>
      </c>
      <c r="G28" s="446">
        <v>0.75982447313991841</v>
      </c>
      <c r="H28" s="423"/>
      <c r="I28" s="445"/>
      <c r="J28" s="423"/>
      <c r="K28" s="445"/>
      <c r="L28" s="423"/>
      <c r="M28" s="446"/>
      <c r="N28" s="423"/>
      <c r="O28" s="445"/>
      <c r="P28" s="423"/>
      <c r="Q28" s="445"/>
      <c r="R28" s="423"/>
      <c r="S28" s="454"/>
    </row>
    <row r="29" spans="1:19" ht="14.4" customHeight="1" x14ac:dyDescent="0.3">
      <c r="A29" s="430" t="s">
        <v>434</v>
      </c>
      <c r="B29" s="423">
        <v>527528</v>
      </c>
      <c r="C29" s="445">
        <v>0.77467369979206069</v>
      </c>
      <c r="D29" s="423">
        <v>680968</v>
      </c>
      <c r="E29" s="445">
        <v>1</v>
      </c>
      <c r="F29" s="423">
        <v>669254</v>
      </c>
      <c r="G29" s="446">
        <v>0.98279801694059044</v>
      </c>
      <c r="H29" s="423"/>
      <c r="I29" s="445"/>
      <c r="J29" s="423"/>
      <c r="K29" s="445"/>
      <c r="L29" s="423"/>
      <c r="M29" s="446"/>
      <c r="N29" s="423"/>
      <c r="O29" s="445"/>
      <c r="P29" s="423"/>
      <c r="Q29" s="445"/>
      <c r="R29" s="423"/>
      <c r="S29" s="454"/>
    </row>
    <row r="30" spans="1:19" ht="14.4" customHeight="1" x14ac:dyDescent="0.3">
      <c r="A30" s="430" t="s">
        <v>435</v>
      </c>
      <c r="B30" s="423"/>
      <c r="C30" s="445"/>
      <c r="D30" s="423">
        <v>11764</v>
      </c>
      <c r="E30" s="445">
        <v>1</v>
      </c>
      <c r="F30" s="423">
        <v>20894</v>
      </c>
      <c r="G30" s="446">
        <v>1.7760965657939476</v>
      </c>
      <c r="H30" s="423"/>
      <c r="I30" s="445"/>
      <c r="J30" s="423"/>
      <c r="K30" s="445"/>
      <c r="L30" s="423"/>
      <c r="M30" s="446"/>
      <c r="N30" s="423"/>
      <c r="O30" s="445"/>
      <c r="P30" s="423"/>
      <c r="Q30" s="445"/>
      <c r="R30" s="423"/>
      <c r="S30" s="454"/>
    </row>
    <row r="31" spans="1:19" ht="14.4" customHeight="1" thickBot="1" x14ac:dyDescent="0.35">
      <c r="A31" s="431" t="s">
        <v>436</v>
      </c>
      <c r="B31" s="427">
        <v>31008</v>
      </c>
      <c r="C31" s="448">
        <v>0.53074079145556619</v>
      </c>
      <c r="D31" s="427">
        <v>58424</v>
      </c>
      <c r="E31" s="448">
        <v>1</v>
      </c>
      <c r="F31" s="427">
        <v>15615</v>
      </c>
      <c r="G31" s="449">
        <v>0.26727029987676298</v>
      </c>
      <c r="H31" s="427"/>
      <c r="I31" s="448"/>
      <c r="J31" s="427"/>
      <c r="K31" s="448"/>
      <c r="L31" s="427"/>
      <c r="M31" s="449"/>
      <c r="N31" s="427"/>
      <c r="O31" s="448"/>
      <c r="P31" s="427"/>
      <c r="Q31" s="448"/>
      <c r="R31" s="427"/>
      <c r="S31" s="455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91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01" bestFit="1" customWidth="1"/>
    <col min="2" max="2" width="8.6640625" style="101" bestFit="1" customWidth="1"/>
    <col min="3" max="3" width="2.109375" style="101" bestFit="1" customWidth="1"/>
    <col min="4" max="4" width="8" style="101" bestFit="1" customWidth="1"/>
    <col min="5" max="5" width="52.88671875" style="101" bestFit="1" customWidth="1" collapsed="1"/>
    <col min="6" max="7" width="11.109375" style="176" hidden="1" customWidth="1" outlineLevel="1"/>
    <col min="8" max="9" width="9.33203125" style="176" hidden="1" customWidth="1"/>
    <col min="10" max="11" width="11.109375" style="176" customWidth="1"/>
    <col min="12" max="13" width="9.33203125" style="176" hidden="1" customWidth="1"/>
    <col min="14" max="15" width="11.109375" style="176" customWidth="1"/>
    <col min="16" max="16" width="11.109375" style="179" customWidth="1"/>
    <col min="17" max="17" width="11.109375" style="176" customWidth="1"/>
    <col min="18" max="16384" width="8.88671875" style="101"/>
  </cols>
  <sheetData>
    <row r="1" spans="1:17" ht="18.600000000000001" customHeight="1" thickBot="1" x14ac:dyDescent="0.4">
      <c r="A1" s="275" t="s">
        <v>462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</row>
    <row r="2" spans="1:17" ht="14.4" customHeight="1" thickBot="1" x14ac:dyDescent="0.35">
      <c r="A2" s="192" t="s">
        <v>207</v>
      </c>
      <c r="B2" s="102"/>
      <c r="C2" s="102"/>
      <c r="D2" s="102"/>
      <c r="E2" s="102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9"/>
      <c r="Q2" s="188"/>
    </row>
    <row r="3" spans="1:17" ht="14.4" customHeight="1" thickBot="1" x14ac:dyDescent="0.35">
      <c r="E3" s="62" t="s">
        <v>98</v>
      </c>
      <c r="F3" s="74">
        <f t="shared" ref="F3:O3" si="0">SUBTOTAL(9,F6:F1048576)</f>
        <v>12322</v>
      </c>
      <c r="G3" s="75">
        <f t="shared" si="0"/>
        <v>4498511</v>
      </c>
      <c r="H3" s="75"/>
      <c r="I3" s="75"/>
      <c r="J3" s="75">
        <f t="shared" si="0"/>
        <v>12710</v>
      </c>
      <c r="K3" s="75">
        <f t="shared" si="0"/>
        <v>4876519</v>
      </c>
      <c r="L3" s="75"/>
      <c r="M3" s="75"/>
      <c r="N3" s="75">
        <f t="shared" si="0"/>
        <v>11902</v>
      </c>
      <c r="O3" s="75">
        <f t="shared" si="0"/>
        <v>4582205</v>
      </c>
      <c r="P3" s="58">
        <f>IF(K3=0,0,O3/K3)</f>
        <v>0.93964670290426433</v>
      </c>
      <c r="Q3" s="76">
        <f>IF(N3=0,0,O3/N3)</f>
        <v>384.99453873298603</v>
      </c>
    </row>
    <row r="4" spans="1:17" ht="14.4" customHeight="1" x14ac:dyDescent="0.3">
      <c r="A4" s="357" t="s">
        <v>44</v>
      </c>
      <c r="B4" s="355" t="s">
        <v>70</v>
      </c>
      <c r="C4" s="357" t="s">
        <v>71</v>
      </c>
      <c r="D4" s="366" t="s">
        <v>72</v>
      </c>
      <c r="E4" s="358" t="s">
        <v>45</v>
      </c>
      <c r="F4" s="364">
        <v>2015</v>
      </c>
      <c r="G4" s="365"/>
      <c r="H4" s="77"/>
      <c r="I4" s="77"/>
      <c r="J4" s="364">
        <v>2016</v>
      </c>
      <c r="K4" s="365"/>
      <c r="L4" s="77"/>
      <c r="M4" s="77"/>
      <c r="N4" s="364">
        <v>2017</v>
      </c>
      <c r="O4" s="365"/>
      <c r="P4" s="367" t="s">
        <v>2</v>
      </c>
      <c r="Q4" s="356" t="s">
        <v>73</v>
      </c>
    </row>
    <row r="5" spans="1:17" ht="14.4" customHeight="1" thickBot="1" x14ac:dyDescent="0.35">
      <c r="A5" s="434"/>
      <c r="B5" s="432"/>
      <c r="C5" s="434"/>
      <c r="D5" s="456"/>
      <c r="E5" s="436"/>
      <c r="F5" s="457" t="s">
        <v>47</v>
      </c>
      <c r="G5" s="458" t="s">
        <v>4</v>
      </c>
      <c r="H5" s="459"/>
      <c r="I5" s="459"/>
      <c r="J5" s="457" t="s">
        <v>47</v>
      </c>
      <c r="K5" s="458" t="s">
        <v>4</v>
      </c>
      <c r="L5" s="459"/>
      <c r="M5" s="459"/>
      <c r="N5" s="457" t="s">
        <v>47</v>
      </c>
      <c r="O5" s="458" t="s">
        <v>4</v>
      </c>
      <c r="P5" s="460"/>
      <c r="Q5" s="441"/>
    </row>
    <row r="6" spans="1:17" ht="14.4" customHeight="1" x14ac:dyDescent="0.3">
      <c r="A6" s="417" t="s">
        <v>437</v>
      </c>
      <c r="B6" s="442" t="s">
        <v>381</v>
      </c>
      <c r="C6" s="442" t="s">
        <v>382</v>
      </c>
      <c r="D6" s="442" t="s">
        <v>385</v>
      </c>
      <c r="E6" s="442" t="s">
        <v>386</v>
      </c>
      <c r="F6" s="418">
        <v>82</v>
      </c>
      <c r="G6" s="418">
        <v>26486</v>
      </c>
      <c r="H6" s="418">
        <v>0.42059963158229052</v>
      </c>
      <c r="I6" s="418">
        <v>323</v>
      </c>
      <c r="J6" s="418">
        <v>182</v>
      </c>
      <c r="K6" s="418">
        <v>62972</v>
      </c>
      <c r="L6" s="418">
        <v>1</v>
      </c>
      <c r="M6" s="418">
        <v>346</v>
      </c>
      <c r="N6" s="418">
        <v>76</v>
      </c>
      <c r="O6" s="418">
        <v>26372</v>
      </c>
      <c r="P6" s="443">
        <v>0.41878930318236679</v>
      </c>
      <c r="Q6" s="444">
        <v>347</v>
      </c>
    </row>
    <row r="7" spans="1:17" ht="14.4" customHeight="1" x14ac:dyDescent="0.3">
      <c r="A7" s="421" t="s">
        <v>437</v>
      </c>
      <c r="B7" s="445" t="s">
        <v>381</v>
      </c>
      <c r="C7" s="445" t="s">
        <v>382</v>
      </c>
      <c r="D7" s="445" t="s">
        <v>391</v>
      </c>
      <c r="E7" s="445" t="s">
        <v>392</v>
      </c>
      <c r="F7" s="422"/>
      <c r="G7" s="422"/>
      <c r="H7" s="422"/>
      <c r="I7" s="422"/>
      <c r="J7" s="422"/>
      <c r="K7" s="422"/>
      <c r="L7" s="422"/>
      <c r="M7" s="422"/>
      <c r="N7" s="422">
        <v>8</v>
      </c>
      <c r="O7" s="422">
        <v>2776</v>
      </c>
      <c r="P7" s="446"/>
      <c r="Q7" s="447">
        <v>347</v>
      </c>
    </row>
    <row r="8" spans="1:17" ht="14.4" customHeight="1" x14ac:dyDescent="0.3">
      <c r="A8" s="421" t="s">
        <v>437</v>
      </c>
      <c r="B8" s="445" t="s">
        <v>381</v>
      </c>
      <c r="C8" s="445" t="s">
        <v>382</v>
      </c>
      <c r="D8" s="445" t="s">
        <v>395</v>
      </c>
      <c r="E8" s="445" t="s">
        <v>396</v>
      </c>
      <c r="F8" s="422">
        <v>24</v>
      </c>
      <c r="G8" s="422">
        <v>13104</v>
      </c>
      <c r="H8" s="422"/>
      <c r="I8" s="422">
        <v>546</v>
      </c>
      <c r="J8" s="422"/>
      <c r="K8" s="422"/>
      <c r="L8" s="422"/>
      <c r="M8" s="422"/>
      <c r="N8" s="422">
        <v>4</v>
      </c>
      <c r="O8" s="422">
        <v>2320</v>
      </c>
      <c r="P8" s="446"/>
      <c r="Q8" s="447">
        <v>580</v>
      </c>
    </row>
    <row r="9" spans="1:17" ht="14.4" customHeight="1" x14ac:dyDescent="0.3">
      <c r="A9" s="421" t="s">
        <v>438</v>
      </c>
      <c r="B9" s="445" t="s">
        <v>381</v>
      </c>
      <c r="C9" s="445" t="s">
        <v>382</v>
      </c>
      <c r="D9" s="445" t="s">
        <v>383</v>
      </c>
      <c r="E9" s="445" t="s">
        <v>384</v>
      </c>
      <c r="F9" s="422">
        <v>2</v>
      </c>
      <c r="G9" s="422">
        <v>140</v>
      </c>
      <c r="H9" s="422"/>
      <c r="I9" s="422">
        <v>70</v>
      </c>
      <c r="J9" s="422"/>
      <c r="K9" s="422"/>
      <c r="L9" s="422"/>
      <c r="M9" s="422"/>
      <c r="N9" s="422"/>
      <c r="O9" s="422"/>
      <c r="P9" s="446"/>
      <c r="Q9" s="447"/>
    </row>
    <row r="10" spans="1:17" ht="14.4" customHeight="1" x14ac:dyDescent="0.3">
      <c r="A10" s="421" t="s">
        <v>438</v>
      </c>
      <c r="B10" s="445" t="s">
        <v>381</v>
      </c>
      <c r="C10" s="445" t="s">
        <v>382</v>
      </c>
      <c r="D10" s="445" t="s">
        <v>385</v>
      </c>
      <c r="E10" s="445" t="s">
        <v>386</v>
      </c>
      <c r="F10" s="422">
        <v>58</v>
      </c>
      <c r="G10" s="422">
        <v>18734</v>
      </c>
      <c r="H10" s="422">
        <v>1.0026760864911155</v>
      </c>
      <c r="I10" s="422">
        <v>323</v>
      </c>
      <c r="J10" s="422">
        <v>54</v>
      </c>
      <c r="K10" s="422">
        <v>18684</v>
      </c>
      <c r="L10" s="422">
        <v>1</v>
      </c>
      <c r="M10" s="422">
        <v>346</v>
      </c>
      <c r="N10" s="422">
        <v>56</v>
      </c>
      <c r="O10" s="422">
        <v>19432</v>
      </c>
      <c r="P10" s="446">
        <v>1.0400342539070864</v>
      </c>
      <c r="Q10" s="447">
        <v>347</v>
      </c>
    </row>
    <row r="11" spans="1:17" ht="14.4" customHeight="1" x14ac:dyDescent="0.3">
      <c r="A11" s="421" t="s">
        <v>438</v>
      </c>
      <c r="B11" s="445" t="s">
        <v>381</v>
      </c>
      <c r="C11" s="445" t="s">
        <v>382</v>
      </c>
      <c r="D11" s="445" t="s">
        <v>391</v>
      </c>
      <c r="E11" s="445" t="s">
        <v>392</v>
      </c>
      <c r="F11" s="422">
        <v>4</v>
      </c>
      <c r="G11" s="422">
        <v>1292</v>
      </c>
      <c r="H11" s="422"/>
      <c r="I11" s="422">
        <v>323</v>
      </c>
      <c r="J11" s="422"/>
      <c r="K11" s="422"/>
      <c r="L11" s="422"/>
      <c r="M11" s="422"/>
      <c r="N11" s="422"/>
      <c r="O11" s="422"/>
      <c r="P11" s="446"/>
      <c r="Q11" s="447"/>
    </row>
    <row r="12" spans="1:17" ht="14.4" customHeight="1" x14ac:dyDescent="0.3">
      <c r="A12" s="421" t="s">
        <v>438</v>
      </c>
      <c r="B12" s="445" t="s">
        <v>381</v>
      </c>
      <c r="C12" s="445" t="s">
        <v>382</v>
      </c>
      <c r="D12" s="445" t="s">
        <v>395</v>
      </c>
      <c r="E12" s="445" t="s">
        <v>396</v>
      </c>
      <c r="F12" s="422"/>
      <c r="G12" s="422"/>
      <c r="H12" s="422"/>
      <c r="I12" s="422"/>
      <c r="J12" s="422"/>
      <c r="K12" s="422"/>
      <c r="L12" s="422"/>
      <c r="M12" s="422"/>
      <c r="N12" s="422">
        <v>2</v>
      </c>
      <c r="O12" s="422">
        <v>1160</v>
      </c>
      <c r="P12" s="446"/>
      <c r="Q12" s="447">
        <v>580</v>
      </c>
    </row>
    <row r="13" spans="1:17" ht="14.4" customHeight="1" x14ac:dyDescent="0.3">
      <c r="A13" s="421" t="s">
        <v>439</v>
      </c>
      <c r="B13" s="445" t="s">
        <v>381</v>
      </c>
      <c r="C13" s="445" t="s">
        <v>382</v>
      </c>
      <c r="D13" s="445" t="s">
        <v>383</v>
      </c>
      <c r="E13" s="445" t="s">
        <v>384</v>
      </c>
      <c r="F13" s="422"/>
      <c r="G13" s="422"/>
      <c r="H13" s="422"/>
      <c r="I13" s="422"/>
      <c r="J13" s="422">
        <v>2</v>
      </c>
      <c r="K13" s="422">
        <v>148</v>
      </c>
      <c r="L13" s="422">
        <v>1</v>
      </c>
      <c r="M13" s="422">
        <v>74</v>
      </c>
      <c r="N13" s="422"/>
      <c r="O13" s="422"/>
      <c r="P13" s="446"/>
      <c r="Q13" s="447"/>
    </row>
    <row r="14" spans="1:17" ht="14.4" customHeight="1" x14ac:dyDescent="0.3">
      <c r="A14" s="421" t="s">
        <v>439</v>
      </c>
      <c r="B14" s="445" t="s">
        <v>381</v>
      </c>
      <c r="C14" s="445" t="s">
        <v>382</v>
      </c>
      <c r="D14" s="445" t="s">
        <v>385</v>
      </c>
      <c r="E14" s="445" t="s">
        <v>386</v>
      </c>
      <c r="F14" s="422">
        <v>277</v>
      </c>
      <c r="G14" s="422">
        <v>89471</v>
      </c>
      <c r="H14" s="422">
        <v>0.698882987033276</v>
      </c>
      <c r="I14" s="422">
        <v>323</v>
      </c>
      <c r="J14" s="422">
        <v>370</v>
      </c>
      <c r="K14" s="422">
        <v>128020</v>
      </c>
      <c r="L14" s="422">
        <v>1</v>
      </c>
      <c r="M14" s="422">
        <v>346</v>
      </c>
      <c r="N14" s="422">
        <v>298</v>
      </c>
      <c r="O14" s="422">
        <v>103406</v>
      </c>
      <c r="P14" s="446">
        <v>0.80773316669270423</v>
      </c>
      <c r="Q14" s="447">
        <v>347</v>
      </c>
    </row>
    <row r="15" spans="1:17" ht="14.4" customHeight="1" x14ac:dyDescent="0.3">
      <c r="A15" s="421" t="s">
        <v>439</v>
      </c>
      <c r="B15" s="445" t="s">
        <v>381</v>
      </c>
      <c r="C15" s="445" t="s">
        <v>382</v>
      </c>
      <c r="D15" s="445" t="s">
        <v>389</v>
      </c>
      <c r="E15" s="445" t="s">
        <v>390</v>
      </c>
      <c r="F15" s="422">
        <v>4</v>
      </c>
      <c r="G15" s="422">
        <v>1292</v>
      </c>
      <c r="H15" s="422"/>
      <c r="I15" s="422">
        <v>323</v>
      </c>
      <c r="J15" s="422"/>
      <c r="K15" s="422"/>
      <c r="L15" s="422"/>
      <c r="M15" s="422"/>
      <c r="N15" s="422"/>
      <c r="O15" s="422"/>
      <c r="P15" s="446"/>
      <c r="Q15" s="447"/>
    </row>
    <row r="16" spans="1:17" ht="14.4" customHeight="1" x14ac:dyDescent="0.3">
      <c r="A16" s="421" t="s">
        <v>439</v>
      </c>
      <c r="B16" s="445" t="s">
        <v>381</v>
      </c>
      <c r="C16" s="445" t="s">
        <v>382</v>
      </c>
      <c r="D16" s="445" t="s">
        <v>395</v>
      </c>
      <c r="E16" s="445" t="s">
        <v>396</v>
      </c>
      <c r="F16" s="422">
        <v>181</v>
      </c>
      <c r="G16" s="422">
        <v>98826</v>
      </c>
      <c r="H16" s="422">
        <v>1.113657876943881</v>
      </c>
      <c r="I16" s="422">
        <v>546</v>
      </c>
      <c r="J16" s="422">
        <v>153</v>
      </c>
      <c r="K16" s="422">
        <v>88740</v>
      </c>
      <c r="L16" s="422">
        <v>1</v>
      </c>
      <c r="M16" s="422">
        <v>580</v>
      </c>
      <c r="N16" s="422">
        <v>59</v>
      </c>
      <c r="O16" s="422">
        <v>34220</v>
      </c>
      <c r="P16" s="446">
        <v>0.38562091503267976</v>
      </c>
      <c r="Q16" s="447">
        <v>580</v>
      </c>
    </row>
    <row r="17" spans="1:17" ht="14.4" customHeight="1" x14ac:dyDescent="0.3">
      <c r="A17" s="421" t="s">
        <v>439</v>
      </c>
      <c r="B17" s="445" t="s">
        <v>381</v>
      </c>
      <c r="C17" s="445" t="s">
        <v>382</v>
      </c>
      <c r="D17" s="445" t="s">
        <v>403</v>
      </c>
      <c r="E17" s="445" t="s">
        <v>404</v>
      </c>
      <c r="F17" s="422"/>
      <c r="G17" s="422"/>
      <c r="H17" s="422"/>
      <c r="I17" s="422"/>
      <c r="J17" s="422">
        <v>6</v>
      </c>
      <c r="K17" s="422">
        <v>3480</v>
      </c>
      <c r="L17" s="422">
        <v>1</v>
      </c>
      <c r="M17" s="422">
        <v>580</v>
      </c>
      <c r="N17" s="422">
        <v>14</v>
      </c>
      <c r="O17" s="422">
        <v>8120</v>
      </c>
      <c r="P17" s="446">
        <v>2.3333333333333335</v>
      </c>
      <c r="Q17" s="447">
        <v>580</v>
      </c>
    </row>
    <row r="18" spans="1:17" ht="14.4" customHeight="1" x14ac:dyDescent="0.3">
      <c r="A18" s="421" t="s">
        <v>440</v>
      </c>
      <c r="B18" s="445" t="s">
        <v>381</v>
      </c>
      <c r="C18" s="445" t="s">
        <v>382</v>
      </c>
      <c r="D18" s="445" t="s">
        <v>383</v>
      </c>
      <c r="E18" s="445" t="s">
        <v>384</v>
      </c>
      <c r="F18" s="422"/>
      <c r="G18" s="422"/>
      <c r="H18" s="422"/>
      <c r="I18" s="422"/>
      <c r="J18" s="422">
        <v>8</v>
      </c>
      <c r="K18" s="422">
        <v>592</v>
      </c>
      <c r="L18" s="422">
        <v>1</v>
      </c>
      <c r="M18" s="422">
        <v>74</v>
      </c>
      <c r="N18" s="422"/>
      <c r="O18" s="422"/>
      <c r="P18" s="446"/>
      <c r="Q18" s="447"/>
    </row>
    <row r="19" spans="1:17" ht="14.4" customHeight="1" x14ac:dyDescent="0.3">
      <c r="A19" s="421" t="s">
        <v>440</v>
      </c>
      <c r="B19" s="445" t="s">
        <v>381</v>
      </c>
      <c r="C19" s="445" t="s">
        <v>382</v>
      </c>
      <c r="D19" s="445" t="s">
        <v>385</v>
      </c>
      <c r="E19" s="445" t="s">
        <v>386</v>
      </c>
      <c r="F19" s="422">
        <v>252</v>
      </c>
      <c r="G19" s="422">
        <v>81396</v>
      </c>
      <c r="H19" s="422">
        <v>0.96019818331957063</v>
      </c>
      <c r="I19" s="422">
        <v>323</v>
      </c>
      <c r="J19" s="422">
        <v>245</v>
      </c>
      <c r="K19" s="422">
        <v>84770</v>
      </c>
      <c r="L19" s="422">
        <v>1</v>
      </c>
      <c r="M19" s="422">
        <v>346</v>
      </c>
      <c r="N19" s="422">
        <v>184</v>
      </c>
      <c r="O19" s="422">
        <v>63848</v>
      </c>
      <c r="P19" s="446">
        <v>0.75319098737761003</v>
      </c>
      <c r="Q19" s="447">
        <v>347</v>
      </c>
    </row>
    <row r="20" spans="1:17" ht="14.4" customHeight="1" x14ac:dyDescent="0.3">
      <c r="A20" s="421" t="s">
        <v>440</v>
      </c>
      <c r="B20" s="445" t="s">
        <v>381</v>
      </c>
      <c r="C20" s="445" t="s">
        <v>382</v>
      </c>
      <c r="D20" s="445" t="s">
        <v>391</v>
      </c>
      <c r="E20" s="445" t="s">
        <v>392</v>
      </c>
      <c r="F20" s="422"/>
      <c r="G20" s="422"/>
      <c r="H20" s="422"/>
      <c r="I20" s="422"/>
      <c r="J20" s="422">
        <v>4</v>
      </c>
      <c r="K20" s="422">
        <v>1384</v>
      </c>
      <c r="L20" s="422">
        <v>1</v>
      </c>
      <c r="M20" s="422">
        <v>346</v>
      </c>
      <c r="N20" s="422">
        <v>4</v>
      </c>
      <c r="O20" s="422">
        <v>1388</v>
      </c>
      <c r="P20" s="446">
        <v>1.0028901734104045</v>
      </c>
      <c r="Q20" s="447">
        <v>347</v>
      </c>
    </row>
    <row r="21" spans="1:17" ht="14.4" customHeight="1" x14ac:dyDescent="0.3">
      <c r="A21" s="421" t="s">
        <v>441</v>
      </c>
      <c r="B21" s="445" t="s">
        <v>381</v>
      </c>
      <c r="C21" s="445" t="s">
        <v>382</v>
      </c>
      <c r="D21" s="445" t="s">
        <v>385</v>
      </c>
      <c r="E21" s="445" t="s">
        <v>386</v>
      </c>
      <c r="F21" s="422">
        <v>47</v>
      </c>
      <c r="G21" s="422">
        <v>15181</v>
      </c>
      <c r="H21" s="422">
        <v>0.73126204238921</v>
      </c>
      <c r="I21" s="422">
        <v>323</v>
      </c>
      <c r="J21" s="422">
        <v>60</v>
      </c>
      <c r="K21" s="422">
        <v>20760</v>
      </c>
      <c r="L21" s="422">
        <v>1</v>
      </c>
      <c r="M21" s="422">
        <v>346</v>
      </c>
      <c r="N21" s="422">
        <v>8</v>
      </c>
      <c r="O21" s="422">
        <v>2776</v>
      </c>
      <c r="P21" s="446">
        <v>0.13371868978805396</v>
      </c>
      <c r="Q21" s="447">
        <v>347</v>
      </c>
    </row>
    <row r="22" spans="1:17" ht="14.4" customHeight="1" x14ac:dyDescent="0.3">
      <c r="A22" s="421" t="s">
        <v>380</v>
      </c>
      <c r="B22" s="445" t="s">
        <v>381</v>
      </c>
      <c r="C22" s="445" t="s">
        <v>382</v>
      </c>
      <c r="D22" s="445" t="s">
        <v>385</v>
      </c>
      <c r="E22" s="445" t="s">
        <v>386</v>
      </c>
      <c r="F22" s="422">
        <v>4</v>
      </c>
      <c r="G22" s="422">
        <v>1292</v>
      </c>
      <c r="H22" s="422">
        <v>0.31117533718689788</v>
      </c>
      <c r="I22" s="422">
        <v>323</v>
      </c>
      <c r="J22" s="422">
        <v>12</v>
      </c>
      <c r="K22" s="422">
        <v>4152</v>
      </c>
      <c r="L22" s="422">
        <v>1</v>
      </c>
      <c r="M22" s="422">
        <v>346</v>
      </c>
      <c r="N22" s="422"/>
      <c r="O22" s="422"/>
      <c r="P22" s="446"/>
      <c r="Q22" s="447"/>
    </row>
    <row r="23" spans="1:17" ht="14.4" customHeight="1" x14ac:dyDescent="0.3">
      <c r="A23" s="421" t="s">
        <v>380</v>
      </c>
      <c r="B23" s="445" t="s">
        <v>381</v>
      </c>
      <c r="C23" s="445" t="s">
        <v>382</v>
      </c>
      <c r="D23" s="445" t="s">
        <v>395</v>
      </c>
      <c r="E23" s="445" t="s">
        <v>396</v>
      </c>
      <c r="F23" s="422">
        <v>4</v>
      </c>
      <c r="G23" s="422">
        <v>2184</v>
      </c>
      <c r="H23" s="422">
        <v>1.8827586206896552</v>
      </c>
      <c r="I23" s="422">
        <v>546</v>
      </c>
      <c r="J23" s="422">
        <v>2</v>
      </c>
      <c r="K23" s="422">
        <v>1160</v>
      </c>
      <c r="L23" s="422">
        <v>1</v>
      </c>
      <c r="M23" s="422">
        <v>580</v>
      </c>
      <c r="N23" s="422"/>
      <c r="O23" s="422"/>
      <c r="P23" s="446"/>
      <c r="Q23" s="447"/>
    </row>
    <row r="24" spans="1:17" ht="14.4" customHeight="1" x14ac:dyDescent="0.3">
      <c r="A24" s="421" t="s">
        <v>442</v>
      </c>
      <c r="B24" s="445" t="s">
        <v>381</v>
      </c>
      <c r="C24" s="445" t="s">
        <v>382</v>
      </c>
      <c r="D24" s="445" t="s">
        <v>385</v>
      </c>
      <c r="E24" s="445" t="s">
        <v>386</v>
      </c>
      <c r="F24" s="422">
        <v>4</v>
      </c>
      <c r="G24" s="422">
        <v>1292</v>
      </c>
      <c r="H24" s="422">
        <v>6.3289899088860582E-2</v>
      </c>
      <c r="I24" s="422">
        <v>323</v>
      </c>
      <c r="J24" s="422">
        <v>59</v>
      </c>
      <c r="K24" s="422">
        <v>20414</v>
      </c>
      <c r="L24" s="422">
        <v>1</v>
      </c>
      <c r="M24" s="422">
        <v>346</v>
      </c>
      <c r="N24" s="422">
        <v>20</v>
      </c>
      <c r="O24" s="422">
        <v>6940</v>
      </c>
      <c r="P24" s="446">
        <v>0.33996277064759478</v>
      </c>
      <c r="Q24" s="447">
        <v>347</v>
      </c>
    </row>
    <row r="25" spans="1:17" ht="14.4" customHeight="1" x14ac:dyDescent="0.3">
      <c r="A25" s="421" t="s">
        <v>442</v>
      </c>
      <c r="B25" s="445" t="s">
        <v>381</v>
      </c>
      <c r="C25" s="445" t="s">
        <v>382</v>
      </c>
      <c r="D25" s="445" t="s">
        <v>391</v>
      </c>
      <c r="E25" s="445" t="s">
        <v>392</v>
      </c>
      <c r="F25" s="422">
        <v>4</v>
      </c>
      <c r="G25" s="422">
        <v>1292</v>
      </c>
      <c r="H25" s="422">
        <v>0.4667630057803468</v>
      </c>
      <c r="I25" s="422">
        <v>323</v>
      </c>
      <c r="J25" s="422">
        <v>8</v>
      </c>
      <c r="K25" s="422">
        <v>2768</v>
      </c>
      <c r="L25" s="422">
        <v>1</v>
      </c>
      <c r="M25" s="422">
        <v>346</v>
      </c>
      <c r="N25" s="422">
        <v>10</v>
      </c>
      <c r="O25" s="422">
        <v>3470</v>
      </c>
      <c r="P25" s="446">
        <v>1.2536127167630058</v>
      </c>
      <c r="Q25" s="447">
        <v>347</v>
      </c>
    </row>
    <row r="26" spans="1:17" ht="14.4" customHeight="1" x14ac:dyDescent="0.3">
      <c r="A26" s="421" t="s">
        <v>443</v>
      </c>
      <c r="B26" s="445" t="s">
        <v>381</v>
      </c>
      <c r="C26" s="445" t="s">
        <v>382</v>
      </c>
      <c r="D26" s="445" t="s">
        <v>383</v>
      </c>
      <c r="E26" s="445" t="s">
        <v>384</v>
      </c>
      <c r="F26" s="422"/>
      <c r="G26" s="422"/>
      <c r="H26" s="422"/>
      <c r="I26" s="422"/>
      <c r="J26" s="422">
        <v>2</v>
      </c>
      <c r="K26" s="422">
        <v>148</v>
      </c>
      <c r="L26" s="422">
        <v>1</v>
      </c>
      <c r="M26" s="422">
        <v>74</v>
      </c>
      <c r="N26" s="422"/>
      <c r="O26" s="422"/>
      <c r="P26" s="446"/>
      <c r="Q26" s="447"/>
    </row>
    <row r="27" spans="1:17" ht="14.4" customHeight="1" x14ac:dyDescent="0.3">
      <c r="A27" s="421" t="s">
        <v>443</v>
      </c>
      <c r="B27" s="445" t="s">
        <v>381</v>
      </c>
      <c r="C27" s="445" t="s">
        <v>382</v>
      </c>
      <c r="D27" s="445" t="s">
        <v>385</v>
      </c>
      <c r="E27" s="445" t="s">
        <v>386</v>
      </c>
      <c r="F27" s="422">
        <v>894</v>
      </c>
      <c r="G27" s="422">
        <v>288762</v>
      </c>
      <c r="H27" s="422">
        <v>0.81981557400320249</v>
      </c>
      <c r="I27" s="422">
        <v>323</v>
      </c>
      <c r="J27" s="422">
        <v>1018</v>
      </c>
      <c r="K27" s="422">
        <v>352228</v>
      </c>
      <c r="L27" s="422">
        <v>1</v>
      </c>
      <c r="M27" s="422">
        <v>346</v>
      </c>
      <c r="N27" s="422">
        <v>978</v>
      </c>
      <c r="O27" s="422">
        <v>339366</v>
      </c>
      <c r="P27" s="446">
        <v>0.96348387975970107</v>
      </c>
      <c r="Q27" s="447">
        <v>347</v>
      </c>
    </row>
    <row r="28" spans="1:17" ht="14.4" customHeight="1" x14ac:dyDescent="0.3">
      <c r="A28" s="421" t="s">
        <v>443</v>
      </c>
      <c r="B28" s="445" t="s">
        <v>381</v>
      </c>
      <c r="C28" s="445" t="s">
        <v>382</v>
      </c>
      <c r="D28" s="445" t="s">
        <v>391</v>
      </c>
      <c r="E28" s="445" t="s">
        <v>392</v>
      </c>
      <c r="F28" s="422">
        <v>870</v>
      </c>
      <c r="G28" s="422">
        <v>281010</v>
      </c>
      <c r="H28" s="422">
        <v>1.1471294209855982</v>
      </c>
      <c r="I28" s="422">
        <v>323</v>
      </c>
      <c r="J28" s="422">
        <v>708</v>
      </c>
      <c r="K28" s="422">
        <v>244968</v>
      </c>
      <c r="L28" s="422">
        <v>1</v>
      </c>
      <c r="M28" s="422">
        <v>346</v>
      </c>
      <c r="N28" s="422">
        <v>424</v>
      </c>
      <c r="O28" s="422">
        <v>147128</v>
      </c>
      <c r="P28" s="446">
        <v>0.60060089481075074</v>
      </c>
      <c r="Q28" s="447">
        <v>347</v>
      </c>
    </row>
    <row r="29" spans="1:17" ht="14.4" customHeight="1" x14ac:dyDescent="0.3">
      <c r="A29" s="421" t="s">
        <v>443</v>
      </c>
      <c r="B29" s="445" t="s">
        <v>381</v>
      </c>
      <c r="C29" s="445" t="s">
        <v>382</v>
      </c>
      <c r="D29" s="445" t="s">
        <v>407</v>
      </c>
      <c r="E29" s="445" t="s">
        <v>408</v>
      </c>
      <c r="F29" s="422"/>
      <c r="G29" s="422"/>
      <c r="H29" s="422"/>
      <c r="I29" s="422"/>
      <c r="J29" s="422"/>
      <c r="K29" s="422"/>
      <c r="L29" s="422"/>
      <c r="M29" s="422"/>
      <c r="N29" s="422">
        <v>3</v>
      </c>
      <c r="O29" s="422">
        <v>2079</v>
      </c>
      <c r="P29" s="446"/>
      <c r="Q29" s="447">
        <v>693</v>
      </c>
    </row>
    <row r="30" spans="1:17" ht="14.4" customHeight="1" x14ac:dyDescent="0.3">
      <c r="A30" s="421" t="s">
        <v>444</v>
      </c>
      <c r="B30" s="445" t="s">
        <v>381</v>
      </c>
      <c r="C30" s="445" t="s">
        <v>382</v>
      </c>
      <c r="D30" s="445" t="s">
        <v>385</v>
      </c>
      <c r="E30" s="445" t="s">
        <v>386</v>
      </c>
      <c r="F30" s="422">
        <v>4</v>
      </c>
      <c r="G30" s="422">
        <v>1292</v>
      </c>
      <c r="H30" s="422">
        <v>0.4667630057803468</v>
      </c>
      <c r="I30" s="422">
        <v>323</v>
      </c>
      <c r="J30" s="422">
        <v>8</v>
      </c>
      <c r="K30" s="422">
        <v>2768</v>
      </c>
      <c r="L30" s="422">
        <v>1</v>
      </c>
      <c r="M30" s="422">
        <v>346</v>
      </c>
      <c r="N30" s="422"/>
      <c r="O30" s="422"/>
      <c r="P30" s="446"/>
      <c r="Q30" s="447"/>
    </row>
    <row r="31" spans="1:17" ht="14.4" customHeight="1" x14ac:dyDescent="0.3">
      <c r="A31" s="421" t="s">
        <v>445</v>
      </c>
      <c r="B31" s="445" t="s">
        <v>381</v>
      </c>
      <c r="C31" s="445" t="s">
        <v>382</v>
      </c>
      <c r="D31" s="445" t="s">
        <v>383</v>
      </c>
      <c r="E31" s="445" t="s">
        <v>384</v>
      </c>
      <c r="F31" s="422">
        <v>2</v>
      </c>
      <c r="G31" s="422">
        <v>140</v>
      </c>
      <c r="H31" s="422">
        <v>0.31531531531531531</v>
      </c>
      <c r="I31" s="422">
        <v>70</v>
      </c>
      <c r="J31" s="422">
        <v>6</v>
      </c>
      <c r="K31" s="422">
        <v>444</v>
      </c>
      <c r="L31" s="422">
        <v>1</v>
      </c>
      <c r="M31" s="422">
        <v>74</v>
      </c>
      <c r="N31" s="422">
        <v>4</v>
      </c>
      <c r="O31" s="422">
        <v>296</v>
      </c>
      <c r="P31" s="446">
        <v>0.66666666666666663</v>
      </c>
      <c r="Q31" s="447">
        <v>74</v>
      </c>
    </row>
    <row r="32" spans="1:17" ht="14.4" customHeight="1" x14ac:dyDescent="0.3">
      <c r="A32" s="421" t="s">
        <v>445</v>
      </c>
      <c r="B32" s="445" t="s">
        <v>381</v>
      </c>
      <c r="C32" s="445" t="s">
        <v>382</v>
      </c>
      <c r="D32" s="445" t="s">
        <v>385</v>
      </c>
      <c r="E32" s="445" t="s">
        <v>386</v>
      </c>
      <c r="F32" s="422">
        <v>776</v>
      </c>
      <c r="G32" s="422">
        <v>250648</v>
      </c>
      <c r="H32" s="422">
        <v>0.76576763739016729</v>
      </c>
      <c r="I32" s="422">
        <v>323</v>
      </c>
      <c r="J32" s="422">
        <v>946</v>
      </c>
      <c r="K32" s="422">
        <v>327316</v>
      </c>
      <c r="L32" s="422">
        <v>1</v>
      </c>
      <c r="M32" s="422">
        <v>346</v>
      </c>
      <c r="N32" s="422">
        <v>1270</v>
      </c>
      <c r="O32" s="422">
        <v>440690</v>
      </c>
      <c r="P32" s="446">
        <v>1.3463747571154481</v>
      </c>
      <c r="Q32" s="447">
        <v>347</v>
      </c>
    </row>
    <row r="33" spans="1:17" ht="14.4" customHeight="1" x14ac:dyDescent="0.3">
      <c r="A33" s="421" t="s">
        <v>445</v>
      </c>
      <c r="B33" s="445" t="s">
        <v>381</v>
      </c>
      <c r="C33" s="445" t="s">
        <v>382</v>
      </c>
      <c r="D33" s="445" t="s">
        <v>389</v>
      </c>
      <c r="E33" s="445" t="s">
        <v>390</v>
      </c>
      <c r="F33" s="422">
        <v>355</v>
      </c>
      <c r="G33" s="422">
        <v>114665</v>
      </c>
      <c r="H33" s="422">
        <v>1.1158307545590782</v>
      </c>
      <c r="I33" s="422">
        <v>323</v>
      </c>
      <c r="J33" s="422">
        <v>297</v>
      </c>
      <c r="K33" s="422">
        <v>102762</v>
      </c>
      <c r="L33" s="422">
        <v>1</v>
      </c>
      <c r="M33" s="422">
        <v>346</v>
      </c>
      <c r="N33" s="422">
        <v>524</v>
      </c>
      <c r="O33" s="422">
        <v>181828</v>
      </c>
      <c r="P33" s="446">
        <v>1.7694089254782897</v>
      </c>
      <c r="Q33" s="447">
        <v>347</v>
      </c>
    </row>
    <row r="34" spans="1:17" ht="14.4" customHeight="1" x14ac:dyDescent="0.3">
      <c r="A34" s="421" t="s">
        <v>445</v>
      </c>
      <c r="B34" s="445" t="s">
        <v>381</v>
      </c>
      <c r="C34" s="445" t="s">
        <v>382</v>
      </c>
      <c r="D34" s="445" t="s">
        <v>391</v>
      </c>
      <c r="E34" s="445" t="s">
        <v>392</v>
      </c>
      <c r="F34" s="422">
        <v>333</v>
      </c>
      <c r="G34" s="422">
        <v>107559</v>
      </c>
      <c r="H34" s="422">
        <v>1.7763666391412056</v>
      </c>
      <c r="I34" s="422">
        <v>323</v>
      </c>
      <c r="J34" s="422">
        <v>175</v>
      </c>
      <c r="K34" s="422">
        <v>60550</v>
      </c>
      <c r="L34" s="422">
        <v>1</v>
      </c>
      <c r="M34" s="422">
        <v>346</v>
      </c>
      <c r="N34" s="422">
        <v>21</v>
      </c>
      <c r="O34" s="422">
        <v>7287</v>
      </c>
      <c r="P34" s="446">
        <v>0.12034682080924855</v>
      </c>
      <c r="Q34" s="447">
        <v>347</v>
      </c>
    </row>
    <row r="35" spans="1:17" ht="14.4" customHeight="1" x14ac:dyDescent="0.3">
      <c r="A35" s="421" t="s">
        <v>445</v>
      </c>
      <c r="B35" s="445" t="s">
        <v>381</v>
      </c>
      <c r="C35" s="445" t="s">
        <v>382</v>
      </c>
      <c r="D35" s="445" t="s">
        <v>395</v>
      </c>
      <c r="E35" s="445" t="s">
        <v>396</v>
      </c>
      <c r="F35" s="422"/>
      <c r="G35" s="422"/>
      <c r="H35" s="422"/>
      <c r="I35" s="422"/>
      <c r="J35" s="422">
        <v>9</v>
      </c>
      <c r="K35" s="422">
        <v>5220</v>
      </c>
      <c r="L35" s="422">
        <v>1</v>
      </c>
      <c r="M35" s="422">
        <v>580</v>
      </c>
      <c r="N35" s="422">
        <v>2</v>
      </c>
      <c r="O35" s="422">
        <v>1160</v>
      </c>
      <c r="P35" s="446">
        <v>0.22222222222222221</v>
      </c>
      <c r="Q35" s="447">
        <v>580</v>
      </c>
    </row>
    <row r="36" spans="1:17" ht="14.4" customHeight="1" x14ac:dyDescent="0.3">
      <c r="A36" s="421" t="s">
        <v>445</v>
      </c>
      <c r="B36" s="445" t="s">
        <v>381</v>
      </c>
      <c r="C36" s="445" t="s">
        <v>382</v>
      </c>
      <c r="D36" s="445" t="s">
        <v>397</v>
      </c>
      <c r="E36" s="445" t="s">
        <v>398</v>
      </c>
      <c r="F36" s="422">
        <v>162</v>
      </c>
      <c r="G36" s="422">
        <v>88614</v>
      </c>
      <c r="H36" s="422">
        <v>0.99038826921787337</v>
      </c>
      <c r="I36" s="422">
        <v>547</v>
      </c>
      <c r="J36" s="422">
        <v>154</v>
      </c>
      <c r="K36" s="422">
        <v>89474</v>
      </c>
      <c r="L36" s="422">
        <v>1</v>
      </c>
      <c r="M36" s="422">
        <v>581</v>
      </c>
      <c r="N36" s="422">
        <v>245</v>
      </c>
      <c r="O36" s="422">
        <v>142345</v>
      </c>
      <c r="P36" s="446">
        <v>1.5909090909090908</v>
      </c>
      <c r="Q36" s="447">
        <v>581</v>
      </c>
    </row>
    <row r="37" spans="1:17" ht="14.4" customHeight="1" x14ac:dyDescent="0.3">
      <c r="A37" s="421" t="s">
        <v>445</v>
      </c>
      <c r="B37" s="445" t="s">
        <v>381</v>
      </c>
      <c r="C37" s="445" t="s">
        <v>382</v>
      </c>
      <c r="D37" s="445" t="s">
        <v>401</v>
      </c>
      <c r="E37" s="445" t="s">
        <v>402</v>
      </c>
      <c r="F37" s="422">
        <v>22</v>
      </c>
      <c r="G37" s="422">
        <v>12034</v>
      </c>
      <c r="H37" s="422">
        <v>1.5932741956838343</v>
      </c>
      <c r="I37" s="422">
        <v>547</v>
      </c>
      <c r="J37" s="422">
        <v>13</v>
      </c>
      <c r="K37" s="422">
        <v>7553</v>
      </c>
      <c r="L37" s="422">
        <v>1</v>
      </c>
      <c r="M37" s="422">
        <v>581</v>
      </c>
      <c r="N37" s="422">
        <v>16</v>
      </c>
      <c r="O37" s="422">
        <v>9296</v>
      </c>
      <c r="P37" s="446">
        <v>1.2307692307692308</v>
      </c>
      <c r="Q37" s="447">
        <v>581</v>
      </c>
    </row>
    <row r="38" spans="1:17" ht="14.4" customHeight="1" x14ac:dyDescent="0.3">
      <c r="A38" s="421" t="s">
        <v>446</v>
      </c>
      <c r="B38" s="445" t="s">
        <v>381</v>
      </c>
      <c r="C38" s="445" t="s">
        <v>382</v>
      </c>
      <c r="D38" s="445" t="s">
        <v>385</v>
      </c>
      <c r="E38" s="445" t="s">
        <v>386</v>
      </c>
      <c r="F38" s="422">
        <v>48</v>
      </c>
      <c r="G38" s="422">
        <v>15504</v>
      </c>
      <c r="H38" s="422">
        <v>3.7341040462427744</v>
      </c>
      <c r="I38" s="422">
        <v>323</v>
      </c>
      <c r="J38" s="422">
        <v>12</v>
      </c>
      <c r="K38" s="422">
        <v>4152</v>
      </c>
      <c r="L38" s="422">
        <v>1</v>
      </c>
      <c r="M38" s="422">
        <v>346</v>
      </c>
      <c r="N38" s="422">
        <v>104</v>
      </c>
      <c r="O38" s="422">
        <v>36088</v>
      </c>
      <c r="P38" s="446">
        <v>8.6917148362235075</v>
      </c>
      <c r="Q38" s="447">
        <v>347</v>
      </c>
    </row>
    <row r="39" spans="1:17" ht="14.4" customHeight="1" x14ac:dyDescent="0.3">
      <c r="A39" s="421" t="s">
        <v>447</v>
      </c>
      <c r="B39" s="445" t="s">
        <v>381</v>
      </c>
      <c r="C39" s="445" t="s">
        <v>382</v>
      </c>
      <c r="D39" s="445" t="s">
        <v>385</v>
      </c>
      <c r="E39" s="445" t="s">
        <v>386</v>
      </c>
      <c r="F39" s="422">
        <v>128</v>
      </c>
      <c r="G39" s="422">
        <v>41344</v>
      </c>
      <c r="H39" s="422">
        <v>2.3898265895953759</v>
      </c>
      <c r="I39" s="422">
        <v>323</v>
      </c>
      <c r="J39" s="422">
        <v>50</v>
      </c>
      <c r="K39" s="422">
        <v>17300</v>
      </c>
      <c r="L39" s="422">
        <v>1</v>
      </c>
      <c r="M39" s="422">
        <v>346</v>
      </c>
      <c r="N39" s="422">
        <v>68</v>
      </c>
      <c r="O39" s="422">
        <v>23596</v>
      </c>
      <c r="P39" s="446">
        <v>1.3639306358381502</v>
      </c>
      <c r="Q39" s="447">
        <v>347</v>
      </c>
    </row>
    <row r="40" spans="1:17" ht="14.4" customHeight="1" x14ac:dyDescent="0.3">
      <c r="A40" s="421" t="s">
        <v>447</v>
      </c>
      <c r="B40" s="445" t="s">
        <v>381</v>
      </c>
      <c r="C40" s="445" t="s">
        <v>382</v>
      </c>
      <c r="D40" s="445" t="s">
        <v>391</v>
      </c>
      <c r="E40" s="445" t="s">
        <v>392</v>
      </c>
      <c r="F40" s="422"/>
      <c r="G40" s="422"/>
      <c r="H40" s="422"/>
      <c r="I40" s="422"/>
      <c r="J40" s="422"/>
      <c r="K40" s="422"/>
      <c r="L40" s="422"/>
      <c r="M40" s="422"/>
      <c r="N40" s="422">
        <v>4</v>
      </c>
      <c r="O40" s="422">
        <v>1388</v>
      </c>
      <c r="P40" s="446"/>
      <c r="Q40" s="447">
        <v>347</v>
      </c>
    </row>
    <row r="41" spans="1:17" ht="14.4" customHeight="1" x14ac:dyDescent="0.3">
      <c r="A41" s="421" t="s">
        <v>447</v>
      </c>
      <c r="B41" s="445" t="s">
        <v>381</v>
      </c>
      <c r="C41" s="445" t="s">
        <v>382</v>
      </c>
      <c r="D41" s="445" t="s">
        <v>395</v>
      </c>
      <c r="E41" s="445" t="s">
        <v>396</v>
      </c>
      <c r="F41" s="422"/>
      <c r="G41" s="422"/>
      <c r="H41" s="422"/>
      <c r="I41" s="422"/>
      <c r="J41" s="422"/>
      <c r="K41" s="422"/>
      <c r="L41" s="422"/>
      <c r="M41" s="422"/>
      <c r="N41" s="422">
        <v>3</v>
      </c>
      <c r="O41" s="422">
        <v>1740</v>
      </c>
      <c r="P41" s="446"/>
      <c r="Q41" s="447">
        <v>580</v>
      </c>
    </row>
    <row r="42" spans="1:17" ht="14.4" customHeight="1" x14ac:dyDescent="0.3">
      <c r="A42" s="421" t="s">
        <v>448</v>
      </c>
      <c r="B42" s="445" t="s">
        <v>381</v>
      </c>
      <c r="C42" s="445" t="s">
        <v>382</v>
      </c>
      <c r="D42" s="445" t="s">
        <v>385</v>
      </c>
      <c r="E42" s="445" t="s">
        <v>386</v>
      </c>
      <c r="F42" s="422">
        <v>132</v>
      </c>
      <c r="G42" s="422">
        <v>42636</v>
      </c>
      <c r="H42" s="422">
        <v>1.6213872832369942</v>
      </c>
      <c r="I42" s="422">
        <v>323</v>
      </c>
      <c r="J42" s="422">
        <v>76</v>
      </c>
      <c r="K42" s="422">
        <v>26296</v>
      </c>
      <c r="L42" s="422">
        <v>1</v>
      </c>
      <c r="M42" s="422">
        <v>346</v>
      </c>
      <c r="N42" s="422">
        <v>72</v>
      </c>
      <c r="O42" s="422">
        <v>24984</v>
      </c>
      <c r="P42" s="446">
        <v>0.9501064800730149</v>
      </c>
      <c r="Q42" s="447">
        <v>347</v>
      </c>
    </row>
    <row r="43" spans="1:17" ht="14.4" customHeight="1" x14ac:dyDescent="0.3">
      <c r="A43" s="421" t="s">
        <v>448</v>
      </c>
      <c r="B43" s="445" t="s">
        <v>381</v>
      </c>
      <c r="C43" s="445" t="s">
        <v>382</v>
      </c>
      <c r="D43" s="445" t="s">
        <v>391</v>
      </c>
      <c r="E43" s="445" t="s">
        <v>392</v>
      </c>
      <c r="F43" s="422"/>
      <c r="G43" s="422"/>
      <c r="H43" s="422"/>
      <c r="I43" s="422"/>
      <c r="J43" s="422"/>
      <c r="K43" s="422"/>
      <c r="L43" s="422"/>
      <c r="M43" s="422"/>
      <c r="N43" s="422">
        <v>2</v>
      </c>
      <c r="O43" s="422">
        <v>694</v>
      </c>
      <c r="P43" s="446"/>
      <c r="Q43" s="447">
        <v>347</v>
      </c>
    </row>
    <row r="44" spans="1:17" ht="14.4" customHeight="1" x14ac:dyDescent="0.3">
      <c r="A44" s="421" t="s">
        <v>449</v>
      </c>
      <c r="B44" s="445" t="s">
        <v>381</v>
      </c>
      <c r="C44" s="445" t="s">
        <v>382</v>
      </c>
      <c r="D44" s="445" t="s">
        <v>385</v>
      </c>
      <c r="E44" s="445" t="s">
        <v>386</v>
      </c>
      <c r="F44" s="422">
        <v>36</v>
      </c>
      <c r="G44" s="422">
        <v>11628</v>
      </c>
      <c r="H44" s="422"/>
      <c r="I44" s="422">
        <v>323</v>
      </c>
      <c r="J44" s="422"/>
      <c r="K44" s="422"/>
      <c r="L44" s="422"/>
      <c r="M44" s="422"/>
      <c r="N44" s="422"/>
      <c r="O44" s="422"/>
      <c r="P44" s="446"/>
      <c r="Q44" s="447"/>
    </row>
    <row r="45" spans="1:17" ht="14.4" customHeight="1" x14ac:dyDescent="0.3">
      <c r="A45" s="421" t="s">
        <v>450</v>
      </c>
      <c r="B45" s="445" t="s">
        <v>381</v>
      </c>
      <c r="C45" s="445" t="s">
        <v>382</v>
      </c>
      <c r="D45" s="445" t="s">
        <v>385</v>
      </c>
      <c r="E45" s="445" t="s">
        <v>386</v>
      </c>
      <c r="F45" s="422">
        <v>1594</v>
      </c>
      <c r="G45" s="422">
        <v>514862</v>
      </c>
      <c r="H45" s="422">
        <v>1.5830217685401549</v>
      </c>
      <c r="I45" s="422">
        <v>323</v>
      </c>
      <c r="J45" s="422">
        <v>940</v>
      </c>
      <c r="K45" s="422">
        <v>325240</v>
      </c>
      <c r="L45" s="422">
        <v>1</v>
      </c>
      <c r="M45" s="422">
        <v>346</v>
      </c>
      <c r="N45" s="422">
        <v>874</v>
      </c>
      <c r="O45" s="422">
        <v>303278</v>
      </c>
      <c r="P45" s="446">
        <v>0.93247448038371661</v>
      </c>
      <c r="Q45" s="447">
        <v>347</v>
      </c>
    </row>
    <row r="46" spans="1:17" ht="14.4" customHeight="1" x14ac:dyDescent="0.3">
      <c r="A46" s="421" t="s">
        <v>450</v>
      </c>
      <c r="B46" s="445" t="s">
        <v>381</v>
      </c>
      <c r="C46" s="445" t="s">
        <v>382</v>
      </c>
      <c r="D46" s="445" t="s">
        <v>387</v>
      </c>
      <c r="E46" s="445" t="s">
        <v>388</v>
      </c>
      <c r="F46" s="422">
        <v>4</v>
      </c>
      <c r="G46" s="422">
        <v>860</v>
      </c>
      <c r="H46" s="422"/>
      <c r="I46" s="422">
        <v>215</v>
      </c>
      <c r="J46" s="422"/>
      <c r="K46" s="422"/>
      <c r="L46" s="422"/>
      <c r="M46" s="422"/>
      <c r="N46" s="422"/>
      <c r="O46" s="422"/>
      <c r="P46" s="446"/>
      <c r="Q46" s="447"/>
    </row>
    <row r="47" spans="1:17" ht="14.4" customHeight="1" x14ac:dyDescent="0.3">
      <c r="A47" s="421" t="s">
        <v>450</v>
      </c>
      <c r="B47" s="445" t="s">
        <v>381</v>
      </c>
      <c r="C47" s="445" t="s">
        <v>382</v>
      </c>
      <c r="D47" s="445" t="s">
        <v>389</v>
      </c>
      <c r="E47" s="445" t="s">
        <v>390</v>
      </c>
      <c r="F47" s="422">
        <v>2</v>
      </c>
      <c r="G47" s="422">
        <v>646</v>
      </c>
      <c r="H47" s="422">
        <v>0.4667630057803468</v>
      </c>
      <c r="I47" s="422">
        <v>323</v>
      </c>
      <c r="J47" s="422">
        <v>4</v>
      </c>
      <c r="K47" s="422">
        <v>1384</v>
      </c>
      <c r="L47" s="422">
        <v>1</v>
      </c>
      <c r="M47" s="422">
        <v>346</v>
      </c>
      <c r="N47" s="422">
        <v>9</v>
      </c>
      <c r="O47" s="422">
        <v>3123</v>
      </c>
      <c r="P47" s="446">
        <v>2.2565028901734103</v>
      </c>
      <c r="Q47" s="447">
        <v>347</v>
      </c>
    </row>
    <row r="48" spans="1:17" ht="14.4" customHeight="1" x14ac:dyDescent="0.3">
      <c r="A48" s="421" t="s">
        <v>450</v>
      </c>
      <c r="B48" s="445" t="s">
        <v>381</v>
      </c>
      <c r="C48" s="445" t="s">
        <v>382</v>
      </c>
      <c r="D48" s="445" t="s">
        <v>391</v>
      </c>
      <c r="E48" s="445" t="s">
        <v>392</v>
      </c>
      <c r="F48" s="422">
        <v>8</v>
      </c>
      <c r="G48" s="422">
        <v>2584</v>
      </c>
      <c r="H48" s="422"/>
      <c r="I48" s="422">
        <v>323</v>
      </c>
      <c r="J48" s="422"/>
      <c r="K48" s="422"/>
      <c r="L48" s="422"/>
      <c r="M48" s="422"/>
      <c r="N48" s="422"/>
      <c r="O48" s="422"/>
      <c r="P48" s="446"/>
      <c r="Q48" s="447"/>
    </row>
    <row r="49" spans="1:17" ht="14.4" customHeight="1" x14ac:dyDescent="0.3">
      <c r="A49" s="421" t="s">
        <v>450</v>
      </c>
      <c r="B49" s="445" t="s">
        <v>381</v>
      </c>
      <c r="C49" s="445" t="s">
        <v>382</v>
      </c>
      <c r="D49" s="445" t="s">
        <v>395</v>
      </c>
      <c r="E49" s="445" t="s">
        <v>396</v>
      </c>
      <c r="F49" s="422">
        <v>103</v>
      </c>
      <c r="G49" s="422">
        <v>56238</v>
      </c>
      <c r="H49" s="422">
        <v>0.79477105709440365</v>
      </c>
      <c r="I49" s="422">
        <v>546</v>
      </c>
      <c r="J49" s="422">
        <v>122</v>
      </c>
      <c r="K49" s="422">
        <v>70760</v>
      </c>
      <c r="L49" s="422">
        <v>1</v>
      </c>
      <c r="M49" s="422">
        <v>580</v>
      </c>
      <c r="N49" s="422">
        <v>53</v>
      </c>
      <c r="O49" s="422">
        <v>30740</v>
      </c>
      <c r="P49" s="446">
        <v>0.4344262295081967</v>
      </c>
      <c r="Q49" s="447">
        <v>580</v>
      </c>
    </row>
    <row r="50" spans="1:17" ht="14.4" customHeight="1" x14ac:dyDescent="0.3">
      <c r="A50" s="421" t="s">
        <v>450</v>
      </c>
      <c r="B50" s="445" t="s">
        <v>381</v>
      </c>
      <c r="C50" s="445" t="s">
        <v>382</v>
      </c>
      <c r="D50" s="445" t="s">
        <v>403</v>
      </c>
      <c r="E50" s="445" t="s">
        <v>404</v>
      </c>
      <c r="F50" s="422"/>
      <c r="G50" s="422"/>
      <c r="H50" s="422"/>
      <c r="I50" s="422"/>
      <c r="J50" s="422">
        <v>4</v>
      </c>
      <c r="K50" s="422">
        <v>2320</v>
      </c>
      <c r="L50" s="422">
        <v>1</v>
      </c>
      <c r="M50" s="422">
        <v>580</v>
      </c>
      <c r="N50" s="422">
        <v>18</v>
      </c>
      <c r="O50" s="422">
        <v>10440</v>
      </c>
      <c r="P50" s="446">
        <v>4.5</v>
      </c>
      <c r="Q50" s="447">
        <v>580</v>
      </c>
    </row>
    <row r="51" spans="1:17" ht="14.4" customHeight="1" x14ac:dyDescent="0.3">
      <c r="A51" s="421" t="s">
        <v>450</v>
      </c>
      <c r="B51" s="445" t="s">
        <v>381</v>
      </c>
      <c r="C51" s="445" t="s">
        <v>382</v>
      </c>
      <c r="D51" s="445" t="s">
        <v>407</v>
      </c>
      <c r="E51" s="445" t="s">
        <v>408</v>
      </c>
      <c r="F51" s="422">
        <v>4</v>
      </c>
      <c r="G51" s="422">
        <v>2580</v>
      </c>
      <c r="H51" s="422"/>
      <c r="I51" s="422">
        <v>645</v>
      </c>
      <c r="J51" s="422"/>
      <c r="K51" s="422"/>
      <c r="L51" s="422"/>
      <c r="M51" s="422"/>
      <c r="N51" s="422"/>
      <c r="O51" s="422"/>
      <c r="P51" s="446"/>
      <c r="Q51" s="447"/>
    </row>
    <row r="52" spans="1:17" ht="14.4" customHeight="1" x14ac:dyDescent="0.3">
      <c r="A52" s="421" t="s">
        <v>451</v>
      </c>
      <c r="B52" s="445" t="s">
        <v>381</v>
      </c>
      <c r="C52" s="445" t="s">
        <v>382</v>
      </c>
      <c r="D52" s="445" t="s">
        <v>385</v>
      </c>
      <c r="E52" s="445" t="s">
        <v>386</v>
      </c>
      <c r="F52" s="422">
        <v>134</v>
      </c>
      <c r="G52" s="422">
        <v>43282</v>
      </c>
      <c r="H52" s="422">
        <v>1.624577734404324</v>
      </c>
      <c r="I52" s="422">
        <v>323</v>
      </c>
      <c r="J52" s="422">
        <v>77</v>
      </c>
      <c r="K52" s="422">
        <v>26642</v>
      </c>
      <c r="L52" s="422">
        <v>1</v>
      </c>
      <c r="M52" s="422">
        <v>346</v>
      </c>
      <c r="N52" s="422">
        <v>100</v>
      </c>
      <c r="O52" s="422">
        <v>34700</v>
      </c>
      <c r="P52" s="446">
        <v>1.3024547706628631</v>
      </c>
      <c r="Q52" s="447">
        <v>347</v>
      </c>
    </row>
    <row r="53" spans="1:17" ht="14.4" customHeight="1" x14ac:dyDescent="0.3">
      <c r="A53" s="421" t="s">
        <v>451</v>
      </c>
      <c r="B53" s="445" t="s">
        <v>381</v>
      </c>
      <c r="C53" s="445" t="s">
        <v>382</v>
      </c>
      <c r="D53" s="445" t="s">
        <v>395</v>
      </c>
      <c r="E53" s="445" t="s">
        <v>396</v>
      </c>
      <c r="F53" s="422">
        <v>1408</v>
      </c>
      <c r="G53" s="422">
        <v>768768</v>
      </c>
      <c r="H53" s="422">
        <v>0.95494385372155421</v>
      </c>
      <c r="I53" s="422">
        <v>546</v>
      </c>
      <c r="J53" s="422">
        <v>1388</v>
      </c>
      <c r="K53" s="422">
        <v>805040</v>
      </c>
      <c r="L53" s="422">
        <v>1</v>
      </c>
      <c r="M53" s="422">
        <v>580</v>
      </c>
      <c r="N53" s="422">
        <v>1120</v>
      </c>
      <c r="O53" s="422">
        <v>649600</v>
      </c>
      <c r="P53" s="446">
        <v>0.80691642651296835</v>
      </c>
      <c r="Q53" s="447">
        <v>580</v>
      </c>
    </row>
    <row r="54" spans="1:17" ht="14.4" customHeight="1" x14ac:dyDescent="0.3">
      <c r="A54" s="421" t="s">
        <v>451</v>
      </c>
      <c r="B54" s="445" t="s">
        <v>381</v>
      </c>
      <c r="C54" s="445" t="s">
        <v>382</v>
      </c>
      <c r="D54" s="445" t="s">
        <v>403</v>
      </c>
      <c r="E54" s="445" t="s">
        <v>404</v>
      </c>
      <c r="F54" s="422">
        <v>204</v>
      </c>
      <c r="G54" s="422">
        <v>111384</v>
      </c>
      <c r="H54" s="422">
        <v>1.9204137931034482</v>
      </c>
      <c r="I54" s="422">
        <v>546</v>
      </c>
      <c r="J54" s="422">
        <v>100</v>
      </c>
      <c r="K54" s="422">
        <v>58000</v>
      </c>
      <c r="L54" s="422">
        <v>1</v>
      </c>
      <c r="M54" s="422">
        <v>580</v>
      </c>
      <c r="N54" s="422">
        <v>72</v>
      </c>
      <c r="O54" s="422">
        <v>41760</v>
      </c>
      <c r="P54" s="446">
        <v>0.72</v>
      </c>
      <c r="Q54" s="447">
        <v>580</v>
      </c>
    </row>
    <row r="55" spans="1:17" ht="14.4" customHeight="1" x14ac:dyDescent="0.3">
      <c r="A55" s="421" t="s">
        <v>451</v>
      </c>
      <c r="B55" s="445" t="s">
        <v>381</v>
      </c>
      <c r="C55" s="445" t="s">
        <v>382</v>
      </c>
      <c r="D55" s="445" t="s">
        <v>405</v>
      </c>
      <c r="E55" s="445" t="s">
        <v>406</v>
      </c>
      <c r="F55" s="422">
        <v>36</v>
      </c>
      <c r="G55" s="422">
        <v>9828</v>
      </c>
      <c r="H55" s="422">
        <v>1.6944827586206896</v>
      </c>
      <c r="I55" s="422">
        <v>273</v>
      </c>
      <c r="J55" s="422">
        <v>20</v>
      </c>
      <c r="K55" s="422">
        <v>5800</v>
      </c>
      <c r="L55" s="422">
        <v>1</v>
      </c>
      <c r="M55" s="422">
        <v>290</v>
      </c>
      <c r="N55" s="422">
        <v>12</v>
      </c>
      <c r="O55" s="422">
        <v>3492</v>
      </c>
      <c r="P55" s="446">
        <v>0.60206896551724143</v>
      </c>
      <c r="Q55" s="447">
        <v>291</v>
      </c>
    </row>
    <row r="56" spans="1:17" ht="14.4" customHeight="1" x14ac:dyDescent="0.3">
      <c r="A56" s="421" t="s">
        <v>452</v>
      </c>
      <c r="B56" s="445" t="s">
        <v>381</v>
      </c>
      <c r="C56" s="445" t="s">
        <v>382</v>
      </c>
      <c r="D56" s="445" t="s">
        <v>383</v>
      </c>
      <c r="E56" s="445" t="s">
        <v>384</v>
      </c>
      <c r="F56" s="422">
        <v>2</v>
      </c>
      <c r="G56" s="422">
        <v>140</v>
      </c>
      <c r="H56" s="422"/>
      <c r="I56" s="422">
        <v>70</v>
      </c>
      <c r="J56" s="422"/>
      <c r="K56" s="422"/>
      <c r="L56" s="422"/>
      <c r="M56" s="422"/>
      <c r="N56" s="422"/>
      <c r="O56" s="422"/>
      <c r="P56" s="446"/>
      <c r="Q56" s="447"/>
    </row>
    <row r="57" spans="1:17" ht="14.4" customHeight="1" x14ac:dyDescent="0.3">
      <c r="A57" s="421" t="s">
        <v>452</v>
      </c>
      <c r="B57" s="445" t="s">
        <v>381</v>
      </c>
      <c r="C57" s="445" t="s">
        <v>382</v>
      </c>
      <c r="D57" s="445" t="s">
        <v>385</v>
      </c>
      <c r="E57" s="445" t="s">
        <v>386</v>
      </c>
      <c r="F57" s="422">
        <v>9</v>
      </c>
      <c r="G57" s="422">
        <v>2907</v>
      </c>
      <c r="H57" s="422">
        <v>2.1004335260115607</v>
      </c>
      <c r="I57" s="422">
        <v>323</v>
      </c>
      <c r="J57" s="422">
        <v>4</v>
      </c>
      <c r="K57" s="422">
        <v>1384</v>
      </c>
      <c r="L57" s="422">
        <v>1</v>
      </c>
      <c r="M57" s="422">
        <v>346</v>
      </c>
      <c r="N57" s="422">
        <v>4</v>
      </c>
      <c r="O57" s="422">
        <v>1388</v>
      </c>
      <c r="P57" s="446">
        <v>1.0028901734104045</v>
      </c>
      <c r="Q57" s="447">
        <v>347</v>
      </c>
    </row>
    <row r="58" spans="1:17" ht="14.4" customHeight="1" x14ac:dyDescent="0.3">
      <c r="A58" s="421" t="s">
        <v>452</v>
      </c>
      <c r="B58" s="445" t="s">
        <v>381</v>
      </c>
      <c r="C58" s="445" t="s">
        <v>382</v>
      </c>
      <c r="D58" s="445" t="s">
        <v>391</v>
      </c>
      <c r="E58" s="445" t="s">
        <v>392</v>
      </c>
      <c r="F58" s="422">
        <v>3</v>
      </c>
      <c r="G58" s="422">
        <v>969</v>
      </c>
      <c r="H58" s="422">
        <v>0.70014450867052025</v>
      </c>
      <c r="I58" s="422">
        <v>323</v>
      </c>
      <c r="J58" s="422">
        <v>4</v>
      </c>
      <c r="K58" s="422">
        <v>1384</v>
      </c>
      <c r="L58" s="422">
        <v>1</v>
      </c>
      <c r="M58" s="422">
        <v>346</v>
      </c>
      <c r="N58" s="422">
        <v>10</v>
      </c>
      <c r="O58" s="422">
        <v>3470</v>
      </c>
      <c r="P58" s="446">
        <v>2.5072254335260116</v>
      </c>
      <c r="Q58" s="447">
        <v>347</v>
      </c>
    </row>
    <row r="59" spans="1:17" ht="14.4" customHeight="1" x14ac:dyDescent="0.3">
      <c r="A59" s="421" t="s">
        <v>452</v>
      </c>
      <c r="B59" s="445" t="s">
        <v>381</v>
      </c>
      <c r="C59" s="445" t="s">
        <v>382</v>
      </c>
      <c r="D59" s="445" t="s">
        <v>395</v>
      </c>
      <c r="E59" s="445" t="s">
        <v>396</v>
      </c>
      <c r="F59" s="422"/>
      <c r="G59" s="422"/>
      <c r="H59" s="422"/>
      <c r="I59" s="422"/>
      <c r="J59" s="422"/>
      <c r="K59" s="422"/>
      <c r="L59" s="422"/>
      <c r="M59" s="422"/>
      <c r="N59" s="422">
        <v>2</v>
      </c>
      <c r="O59" s="422">
        <v>1160</v>
      </c>
      <c r="P59" s="446"/>
      <c r="Q59" s="447">
        <v>580</v>
      </c>
    </row>
    <row r="60" spans="1:17" ht="14.4" customHeight="1" x14ac:dyDescent="0.3">
      <c r="A60" s="421" t="s">
        <v>452</v>
      </c>
      <c r="B60" s="445" t="s">
        <v>381</v>
      </c>
      <c r="C60" s="445" t="s">
        <v>382</v>
      </c>
      <c r="D60" s="445" t="s">
        <v>403</v>
      </c>
      <c r="E60" s="445" t="s">
        <v>404</v>
      </c>
      <c r="F60" s="422">
        <v>32</v>
      </c>
      <c r="G60" s="422">
        <v>17472</v>
      </c>
      <c r="H60" s="422"/>
      <c r="I60" s="422">
        <v>546</v>
      </c>
      <c r="J60" s="422"/>
      <c r="K60" s="422"/>
      <c r="L60" s="422"/>
      <c r="M60" s="422"/>
      <c r="N60" s="422">
        <v>4</v>
      </c>
      <c r="O60" s="422">
        <v>2320</v>
      </c>
      <c r="P60" s="446"/>
      <c r="Q60" s="447">
        <v>580</v>
      </c>
    </row>
    <row r="61" spans="1:17" ht="14.4" customHeight="1" x14ac:dyDescent="0.3">
      <c r="A61" s="421" t="s">
        <v>453</v>
      </c>
      <c r="B61" s="445" t="s">
        <v>381</v>
      </c>
      <c r="C61" s="445" t="s">
        <v>382</v>
      </c>
      <c r="D61" s="445" t="s">
        <v>385</v>
      </c>
      <c r="E61" s="445" t="s">
        <v>386</v>
      </c>
      <c r="F61" s="422">
        <v>82</v>
      </c>
      <c r="G61" s="422">
        <v>26486</v>
      </c>
      <c r="H61" s="422">
        <v>0.98139914035867792</v>
      </c>
      <c r="I61" s="422">
        <v>323</v>
      </c>
      <c r="J61" s="422">
        <v>78</v>
      </c>
      <c r="K61" s="422">
        <v>26988</v>
      </c>
      <c r="L61" s="422">
        <v>1</v>
      </c>
      <c r="M61" s="422">
        <v>346</v>
      </c>
      <c r="N61" s="422"/>
      <c r="O61" s="422"/>
      <c r="P61" s="446"/>
      <c r="Q61" s="447"/>
    </row>
    <row r="62" spans="1:17" ht="14.4" customHeight="1" x14ac:dyDescent="0.3">
      <c r="A62" s="421" t="s">
        <v>453</v>
      </c>
      <c r="B62" s="445" t="s">
        <v>381</v>
      </c>
      <c r="C62" s="445" t="s">
        <v>382</v>
      </c>
      <c r="D62" s="445" t="s">
        <v>397</v>
      </c>
      <c r="E62" s="445" t="s">
        <v>398</v>
      </c>
      <c r="F62" s="422"/>
      <c r="G62" s="422"/>
      <c r="H62" s="422"/>
      <c r="I62" s="422"/>
      <c r="J62" s="422">
        <v>6</v>
      </c>
      <c r="K62" s="422">
        <v>3486</v>
      </c>
      <c r="L62" s="422">
        <v>1</v>
      </c>
      <c r="M62" s="422">
        <v>581</v>
      </c>
      <c r="N62" s="422"/>
      <c r="O62" s="422"/>
      <c r="P62" s="446"/>
      <c r="Q62" s="447"/>
    </row>
    <row r="63" spans="1:17" ht="14.4" customHeight="1" x14ac:dyDescent="0.3">
      <c r="A63" s="421" t="s">
        <v>454</v>
      </c>
      <c r="B63" s="445" t="s">
        <v>381</v>
      </c>
      <c r="C63" s="445" t="s">
        <v>382</v>
      </c>
      <c r="D63" s="445" t="s">
        <v>385</v>
      </c>
      <c r="E63" s="445" t="s">
        <v>386</v>
      </c>
      <c r="F63" s="422">
        <v>952</v>
      </c>
      <c r="G63" s="422">
        <v>307496</v>
      </c>
      <c r="H63" s="422">
        <v>0.69053361538910674</v>
      </c>
      <c r="I63" s="422">
        <v>323</v>
      </c>
      <c r="J63" s="422">
        <v>1287</v>
      </c>
      <c r="K63" s="422">
        <v>445302</v>
      </c>
      <c r="L63" s="422">
        <v>1</v>
      </c>
      <c r="M63" s="422">
        <v>346</v>
      </c>
      <c r="N63" s="422">
        <v>854</v>
      </c>
      <c r="O63" s="422">
        <v>296338</v>
      </c>
      <c r="P63" s="446">
        <v>0.66547646316432441</v>
      </c>
      <c r="Q63" s="447">
        <v>347</v>
      </c>
    </row>
    <row r="64" spans="1:17" ht="14.4" customHeight="1" x14ac:dyDescent="0.3">
      <c r="A64" s="421" t="s">
        <v>454</v>
      </c>
      <c r="B64" s="445" t="s">
        <v>381</v>
      </c>
      <c r="C64" s="445" t="s">
        <v>382</v>
      </c>
      <c r="D64" s="445" t="s">
        <v>389</v>
      </c>
      <c r="E64" s="445" t="s">
        <v>390</v>
      </c>
      <c r="F64" s="422">
        <v>29</v>
      </c>
      <c r="G64" s="422">
        <v>9367</v>
      </c>
      <c r="H64" s="422">
        <v>0.50133804324555775</v>
      </c>
      <c r="I64" s="422">
        <v>323</v>
      </c>
      <c r="J64" s="422">
        <v>54</v>
      </c>
      <c r="K64" s="422">
        <v>18684</v>
      </c>
      <c r="L64" s="422">
        <v>1</v>
      </c>
      <c r="M64" s="422">
        <v>346</v>
      </c>
      <c r="N64" s="422">
        <v>34</v>
      </c>
      <c r="O64" s="422">
        <v>11798</v>
      </c>
      <c r="P64" s="446">
        <v>0.63144936844358812</v>
      </c>
      <c r="Q64" s="447">
        <v>347</v>
      </c>
    </row>
    <row r="65" spans="1:17" ht="14.4" customHeight="1" x14ac:dyDescent="0.3">
      <c r="A65" s="421" t="s">
        <v>454</v>
      </c>
      <c r="B65" s="445" t="s">
        <v>381</v>
      </c>
      <c r="C65" s="445" t="s">
        <v>382</v>
      </c>
      <c r="D65" s="445" t="s">
        <v>391</v>
      </c>
      <c r="E65" s="445" t="s">
        <v>392</v>
      </c>
      <c r="F65" s="422">
        <v>27</v>
      </c>
      <c r="G65" s="422">
        <v>8721</v>
      </c>
      <c r="H65" s="422">
        <v>0.78766257225433522</v>
      </c>
      <c r="I65" s="422">
        <v>323</v>
      </c>
      <c r="J65" s="422">
        <v>32</v>
      </c>
      <c r="K65" s="422">
        <v>11072</v>
      </c>
      <c r="L65" s="422">
        <v>1</v>
      </c>
      <c r="M65" s="422">
        <v>346</v>
      </c>
      <c r="N65" s="422">
        <v>52</v>
      </c>
      <c r="O65" s="422">
        <v>18044</v>
      </c>
      <c r="P65" s="446">
        <v>1.6296965317919074</v>
      </c>
      <c r="Q65" s="447">
        <v>347</v>
      </c>
    </row>
    <row r="66" spans="1:17" ht="14.4" customHeight="1" x14ac:dyDescent="0.3">
      <c r="A66" s="421" t="s">
        <v>454</v>
      </c>
      <c r="B66" s="445" t="s">
        <v>381</v>
      </c>
      <c r="C66" s="445" t="s">
        <v>382</v>
      </c>
      <c r="D66" s="445" t="s">
        <v>395</v>
      </c>
      <c r="E66" s="445" t="s">
        <v>396</v>
      </c>
      <c r="F66" s="422">
        <v>6</v>
      </c>
      <c r="G66" s="422">
        <v>3276</v>
      </c>
      <c r="H66" s="422">
        <v>0.62758620689655176</v>
      </c>
      <c r="I66" s="422">
        <v>546</v>
      </c>
      <c r="J66" s="422">
        <v>9</v>
      </c>
      <c r="K66" s="422">
        <v>5220</v>
      </c>
      <c r="L66" s="422">
        <v>1</v>
      </c>
      <c r="M66" s="422">
        <v>580</v>
      </c>
      <c r="N66" s="422">
        <v>69</v>
      </c>
      <c r="O66" s="422">
        <v>40020</v>
      </c>
      <c r="P66" s="446">
        <v>7.666666666666667</v>
      </c>
      <c r="Q66" s="447">
        <v>580</v>
      </c>
    </row>
    <row r="67" spans="1:17" ht="14.4" customHeight="1" x14ac:dyDescent="0.3">
      <c r="A67" s="421" t="s">
        <v>454</v>
      </c>
      <c r="B67" s="445" t="s">
        <v>381</v>
      </c>
      <c r="C67" s="445" t="s">
        <v>382</v>
      </c>
      <c r="D67" s="445" t="s">
        <v>405</v>
      </c>
      <c r="E67" s="445" t="s">
        <v>406</v>
      </c>
      <c r="F67" s="422"/>
      <c r="G67" s="422"/>
      <c r="H67" s="422"/>
      <c r="I67" s="422"/>
      <c r="J67" s="422"/>
      <c r="K67" s="422"/>
      <c r="L67" s="422"/>
      <c r="M67" s="422"/>
      <c r="N67" s="422">
        <v>12</v>
      </c>
      <c r="O67" s="422">
        <v>3492</v>
      </c>
      <c r="P67" s="446"/>
      <c r="Q67" s="447">
        <v>291</v>
      </c>
    </row>
    <row r="68" spans="1:17" ht="14.4" customHeight="1" x14ac:dyDescent="0.3">
      <c r="A68" s="421" t="s">
        <v>454</v>
      </c>
      <c r="B68" s="445" t="s">
        <v>381</v>
      </c>
      <c r="C68" s="445" t="s">
        <v>382</v>
      </c>
      <c r="D68" s="445" t="s">
        <v>407</v>
      </c>
      <c r="E68" s="445" t="s">
        <v>408</v>
      </c>
      <c r="F68" s="422">
        <v>2</v>
      </c>
      <c r="G68" s="422">
        <v>1290</v>
      </c>
      <c r="H68" s="422"/>
      <c r="I68" s="422">
        <v>645</v>
      </c>
      <c r="J68" s="422"/>
      <c r="K68" s="422"/>
      <c r="L68" s="422"/>
      <c r="M68" s="422"/>
      <c r="N68" s="422"/>
      <c r="O68" s="422"/>
      <c r="P68" s="446"/>
      <c r="Q68" s="447"/>
    </row>
    <row r="69" spans="1:17" ht="14.4" customHeight="1" x14ac:dyDescent="0.3">
      <c r="A69" s="421" t="s">
        <v>455</v>
      </c>
      <c r="B69" s="445" t="s">
        <v>381</v>
      </c>
      <c r="C69" s="445" t="s">
        <v>382</v>
      </c>
      <c r="D69" s="445" t="s">
        <v>385</v>
      </c>
      <c r="E69" s="445" t="s">
        <v>386</v>
      </c>
      <c r="F69" s="422">
        <v>60</v>
      </c>
      <c r="G69" s="422">
        <v>19380</v>
      </c>
      <c r="H69" s="422">
        <v>1.2729900157645822</v>
      </c>
      <c r="I69" s="422">
        <v>323</v>
      </c>
      <c r="J69" s="422">
        <v>44</v>
      </c>
      <c r="K69" s="422">
        <v>15224</v>
      </c>
      <c r="L69" s="422">
        <v>1</v>
      </c>
      <c r="M69" s="422">
        <v>346</v>
      </c>
      <c r="N69" s="422"/>
      <c r="O69" s="422"/>
      <c r="P69" s="446"/>
      <c r="Q69" s="447"/>
    </row>
    <row r="70" spans="1:17" ht="14.4" customHeight="1" x14ac:dyDescent="0.3">
      <c r="A70" s="421" t="s">
        <v>456</v>
      </c>
      <c r="B70" s="445" t="s">
        <v>381</v>
      </c>
      <c r="C70" s="445" t="s">
        <v>382</v>
      </c>
      <c r="D70" s="445" t="s">
        <v>383</v>
      </c>
      <c r="E70" s="445" t="s">
        <v>384</v>
      </c>
      <c r="F70" s="422"/>
      <c r="G70" s="422"/>
      <c r="H70" s="422"/>
      <c r="I70" s="422"/>
      <c r="J70" s="422">
        <v>4</v>
      </c>
      <c r="K70" s="422">
        <v>296</v>
      </c>
      <c r="L70" s="422">
        <v>1</v>
      </c>
      <c r="M70" s="422">
        <v>74</v>
      </c>
      <c r="N70" s="422">
        <v>4</v>
      </c>
      <c r="O70" s="422">
        <v>296</v>
      </c>
      <c r="P70" s="446">
        <v>1</v>
      </c>
      <c r="Q70" s="447">
        <v>74</v>
      </c>
    </row>
    <row r="71" spans="1:17" ht="14.4" customHeight="1" x14ac:dyDescent="0.3">
      <c r="A71" s="421" t="s">
        <v>456</v>
      </c>
      <c r="B71" s="445" t="s">
        <v>381</v>
      </c>
      <c r="C71" s="445" t="s">
        <v>382</v>
      </c>
      <c r="D71" s="445" t="s">
        <v>385</v>
      </c>
      <c r="E71" s="445" t="s">
        <v>386</v>
      </c>
      <c r="F71" s="422">
        <v>375</v>
      </c>
      <c r="G71" s="422">
        <v>121125</v>
      </c>
      <c r="H71" s="422">
        <v>0.44652073257048486</v>
      </c>
      <c r="I71" s="422">
        <v>323</v>
      </c>
      <c r="J71" s="422">
        <v>784</v>
      </c>
      <c r="K71" s="422">
        <v>271264</v>
      </c>
      <c r="L71" s="422">
        <v>1</v>
      </c>
      <c r="M71" s="422">
        <v>346</v>
      </c>
      <c r="N71" s="422">
        <v>1100</v>
      </c>
      <c r="O71" s="422">
        <v>381700</v>
      </c>
      <c r="P71" s="446">
        <v>1.407116314733986</v>
      </c>
      <c r="Q71" s="447">
        <v>347</v>
      </c>
    </row>
    <row r="72" spans="1:17" ht="14.4" customHeight="1" x14ac:dyDescent="0.3">
      <c r="A72" s="421" t="s">
        <v>456</v>
      </c>
      <c r="B72" s="445" t="s">
        <v>381</v>
      </c>
      <c r="C72" s="445" t="s">
        <v>382</v>
      </c>
      <c r="D72" s="445" t="s">
        <v>389</v>
      </c>
      <c r="E72" s="445" t="s">
        <v>390</v>
      </c>
      <c r="F72" s="422"/>
      <c r="G72" s="422"/>
      <c r="H72" s="422"/>
      <c r="I72" s="422"/>
      <c r="J72" s="422"/>
      <c r="K72" s="422"/>
      <c r="L72" s="422"/>
      <c r="M72" s="422"/>
      <c r="N72" s="422">
        <v>8</v>
      </c>
      <c r="O72" s="422">
        <v>2776</v>
      </c>
      <c r="P72" s="446"/>
      <c r="Q72" s="447">
        <v>347</v>
      </c>
    </row>
    <row r="73" spans="1:17" ht="14.4" customHeight="1" x14ac:dyDescent="0.3">
      <c r="A73" s="421" t="s">
        <v>456</v>
      </c>
      <c r="B73" s="445" t="s">
        <v>381</v>
      </c>
      <c r="C73" s="445" t="s">
        <v>382</v>
      </c>
      <c r="D73" s="445" t="s">
        <v>395</v>
      </c>
      <c r="E73" s="445" t="s">
        <v>396</v>
      </c>
      <c r="F73" s="422">
        <v>54</v>
      </c>
      <c r="G73" s="422">
        <v>29484</v>
      </c>
      <c r="H73" s="422">
        <v>1.5404388714733541</v>
      </c>
      <c r="I73" s="422">
        <v>546</v>
      </c>
      <c r="J73" s="422">
        <v>33</v>
      </c>
      <c r="K73" s="422">
        <v>19140</v>
      </c>
      <c r="L73" s="422">
        <v>1</v>
      </c>
      <c r="M73" s="422">
        <v>580</v>
      </c>
      <c r="N73" s="422">
        <v>110</v>
      </c>
      <c r="O73" s="422">
        <v>63800</v>
      </c>
      <c r="P73" s="446">
        <v>3.3333333333333335</v>
      </c>
      <c r="Q73" s="447">
        <v>580</v>
      </c>
    </row>
    <row r="74" spans="1:17" ht="14.4" customHeight="1" x14ac:dyDescent="0.3">
      <c r="A74" s="421" t="s">
        <v>456</v>
      </c>
      <c r="B74" s="445" t="s">
        <v>381</v>
      </c>
      <c r="C74" s="445" t="s">
        <v>382</v>
      </c>
      <c r="D74" s="445" t="s">
        <v>405</v>
      </c>
      <c r="E74" s="445" t="s">
        <v>406</v>
      </c>
      <c r="F74" s="422"/>
      <c r="G74" s="422"/>
      <c r="H74" s="422"/>
      <c r="I74" s="422"/>
      <c r="J74" s="422"/>
      <c r="K74" s="422"/>
      <c r="L74" s="422"/>
      <c r="M74" s="422"/>
      <c r="N74" s="422">
        <v>6</v>
      </c>
      <c r="O74" s="422">
        <v>1746</v>
      </c>
      <c r="P74" s="446"/>
      <c r="Q74" s="447">
        <v>291</v>
      </c>
    </row>
    <row r="75" spans="1:17" ht="14.4" customHeight="1" x14ac:dyDescent="0.3">
      <c r="A75" s="421" t="s">
        <v>457</v>
      </c>
      <c r="B75" s="445" t="s">
        <v>381</v>
      </c>
      <c r="C75" s="445" t="s">
        <v>382</v>
      </c>
      <c r="D75" s="445" t="s">
        <v>385</v>
      </c>
      <c r="E75" s="445" t="s">
        <v>386</v>
      </c>
      <c r="F75" s="422">
        <v>228</v>
      </c>
      <c r="G75" s="422">
        <v>73644</v>
      </c>
      <c r="H75" s="422">
        <v>1.0135425268373246</v>
      </c>
      <c r="I75" s="422">
        <v>323</v>
      </c>
      <c r="J75" s="422">
        <v>210</v>
      </c>
      <c r="K75" s="422">
        <v>72660</v>
      </c>
      <c r="L75" s="422">
        <v>1</v>
      </c>
      <c r="M75" s="422">
        <v>346</v>
      </c>
      <c r="N75" s="422">
        <v>250</v>
      </c>
      <c r="O75" s="422">
        <v>86750</v>
      </c>
      <c r="P75" s="446">
        <v>1.1939168731076246</v>
      </c>
      <c r="Q75" s="447">
        <v>347</v>
      </c>
    </row>
    <row r="76" spans="1:17" ht="14.4" customHeight="1" x14ac:dyDescent="0.3">
      <c r="A76" s="421" t="s">
        <v>457</v>
      </c>
      <c r="B76" s="445" t="s">
        <v>381</v>
      </c>
      <c r="C76" s="445" t="s">
        <v>382</v>
      </c>
      <c r="D76" s="445" t="s">
        <v>391</v>
      </c>
      <c r="E76" s="445" t="s">
        <v>392</v>
      </c>
      <c r="F76" s="422"/>
      <c r="G76" s="422"/>
      <c r="H76" s="422"/>
      <c r="I76" s="422"/>
      <c r="J76" s="422">
        <v>7</v>
      </c>
      <c r="K76" s="422">
        <v>2422</v>
      </c>
      <c r="L76" s="422">
        <v>1</v>
      </c>
      <c r="M76" s="422">
        <v>346</v>
      </c>
      <c r="N76" s="422">
        <v>4</v>
      </c>
      <c r="O76" s="422">
        <v>1388</v>
      </c>
      <c r="P76" s="446">
        <v>0.5730800990916598</v>
      </c>
      <c r="Q76" s="447">
        <v>347</v>
      </c>
    </row>
    <row r="77" spans="1:17" ht="14.4" customHeight="1" x14ac:dyDescent="0.3">
      <c r="A77" s="421" t="s">
        <v>457</v>
      </c>
      <c r="B77" s="445" t="s">
        <v>381</v>
      </c>
      <c r="C77" s="445" t="s">
        <v>382</v>
      </c>
      <c r="D77" s="445" t="s">
        <v>395</v>
      </c>
      <c r="E77" s="445" t="s">
        <v>396</v>
      </c>
      <c r="F77" s="422">
        <v>122</v>
      </c>
      <c r="G77" s="422">
        <v>66612</v>
      </c>
      <c r="H77" s="422">
        <v>1.5951149425287356</v>
      </c>
      <c r="I77" s="422">
        <v>546</v>
      </c>
      <c r="J77" s="422">
        <v>72</v>
      </c>
      <c r="K77" s="422">
        <v>41760</v>
      </c>
      <c r="L77" s="422">
        <v>1</v>
      </c>
      <c r="M77" s="422">
        <v>580</v>
      </c>
      <c r="N77" s="422">
        <v>144</v>
      </c>
      <c r="O77" s="422">
        <v>83520</v>
      </c>
      <c r="P77" s="446">
        <v>2</v>
      </c>
      <c r="Q77" s="447">
        <v>580</v>
      </c>
    </row>
    <row r="78" spans="1:17" ht="14.4" customHeight="1" x14ac:dyDescent="0.3">
      <c r="A78" s="421" t="s">
        <v>458</v>
      </c>
      <c r="B78" s="445" t="s">
        <v>381</v>
      </c>
      <c r="C78" s="445" t="s">
        <v>382</v>
      </c>
      <c r="D78" s="445" t="s">
        <v>383</v>
      </c>
      <c r="E78" s="445" t="s">
        <v>384</v>
      </c>
      <c r="F78" s="422">
        <v>4</v>
      </c>
      <c r="G78" s="422">
        <v>280</v>
      </c>
      <c r="H78" s="422">
        <v>1.8918918918918919</v>
      </c>
      <c r="I78" s="422">
        <v>70</v>
      </c>
      <c r="J78" s="422">
        <v>2</v>
      </c>
      <c r="K78" s="422">
        <v>148</v>
      </c>
      <c r="L78" s="422">
        <v>1</v>
      </c>
      <c r="M78" s="422">
        <v>74</v>
      </c>
      <c r="N78" s="422"/>
      <c r="O78" s="422"/>
      <c r="P78" s="446"/>
      <c r="Q78" s="447"/>
    </row>
    <row r="79" spans="1:17" ht="14.4" customHeight="1" x14ac:dyDescent="0.3">
      <c r="A79" s="421" t="s">
        <v>458</v>
      </c>
      <c r="B79" s="445" t="s">
        <v>381</v>
      </c>
      <c r="C79" s="445" t="s">
        <v>382</v>
      </c>
      <c r="D79" s="445" t="s">
        <v>385</v>
      </c>
      <c r="E79" s="445" t="s">
        <v>386</v>
      </c>
      <c r="F79" s="422">
        <v>388</v>
      </c>
      <c r="G79" s="422">
        <v>125324</v>
      </c>
      <c r="H79" s="422">
        <v>0.59184328837508027</v>
      </c>
      <c r="I79" s="422">
        <v>323</v>
      </c>
      <c r="J79" s="422">
        <v>612</v>
      </c>
      <c r="K79" s="422">
        <v>211752</v>
      </c>
      <c r="L79" s="422">
        <v>1</v>
      </c>
      <c r="M79" s="422">
        <v>346</v>
      </c>
      <c r="N79" s="422">
        <v>450</v>
      </c>
      <c r="O79" s="422">
        <v>156150</v>
      </c>
      <c r="P79" s="446">
        <v>0.73741924515470925</v>
      </c>
      <c r="Q79" s="447">
        <v>347</v>
      </c>
    </row>
    <row r="80" spans="1:17" ht="14.4" customHeight="1" x14ac:dyDescent="0.3">
      <c r="A80" s="421" t="s">
        <v>458</v>
      </c>
      <c r="B80" s="445" t="s">
        <v>381</v>
      </c>
      <c r="C80" s="445" t="s">
        <v>382</v>
      </c>
      <c r="D80" s="445" t="s">
        <v>389</v>
      </c>
      <c r="E80" s="445" t="s">
        <v>390</v>
      </c>
      <c r="F80" s="422">
        <v>8</v>
      </c>
      <c r="G80" s="422">
        <v>2584</v>
      </c>
      <c r="H80" s="422">
        <v>1.8670520231213872</v>
      </c>
      <c r="I80" s="422">
        <v>323</v>
      </c>
      <c r="J80" s="422">
        <v>4</v>
      </c>
      <c r="K80" s="422">
        <v>1384</v>
      </c>
      <c r="L80" s="422">
        <v>1</v>
      </c>
      <c r="M80" s="422">
        <v>346</v>
      </c>
      <c r="N80" s="422"/>
      <c r="O80" s="422"/>
      <c r="P80" s="446"/>
      <c r="Q80" s="447"/>
    </row>
    <row r="81" spans="1:17" ht="14.4" customHeight="1" x14ac:dyDescent="0.3">
      <c r="A81" s="421" t="s">
        <v>458</v>
      </c>
      <c r="B81" s="445" t="s">
        <v>381</v>
      </c>
      <c r="C81" s="445" t="s">
        <v>382</v>
      </c>
      <c r="D81" s="445" t="s">
        <v>391</v>
      </c>
      <c r="E81" s="445" t="s">
        <v>392</v>
      </c>
      <c r="F81" s="422">
        <v>4</v>
      </c>
      <c r="G81" s="422">
        <v>1292</v>
      </c>
      <c r="H81" s="422">
        <v>0.93352601156069359</v>
      </c>
      <c r="I81" s="422">
        <v>323</v>
      </c>
      <c r="J81" s="422">
        <v>4</v>
      </c>
      <c r="K81" s="422">
        <v>1384</v>
      </c>
      <c r="L81" s="422">
        <v>1</v>
      </c>
      <c r="M81" s="422">
        <v>346</v>
      </c>
      <c r="N81" s="422"/>
      <c r="O81" s="422"/>
      <c r="P81" s="446"/>
      <c r="Q81" s="447"/>
    </row>
    <row r="82" spans="1:17" ht="14.4" customHeight="1" x14ac:dyDescent="0.3">
      <c r="A82" s="421" t="s">
        <v>458</v>
      </c>
      <c r="B82" s="445" t="s">
        <v>381</v>
      </c>
      <c r="C82" s="445" t="s">
        <v>382</v>
      </c>
      <c r="D82" s="445" t="s">
        <v>395</v>
      </c>
      <c r="E82" s="445" t="s">
        <v>396</v>
      </c>
      <c r="F82" s="422">
        <v>6</v>
      </c>
      <c r="G82" s="422">
        <v>3276</v>
      </c>
      <c r="H82" s="422"/>
      <c r="I82" s="422">
        <v>546</v>
      </c>
      <c r="J82" s="422"/>
      <c r="K82" s="422"/>
      <c r="L82" s="422"/>
      <c r="M82" s="422"/>
      <c r="N82" s="422">
        <v>12</v>
      </c>
      <c r="O82" s="422">
        <v>6960</v>
      </c>
      <c r="P82" s="446"/>
      <c r="Q82" s="447">
        <v>580</v>
      </c>
    </row>
    <row r="83" spans="1:17" ht="14.4" customHeight="1" x14ac:dyDescent="0.3">
      <c r="A83" s="421" t="s">
        <v>459</v>
      </c>
      <c r="B83" s="445" t="s">
        <v>381</v>
      </c>
      <c r="C83" s="445" t="s">
        <v>382</v>
      </c>
      <c r="D83" s="445" t="s">
        <v>385</v>
      </c>
      <c r="E83" s="445" t="s">
        <v>386</v>
      </c>
      <c r="F83" s="422">
        <v>1618</v>
      </c>
      <c r="G83" s="422">
        <v>522614</v>
      </c>
      <c r="H83" s="422">
        <v>0.77978579592421393</v>
      </c>
      <c r="I83" s="422">
        <v>323</v>
      </c>
      <c r="J83" s="422">
        <v>1937</v>
      </c>
      <c r="K83" s="422">
        <v>670202</v>
      </c>
      <c r="L83" s="422">
        <v>1</v>
      </c>
      <c r="M83" s="422">
        <v>346</v>
      </c>
      <c r="N83" s="422">
        <v>1922</v>
      </c>
      <c r="O83" s="422">
        <v>666934</v>
      </c>
      <c r="P83" s="446">
        <v>0.9951238581800711</v>
      </c>
      <c r="Q83" s="447">
        <v>347</v>
      </c>
    </row>
    <row r="84" spans="1:17" ht="14.4" customHeight="1" x14ac:dyDescent="0.3">
      <c r="A84" s="421" t="s">
        <v>459</v>
      </c>
      <c r="B84" s="445" t="s">
        <v>381</v>
      </c>
      <c r="C84" s="445" t="s">
        <v>382</v>
      </c>
      <c r="D84" s="445" t="s">
        <v>391</v>
      </c>
      <c r="E84" s="445" t="s">
        <v>392</v>
      </c>
      <c r="F84" s="422"/>
      <c r="G84" s="422"/>
      <c r="H84" s="422"/>
      <c r="I84" s="422"/>
      <c r="J84" s="422">
        <v>11</v>
      </c>
      <c r="K84" s="422">
        <v>3806</v>
      </c>
      <c r="L84" s="422">
        <v>1</v>
      </c>
      <c r="M84" s="422">
        <v>346</v>
      </c>
      <c r="N84" s="422"/>
      <c r="O84" s="422"/>
      <c r="P84" s="446"/>
      <c r="Q84" s="447"/>
    </row>
    <row r="85" spans="1:17" ht="14.4" customHeight="1" x14ac:dyDescent="0.3">
      <c r="A85" s="421" t="s">
        <v>459</v>
      </c>
      <c r="B85" s="445" t="s">
        <v>381</v>
      </c>
      <c r="C85" s="445" t="s">
        <v>382</v>
      </c>
      <c r="D85" s="445" t="s">
        <v>395</v>
      </c>
      <c r="E85" s="445" t="s">
        <v>396</v>
      </c>
      <c r="F85" s="422">
        <v>9</v>
      </c>
      <c r="G85" s="422">
        <v>4914</v>
      </c>
      <c r="H85" s="422">
        <v>0.70603448275862069</v>
      </c>
      <c r="I85" s="422">
        <v>546</v>
      </c>
      <c r="J85" s="422">
        <v>12</v>
      </c>
      <c r="K85" s="422">
        <v>6960</v>
      </c>
      <c r="L85" s="422">
        <v>1</v>
      </c>
      <c r="M85" s="422">
        <v>580</v>
      </c>
      <c r="N85" s="422">
        <v>4</v>
      </c>
      <c r="O85" s="422">
        <v>2320</v>
      </c>
      <c r="P85" s="446">
        <v>0.33333333333333331</v>
      </c>
      <c r="Q85" s="447">
        <v>580</v>
      </c>
    </row>
    <row r="86" spans="1:17" ht="14.4" customHeight="1" x14ac:dyDescent="0.3">
      <c r="A86" s="421" t="s">
        <v>460</v>
      </c>
      <c r="B86" s="445" t="s">
        <v>381</v>
      </c>
      <c r="C86" s="445" t="s">
        <v>382</v>
      </c>
      <c r="D86" s="445" t="s">
        <v>383</v>
      </c>
      <c r="E86" s="445" t="s">
        <v>384</v>
      </c>
      <c r="F86" s="422"/>
      <c r="G86" s="422"/>
      <c r="H86" s="422"/>
      <c r="I86" s="422"/>
      <c r="J86" s="422"/>
      <c r="K86" s="422"/>
      <c r="L86" s="422"/>
      <c r="M86" s="422"/>
      <c r="N86" s="422">
        <v>1</v>
      </c>
      <c r="O86" s="422">
        <v>74</v>
      </c>
      <c r="P86" s="446"/>
      <c r="Q86" s="447">
        <v>74</v>
      </c>
    </row>
    <row r="87" spans="1:17" ht="14.4" customHeight="1" x14ac:dyDescent="0.3">
      <c r="A87" s="421" t="s">
        <v>460</v>
      </c>
      <c r="B87" s="445" t="s">
        <v>381</v>
      </c>
      <c r="C87" s="445" t="s">
        <v>382</v>
      </c>
      <c r="D87" s="445" t="s">
        <v>385</v>
      </c>
      <c r="E87" s="445" t="s">
        <v>386</v>
      </c>
      <c r="F87" s="422"/>
      <c r="G87" s="422"/>
      <c r="H87" s="422"/>
      <c r="I87" s="422"/>
      <c r="J87" s="422">
        <v>34</v>
      </c>
      <c r="K87" s="422">
        <v>11764</v>
      </c>
      <c r="L87" s="422">
        <v>1</v>
      </c>
      <c r="M87" s="422">
        <v>346</v>
      </c>
      <c r="N87" s="422">
        <v>60</v>
      </c>
      <c r="O87" s="422">
        <v>20820</v>
      </c>
      <c r="P87" s="446">
        <v>1.7698061883713023</v>
      </c>
      <c r="Q87" s="447">
        <v>347</v>
      </c>
    </row>
    <row r="88" spans="1:17" ht="14.4" customHeight="1" x14ac:dyDescent="0.3">
      <c r="A88" s="421" t="s">
        <v>461</v>
      </c>
      <c r="B88" s="445" t="s">
        <v>381</v>
      </c>
      <c r="C88" s="445" t="s">
        <v>382</v>
      </c>
      <c r="D88" s="445" t="s">
        <v>383</v>
      </c>
      <c r="E88" s="445" t="s">
        <v>384</v>
      </c>
      <c r="F88" s="422"/>
      <c r="G88" s="422"/>
      <c r="H88" s="422"/>
      <c r="I88" s="422"/>
      <c r="J88" s="422">
        <v>4</v>
      </c>
      <c r="K88" s="422">
        <v>296</v>
      </c>
      <c r="L88" s="422">
        <v>1</v>
      </c>
      <c r="M88" s="422">
        <v>74</v>
      </c>
      <c r="N88" s="422"/>
      <c r="O88" s="422"/>
      <c r="P88" s="446"/>
      <c r="Q88" s="447"/>
    </row>
    <row r="89" spans="1:17" ht="14.4" customHeight="1" x14ac:dyDescent="0.3">
      <c r="A89" s="421" t="s">
        <v>461</v>
      </c>
      <c r="B89" s="445" t="s">
        <v>381</v>
      </c>
      <c r="C89" s="445" t="s">
        <v>382</v>
      </c>
      <c r="D89" s="445" t="s">
        <v>385</v>
      </c>
      <c r="E89" s="445" t="s">
        <v>386</v>
      </c>
      <c r="F89" s="422">
        <v>76</v>
      </c>
      <c r="G89" s="422">
        <v>24548</v>
      </c>
      <c r="H89" s="422">
        <v>0.51411577448270085</v>
      </c>
      <c r="I89" s="422">
        <v>323</v>
      </c>
      <c r="J89" s="422">
        <v>138</v>
      </c>
      <c r="K89" s="422">
        <v>47748</v>
      </c>
      <c r="L89" s="422">
        <v>1</v>
      </c>
      <c r="M89" s="422">
        <v>346</v>
      </c>
      <c r="N89" s="422">
        <v>37</v>
      </c>
      <c r="O89" s="422">
        <v>12839</v>
      </c>
      <c r="P89" s="446">
        <v>0.26889084359554327</v>
      </c>
      <c r="Q89" s="447">
        <v>347</v>
      </c>
    </row>
    <row r="90" spans="1:17" ht="14.4" customHeight="1" x14ac:dyDescent="0.3">
      <c r="A90" s="421" t="s">
        <v>461</v>
      </c>
      <c r="B90" s="445" t="s">
        <v>381</v>
      </c>
      <c r="C90" s="445" t="s">
        <v>382</v>
      </c>
      <c r="D90" s="445" t="s">
        <v>389</v>
      </c>
      <c r="E90" s="445" t="s">
        <v>390</v>
      </c>
      <c r="F90" s="422"/>
      <c r="G90" s="422"/>
      <c r="H90" s="422"/>
      <c r="I90" s="422"/>
      <c r="J90" s="422"/>
      <c r="K90" s="422"/>
      <c r="L90" s="422"/>
      <c r="M90" s="422"/>
      <c r="N90" s="422">
        <v>4</v>
      </c>
      <c r="O90" s="422">
        <v>1388</v>
      </c>
      <c r="P90" s="446"/>
      <c r="Q90" s="447">
        <v>347</v>
      </c>
    </row>
    <row r="91" spans="1:17" ht="14.4" customHeight="1" thickBot="1" x14ac:dyDescent="0.35">
      <c r="A91" s="425" t="s">
        <v>461</v>
      </c>
      <c r="B91" s="448" t="s">
        <v>381</v>
      </c>
      <c r="C91" s="448" t="s">
        <v>382</v>
      </c>
      <c r="D91" s="448" t="s">
        <v>391</v>
      </c>
      <c r="E91" s="448" t="s">
        <v>392</v>
      </c>
      <c r="F91" s="426">
        <v>20</v>
      </c>
      <c r="G91" s="426">
        <v>6460</v>
      </c>
      <c r="H91" s="426">
        <v>0.62235067437379576</v>
      </c>
      <c r="I91" s="426">
        <v>323</v>
      </c>
      <c r="J91" s="426">
        <v>30</v>
      </c>
      <c r="K91" s="426">
        <v>10380</v>
      </c>
      <c r="L91" s="426">
        <v>1</v>
      </c>
      <c r="M91" s="426">
        <v>346</v>
      </c>
      <c r="N91" s="426">
        <v>4</v>
      </c>
      <c r="O91" s="426">
        <v>1388</v>
      </c>
      <c r="P91" s="449">
        <v>0.13371868978805396</v>
      </c>
      <c r="Q91" s="450">
        <v>347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9" bestFit="1" customWidth="1"/>
    <col min="2" max="2" width="11.6640625" style="119" hidden="1" customWidth="1"/>
    <col min="3" max="4" width="11" style="121" customWidth="1"/>
    <col min="5" max="5" width="11" style="122" customWidth="1"/>
    <col min="6" max="16384" width="8.88671875" style="119"/>
  </cols>
  <sheetData>
    <row r="1" spans="1:5" ht="18.600000000000001" thickBot="1" x14ac:dyDescent="0.4">
      <c r="A1" s="275" t="s">
        <v>91</v>
      </c>
      <c r="B1" s="275"/>
      <c r="C1" s="276"/>
      <c r="D1" s="276"/>
      <c r="E1" s="276"/>
    </row>
    <row r="2" spans="1:5" ht="14.4" customHeight="1" thickBot="1" x14ac:dyDescent="0.35">
      <c r="A2" s="192" t="s">
        <v>207</v>
      </c>
      <c r="B2" s="120"/>
    </row>
    <row r="3" spans="1:5" ht="14.4" customHeight="1" thickBot="1" x14ac:dyDescent="0.35">
      <c r="A3" s="123"/>
      <c r="C3" s="124" t="s">
        <v>82</v>
      </c>
      <c r="D3" s="125" t="s">
        <v>48</v>
      </c>
      <c r="E3" s="126" t="s">
        <v>50</v>
      </c>
    </row>
    <row r="4" spans="1:5" ht="14.4" customHeight="1" thickBot="1" x14ac:dyDescent="0.35">
      <c r="A4" s="127" t="str">
        <f>HYPERLINK("#HI!A1","NÁKLADY CELKEM (v tisících Kč)")</f>
        <v>NÁKLADY CELKEM (v tisících Kč)</v>
      </c>
      <c r="B4" s="128"/>
      <c r="C4" s="129">
        <f ca="1">IF(ISERROR(VLOOKUP("Náklady celkem",INDIRECT("HI!$A:$G"),6,0)),0,VLOOKUP("Náklady celkem",INDIRECT("HI!$A:$G"),6,0))</f>
        <v>7925.7645200805664</v>
      </c>
      <c r="D4" s="129">
        <f ca="1">IF(ISERROR(VLOOKUP("Náklady celkem",INDIRECT("HI!$A:$G"),5,0)),0,VLOOKUP("Náklady celkem",INDIRECT("HI!$A:$G"),5,0))</f>
        <v>8642.1627599999993</v>
      </c>
      <c r="E4" s="130">
        <f ca="1">IF(C4=0,0,D4/C4)</f>
        <v>1.090388534519841</v>
      </c>
    </row>
    <row r="5" spans="1:5" ht="14.4" customHeight="1" x14ac:dyDescent="0.3">
      <c r="A5" s="131" t="s">
        <v>104</v>
      </c>
      <c r="B5" s="132"/>
      <c r="C5" s="133"/>
      <c r="D5" s="133"/>
      <c r="E5" s="134"/>
    </row>
    <row r="6" spans="1:5" ht="14.4" customHeight="1" x14ac:dyDescent="0.3">
      <c r="A6" s="135" t="s">
        <v>109</v>
      </c>
      <c r="B6" s="136"/>
      <c r="C6" s="137"/>
      <c r="D6" s="137"/>
      <c r="E6" s="134"/>
    </row>
    <row r="7" spans="1:5" ht="14.4" customHeight="1" x14ac:dyDescent="0.3">
      <c r="A7" s="20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6" t="s">
        <v>86</v>
      </c>
      <c r="C7" s="137">
        <f>IF(ISERROR(HI!F5),"",HI!F5)</f>
        <v>0</v>
      </c>
      <c r="D7" s="137">
        <f>IF(ISERROR(HI!E5),"",HI!E5)</f>
        <v>0</v>
      </c>
      <c r="E7" s="134">
        <f t="shared" ref="E7:E11" si="0">IF(C7=0,0,D7/C7)</f>
        <v>0</v>
      </c>
    </row>
    <row r="8" spans="1:5" ht="14.4" customHeight="1" x14ac:dyDescent="0.3">
      <c r="A8" s="139" t="s">
        <v>105</v>
      </c>
      <c r="B8" s="136"/>
      <c r="C8" s="137"/>
      <c r="D8" s="137"/>
      <c r="E8" s="134"/>
    </row>
    <row r="9" spans="1:5" ht="14.4" customHeight="1" x14ac:dyDescent="0.3">
      <c r="A9" s="139" t="s">
        <v>106</v>
      </c>
      <c r="B9" s="136"/>
      <c r="C9" s="137"/>
      <c r="D9" s="137"/>
      <c r="E9" s="134"/>
    </row>
    <row r="10" spans="1:5" ht="14.4" customHeight="1" x14ac:dyDescent="0.3">
      <c r="A10" s="140" t="s">
        <v>110</v>
      </c>
      <c r="B10" s="136"/>
      <c r="C10" s="133"/>
      <c r="D10" s="133"/>
      <c r="E10" s="134"/>
    </row>
    <row r="11" spans="1:5" ht="14.4" customHeight="1" x14ac:dyDescent="0.3">
      <c r="A11" s="14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36" t="s">
        <v>86</v>
      </c>
      <c r="C11" s="137">
        <f>IF(ISERROR(HI!F6),"",HI!F6)</f>
        <v>0</v>
      </c>
      <c r="D11" s="137">
        <f>IF(ISERROR(HI!E6),"",HI!E6)</f>
        <v>0</v>
      </c>
      <c r="E11" s="134">
        <f t="shared" si="0"/>
        <v>0</v>
      </c>
    </row>
    <row r="12" spans="1:5" ht="14.4" customHeight="1" thickBot="1" x14ac:dyDescent="0.35">
      <c r="A12" s="142" t="str">
        <f>HYPERLINK("#HI!A1","Osobní náklady")</f>
        <v>Osobní náklady</v>
      </c>
      <c r="B12" s="136"/>
      <c r="C12" s="133">
        <f ca="1">IF(ISERROR(VLOOKUP("Osobní náklady (Kč) *",INDIRECT("HI!$A:$G"),6,0)),0,VLOOKUP("Osobní náklady (Kč) *",INDIRECT("HI!$A:$G"),6,0))</f>
        <v>7683</v>
      </c>
      <c r="D12" s="133">
        <f ca="1">IF(ISERROR(VLOOKUP("Osobní náklady (Kč) *",INDIRECT("HI!$A:$G"),5,0)),0,VLOOKUP("Osobní náklady (Kč) *",INDIRECT("HI!$A:$G"),5,0))</f>
        <v>8217.2832199999993</v>
      </c>
      <c r="E12" s="134">
        <f ca="1">IF(C12=0,0,D12/C12)</f>
        <v>1.06954096316543</v>
      </c>
    </row>
    <row r="13" spans="1:5" ht="14.4" customHeight="1" thickBot="1" x14ac:dyDescent="0.35">
      <c r="A13" s="146"/>
      <c r="B13" s="147"/>
      <c r="C13" s="148"/>
      <c r="D13" s="148"/>
      <c r="E13" s="149"/>
    </row>
    <row r="14" spans="1:5" ht="14.4" customHeight="1" thickBot="1" x14ac:dyDescent="0.35">
      <c r="A14" s="150" t="str">
        <f>HYPERLINK("#HI!A1","VÝNOSY CELKEM (v tisících)")</f>
        <v>VÝNOSY CELKEM (v tisících)</v>
      </c>
      <c r="B14" s="151"/>
      <c r="C14" s="152">
        <f ca="1">IF(ISERROR(VLOOKUP("Výnosy celkem",INDIRECT("HI!$A:$G"),6,0)),0,VLOOKUP("Výnosy celkem",INDIRECT("HI!$A:$G"),6,0))</f>
        <v>4703.9996500000007</v>
      </c>
      <c r="D14" s="152">
        <f ca="1">IF(ISERROR(VLOOKUP("Výnosy celkem",INDIRECT("HI!$A:$G"),5,0)),0,VLOOKUP("Výnosy celkem",INDIRECT("HI!$A:$G"),5,0))</f>
        <v>4824.919359999999</v>
      </c>
      <c r="E14" s="153">
        <f t="shared" ref="E14:E19" ca="1" si="1">IF(C14=0,0,D14/C14)</f>
        <v>1.0257057225758932</v>
      </c>
    </row>
    <row r="15" spans="1:5" ht="14.4" customHeight="1" x14ac:dyDescent="0.3">
      <c r="A15" s="154" t="str">
        <f>HYPERLINK("#HI!A1","Ambulance (body za výkony + Kč za ZUM a ZULP)")</f>
        <v>Ambulance (body za výkony + Kč za ZUM a ZULP)</v>
      </c>
      <c r="B15" s="132"/>
      <c r="C15" s="133">
        <f ca="1">IF(ISERROR(VLOOKUP("Ambulance *",INDIRECT("HI!$A:$G"),6,0)),0,VLOOKUP("Ambulance *",INDIRECT("HI!$A:$G"),6,0))</f>
        <v>4703.9996500000007</v>
      </c>
      <c r="D15" s="133">
        <f ca="1">IF(ISERROR(VLOOKUP("Ambulance *",INDIRECT("HI!$A:$G"),5,0)),0,VLOOKUP("Ambulance *",INDIRECT("HI!$A:$G"),5,0))</f>
        <v>4824.919359999999</v>
      </c>
      <c r="E15" s="134">
        <f t="shared" ca="1" si="1"/>
        <v>1.0257057225758932</v>
      </c>
    </row>
    <row r="16" spans="1:5" ht="14.4" customHeight="1" x14ac:dyDescent="0.3">
      <c r="A16" s="212" t="str">
        <f>HYPERLINK("#'ZV Vykáz.-A'!A1","Zdravotní výkony vykázané u ambulantních pacientů (min. 100 % 2016)")</f>
        <v>Zdravotní výkony vykázané u ambulantních pacientů (min. 100 % 2016)</v>
      </c>
      <c r="B16" s="213" t="s">
        <v>93</v>
      </c>
      <c r="C16" s="138">
        <v>1</v>
      </c>
      <c r="D16" s="138">
        <f>IF(ISERROR(VLOOKUP("Celkem:",'ZV Vykáz.-A'!$A:$AB,10,0)),"",VLOOKUP("Celkem:",'ZV Vykáz.-A'!$A:$AB,10,0))</f>
        <v>1.0257057225758932</v>
      </c>
      <c r="E16" s="134">
        <f t="shared" si="1"/>
        <v>1.0257057225758932</v>
      </c>
    </row>
    <row r="17" spans="1:5" ht="14.4" customHeight="1" x14ac:dyDescent="0.3">
      <c r="A17" s="211" t="str">
        <f>HYPERLINK("#'ZV Vykáz.-A'!A1","Specializovaná ambulantní péče")</f>
        <v>Specializovaná ambulantní péče</v>
      </c>
      <c r="B17" s="213" t="s">
        <v>93</v>
      </c>
      <c r="C17" s="138">
        <v>1</v>
      </c>
      <c r="D17" s="205">
        <f>IF(ISERROR(VLOOKUP("Specializovaná ambulantní péče",'ZV Vykáz.-A'!$A:$AB,10,0)),"",VLOOKUP("Specializovaná ambulantní péče",'ZV Vykáz.-A'!$A:$AB,10,0))</f>
        <v>1.0257057225758932</v>
      </c>
      <c r="E17" s="134">
        <f t="shared" si="1"/>
        <v>1.0257057225758932</v>
      </c>
    </row>
    <row r="18" spans="1:5" ht="14.4" customHeight="1" x14ac:dyDescent="0.3">
      <c r="A18" s="211" t="str">
        <f>HYPERLINK("#'ZV Vykáz.-A'!A1","Ambulantní péče ve vyjmenovaných odbornostech (§9)")</f>
        <v>Ambulantní péče ve vyjmenovaných odbornostech (§9)</v>
      </c>
      <c r="B18" s="213" t="s">
        <v>93</v>
      </c>
      <c r="C18" s="138">
        <v>1</v>
      </c>
      <c r="D18" s="205" t="str">
        <f>IF(ISERROR(VLOOKUP("Ambulantní péče ve vyjmenovaných odbornostech (§9) *",'ZV Vykáz.-A'!$A:$AB,10,0)),"",VLOOKUP("Ambulantní péče ve vyjmenovaných odbornostech (§9) *",'ZV Vykáz.-A'!$A:$AB,10,0))</f>
        <v/>
      </c>
      <c r="E18" s="134">
        <f>IF(OR(C18=0,D18=""),0,IF(C18="","",D18/C18))</f>
        <v>0</v>
      </c>
    </row>
    <row r="19" spans="1:5" ht="14.4" customHeight="1" x14ac:dyDescent="0.3">
      <c r="A19" s="155" t="str">
        <f>HYPERLINK("#'ZV Vykáz.-H'!A1","Zdravotní výkony vykázané u hospitalizovaných pacientů (max. 85 %)")</f>
        <v>Zdravotní výkony vykázané u hospitalizovaných pacientů (max. 85 %)</v>
      </c>
      <c r="B19" s="213" t="s">
        <v>95</v>
      </c>
      <c r="C19" s="138">
        <v>0.85</v>
      </c>
      <c r="D19" s="138">
        <f>IF(ISERROR(VLOOKUP("Celkem:",'ZV Vykáz.-H'!$A:$S,7,0)),"",VLOOKUP("Celkem:",'ZV Vykáz.-H'!$A:$S,7,0))</f>
        <v>0.93964670290426433</v>
      </c>
      <c r="E19" s="134">
        <f t="shared" si="1"/>
        <v>1.1054667092991346</v>
      </c>
    </row>
    <row r="20" spans="1:5" ht="14.4" customHeight="1" x14ac:dyDescent="0.3">
      <c r="A20" s="156" t="str">
        <f>HYPERLINK("#HI!A1","Hospitalizace (casemix * 30000)")</f>
        <v>Hospitalizace (casemix * 30000)</v>
      </c>
      <c r="B20" s="136"/>
      <c r="C20" s="133">
        <f ca="1">IF(ISERROR(VLOOKUP("Hospitalizace *",INDIRECT("HI!$A:$G"),6,0)),0,VLOOKUP("Hospitalizace *",INDIRECT("HI!$A:$G"),6,0))</f>
        <v>0</v>
      </c>
      <c r="D20" s="133">
        <f ca="1">IF(ISERROR(VLOOKUP("Hospitalizace *",INDIRECT("HI!$A:$G"),5,0)),0,VLOOKUP("Hospitalizace *",INDIRECT("HI!$A:$G"),5,0))</f>
        <v>0</v>
      </c>
      <c r="E20" s="134">
        <f ca="1">IF(C20=0,0,D20/C20)</f>
        <v>0</v>
      </c>
    </row>
    <row r="21" spans="1:5" ht="14.4" customHeight="1" thickBot="1" x14ac:dyDescent="0.35">
      <c r="A21" s="157" t="s">
        <v>107</v>
      </c>
      <c r="B21" s="143"/>
      <c r="C21" s="144"/>
      <c r="D21" s="144"/>
      <c r="E21" s="145"/>
    </row>
    <row r="22" spans="1:5" ht="14.4" customHeight="1" thickBot="1" x14ac:dyDescent="0.35">
      <c r="A22" s="158"/>
      <c r="B22" s="159"/>
      <c r="C22" s="160"/>
      <c r="D22" s="160"/>
      <c r="E22" s="161"/>
    </row>
    <row r="23" spans="1:5" ht="14.4" customHeight="1" thickBot="1" x14ac:dyDescent="0.35">
      <c r="A23" s="162" t="s">
        <v>108</v>
      </c>
      <c r="B23" s="163"/>
      <c r="C23" s="164"/>
      <c r="D23" s="164"/>
      <c r="E23" s="165"/>
    </row>
  </sheetData>
  <mergeCells count="1">
    <mergeCell ref="A1:E1"/>
  </mergeCells>
  <conditionalFormatting sqref="E5">
    <cfRule type="cellIs" dxfId="34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33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32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31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0">
    <cfRule type="cellIs" dxfId="30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2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4 E16:E17">
    <cfRule type="cellIs" dxfId="28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1 E18:E19">
    <cfRule type="cellIs" dxfId="27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6:E17 E19" evalError="1"/>
    <ignoredError sqref="E1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01" bestFit="1" customWidth="1"/>
    <col min="2" max="2" width="9.5546875" style="101" hidden="1" customWidth="1" outlineLevel="1"/>
    <col min="3" max="3" width="9.5546875" style="101" customWidth="1" collapsed="1"/>
    <col min="4" max="4" width="2.21875" style="101" customWidth="1"/>
    <col min="5" max="8" width="9.5546875" style="101" customWidth="1"/>
    <col min="9" max="10" width="9.77734375" style="101" hidden="1" customWidth="1" outlineLevel="1"/>
    <col min="11" max="11" width="8.88671875" style="101" collapsed="1"/>
    <col min="12" max="16384" width="8.88671875" style="101"/>
  </cols>
  <sheetData>
    <row r="1" spans="1:10" ht="18.600000000000001" customHeight="1" thickBot="1" x14ac:dyDescent="0.4">
      <c r="A1" s="286" t="s">
        <v>100</v>
      </c>
      <c r="B1" s="286"/>
      <c r="C1" s="286"/>
      <c r="D1" s="286"/>
      <c r="E1" s="286"/>
      <c r="F1" s="286"/>
      <c r="G1" s="286"/>
      <c r="H1" s="286"/>
      <c r="I1" s="286"/>
      <c r="J1" s="286"/>
    </row>
    <row r="2" spans="1:10" ht="14.4" customHeight="1" thickBot="1" x14ac:dyDescent="0.35">
      <c r="A2" s="192" t="s">
        <v>207</v>
      </c>
      <c r="B2" s="83"/>
      <c r="C2" s="83"/>
      <c r="D2" s="83"/>
      <c r="E2" s="83"/>
      <c r="F2" s="83"/>
    </row>
    <row r="3" spans="1:10" ht="14.4" customHeight="1" x14ac:dyDescent="0.3">
      <c r="A3" s="277"/>
      <c r="B3" s="79">
        <v>2015</v>
      </c>
      <c r="C3" s="40">
        <v>2016</v>
      </c>
      <c r="D3" s="7"/>
      <c r="E3" s="281">
        <v>2017</v>
      </c>
      <c r="F3" s="282"/>
      <c r="G3" s="282"/>
      <c r="H3" s="283"/>
      <c r="I3" s="284">
        <v>2017</v>
      </c>
      <c r="J3" s="285"/>
    </row>
    <row r="4" spans="1:10" ht="14.4" customHeight="1" thickBot="1" x14ac:dyDescent="0.35">
      <c r="A4" s="278"/>
      <c r="B4" s="279" t="s">
        <v>48</v>
      </c>
      <c r="C4" s="280"/>
      <c r="D4" s="7"/>
      <c r="E4" s="100" t="s">
        <v>48</v>
      </c>
      <c r="F4" s="81" t="s">
        <v>49</v>
      </c>
      <c r="G4" s="81" t="s">
        <v>43</v>
      </c>
      <c r="H4" s="82" t="s">
        <v>50</v>
      </c>
      <c r="I4" s="216" t="s">
        <v>173</v>
      </c>
      <c r="J4" s="217" t="s">
        <v>174</v>
      </c>
    </row>
    <row r="5" spans="1:10" ht="14.4" customHeight="1" x14ac:dyDescent="0.3">
      <c r="A5" s="84" t="str">
        <f>HYPERLINK("#'Léky Žádanky'!A1","Léky (Kč)")</f>
        <v>Léky (Kč)</v>
      </c>
      <c r="B5" s="27">
        <v>0.75164999999999993</v>
      </c>
      <c r="C5" s="29">
        <v>0</v>
      </c>
      <c r="D5" s="8"/>
      <c r="E5" s="89">
        <v>0</v>
      </c>
      <c r="F5" s="28">
        <v>0</v>
      </c>
      <c r="G5" s="88">
        <f>E5-F5</f>
        <v>0</v>
      </c>
      <c r="H5" s="94" t="str">
        <f>IF(F5&lt;0.00000001,"",E5/F5)</f>
        <v/>
      </c>
    </row>
    <row r="6" spans="1:10" ht="14.4" customHeight="1" x14ac:dyDescent="0.3">
      <c r="A6" s="84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90">
        <v>0</v>
      </c>
      <c r="F6" s="30">
        <v>0</v>
      </c>
      <c r="G6" s="91">
        <f>E6-F6</f>
        <v>0</v>
      </c>
      <c r="H6" s="95" t="str">
        <f>IF(F6&lt;0.00000001,"",E6/F6)</f>
        <v/>
      </c>
    </row>
    <row r="7" spans="1:10" ht="14.4" customHeight="1" x14ac:dyDescent="0.3">
      <c r="A7" s="84" t="str">
        <f>HYPERLINK("#'Osobní náklady'!A1","Osobní náklady (Kč) *")</f>
        <v>Osobní náklady (Kč) *</v>
      </c>
      <c r="B7" s="10">
        <v>7160.9778299999989</v>
      </c>
      <c r="C7" s="31">
        <v>7683.30123</v>
      </c>
      <c r="D7" s="8"/>
      <c r="E7" s="90">
        <v>8217.2832199999993</v>
      </c>
      <c r="F7" s="30">
        <v>7683</v>
      </c>
      <c r="G7" s="91">
        <f>E7-F7</f>
        <v>534.28321999999935</v>
      </c>
      <c r="H7" s="95">
        <f>IF(F7&lt;0.00000001,"",E7/F7)</f>
        <v>1.06954096316543</v>
      </c>
    </row>
    <row r="8" spans="1:10" ht="14.4" customHeight="1" thickBot="1" x14ac:dyDescent="0.35">
      <c r="A8" s="1" t="s">
        <v>51</v>
      </c>
      <c r="B8" s="11">
        <v>415.50777000000124</v>
      </c>
      <c r="C8" s="33">
        <v>327.85085999999956</v>
      </c>
      <c r="D8" s="8"/>
      <c r="E8" s="92">
        <v>424.87953999999991</v>
      </c>
      <c r="F8" s="32">
        <v>242.7645200805664</v>
      </c>
      <c r="G8" s="93">
        <f>E8-F8</f>
        <v>182.11501991943351</v>
      </c>
      <c r="H8" s="96">
        <f>IF(F8&lt;0.00000001,"",E8/F8)</f>
        <v>1.7501714824678454</v>
      </c>
    </row>
    <row r="9" spans="1:10" ht="14.4" customHeight="1" thickBot="1" x14ac:dyDescent="0.35">
      <c r="A9" s="2" t="s">
        <v>52</v>
      </c>
      <c r="B9" s="3">
        <v>7577.2372500000001</v>
      </c>
      <c r="C9" s="35">
        <v>8011.1520899999996</v>
      </c>
      <c r="D9" s="8"/>
      <c r="E9" s="3">
        <v>8642.1627599999993</v>
      </c>
      <c r="F9" s="34">
        <v>7925.7645200805664</v>
      </c>
      <c r="G9" s="34">
        <f>E9-F9</f>
        <v>716.39823991943285</v>
      </c>
      <c r="H9" s="97">
        <f>IF(F9&lt;0.00000001,"",E9/F9)</f>
        <v>1.090388534519841</v>
      </c>
    </row>
    <row r="10" spans="1:10" ht="14.4" customHeight="1" thickBot="1" x14ac:dyDescent="0.35">
      <c r="A10" s="12"/>
      <c r="B10" s="12"/>
      <c r="C10" s="80"/>
      <c r="D10" s="8"/>
      <c r="E10" s="12"/>
      <c r="F10" s="13"/>
    </row>
    <row r="11" spans="1:10" ht="14.4" customHeight="1" x14ac:dyDescent="0.3">
      <c r="A11" s="104" t="str">
        <f>HYPERLINK("#'ZV Vykáz.-A'!A1","Ambulance *")</f>
        <v>Ambulance *</v>
      </c>
      <c r="B11" s="9">
        <f>IF(ISERROR(VLOOKUP("Celkem:",'ZV Vykáz.-A'!A:H,2,0)),0,VLOOKUP("Celkem:",'ZV Vykáz.-A'!A:H,2,0)/1000)</f>
        <v>4082.9380199999996</v>
      </c>
      <c r="C11" s="29">
        <f>IF(ISERROR(VLOOKUP("Celkem:",'ZV Vykáz.-A'!A:H,5,0)),0,VLOOKUP("Celkem:",'ZV Vykáz.-A'!A:H,5,0)/1000)</f>
        <v>4703.9996500000007</v>
      </c>
      <c r="D11" s="8"/>
      <c r="E11" s="89">
        <f>IF(ISERROR(VLOOKUP("Celkem:",'ZV Vykáz.-A'!A:H,8,0)),0,VLOOKUP("Celkem:",'ZV Vykáz.-A'!A:H,8,0)/1000)</f>
        <v>4824.919359999999</v>
      </c>
      <c r="F11" s="28">
        <f>C11</f>
        <v>4703.9996500000007</v>
      </c>
      <c r="G11" s="88">
        <f>E11-F11</f>
        <v>120.9197099999983</v>
      </c>
      <c r="H11" s="94">
        <f>IF(F11&lt;0.00000001,"",E11/F11)</f>
        <v>1.0257057225758932</v>
      </c>
      <c r="I11" s="88">
        <f>E11-B11</f>
        <v>741.98133999999936</v>
      </c>
      <c r="J11" s="94">
        <f>IF(B11&lt;0.00000001,"",E11/B11)</f>
        <v>1.1817273091987812</v>
      </c>
    </row>
    <row r="12" spans="1:10" ht="14.4" customHeight="1" thickBot="1" x14ac:dyDescent="0.35">
      <c r="A12" s="105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2">
        <f>IF(ISERROR(VLOOKUP("Celkem",#REF!,4,0)),0,VLOOKUP("Celkem",#REF!,4,0)*30)</f>
        <v>0</v>
      </c>
      <c r="F12" s="32">
        <f>C12</f>
        <v>0</v>
      </c>
      <c r="G12" s="93">
        <f>E12-F12</f>
        <v>0</v>
      </c>
      <c r="H12" s="96" t="str">
        <f>IF(F12&lt;0.00000001,"",E12/F12)</f>
        <v/>
      </c>
      <c r="I12" s="93">
        <f>E12-B12</f>
        <v>0</v>
      </c>
      <c r="J12" s="96" t="str">
        <f>IF(B12&lt;0.00000001,"",E12/B12)</f>
        <v/>
      </c>
    </row>
    <row r="13" spans="1:10" ht="14.4" customHeight="1" thickBot="1" x14ac:dyDescent="0.35">
      <c r="A13" s="4" t="s">
        <v>55</v>
      </c>
      <c r="B13" s="5">
        <f>SUM(B11:B12)</f>
        <v>4082.9380199999996</v>
      </c>
      <c r="C13" s="37">
        <f>SUM(C11:C12)</f>
        <v>4703.9996500000007</v>
      </c>
      <c r="D13" s="8"/>
      <c r="E13" s="5">
        <f>SUM(E11:E12)</f>
        <v>4824.919359999999</v>
      </c>
      <c r="F13" s="36">
        <f>SUM(F11:F12)</f>
        <v>4703.9996500000007</v>
      </c>
      <c r="G13" s="36">
        <f>E13-F13</f>
        <v>120.9197099999983</v>
      </c>
      <c r="H13" s="98">
        <f>IF(F13&lt;0.00000001,"",E13/F13)</f>
        <v>1.0257057225758932</v>
      </c>
      <c r="I13" s="36">
        <f>SUM(I11:I12)</f>
        <v>741.98133999999936</v>
      </c>
      <c r="J13" s="98">
        <f>IF(B13&lt;0.00000001,"",E13/B13)</f>
        <v>1.1817273091987812</v>
      </c>
    </row>
    <row r="14" spans="1:10" ht="14.4" customHeight="1" thickBot="1" x14ac:dyDescent="0.35">
      <c r="A14" s="12"/>
      <c r="B14" s="12"/>
      <c r="C14" s="80"/>
      <c r="D14" s="8"/>
      <c r="E14" s="12"/>
      <c r="F14" s="13"/>
    </row>
    <row r="15" spans="1:10" ht="14.4" customHeight="1" thickBot="1" x14ac:dyDescent="0.35">
      <c r="A15" s="106" t="str">
        <f>HYPERLINK("#'HI Graf'!A1","Hospodářský index (Výnosy / Náklady) *")</f>
        <v>Hospodářský index (Výnosy / Náklady) *</v>
      </c>
      <c r="B15" s="6">
        <f>IF(B9=0,"",B13/B9)</f>
        <v>0.5388425735250667</v>
      </c>
      <c r="C15" s="39">
        <f>IF(C9=0,"",C13/C9)</f>
        <v>0.58718141874647656</v>
      </c>
      <c r="D15" s="8"/>
      <c r="E15" s="6">
        <f>IF(E9=0,"",E13/E9)</f>
        <v>0.55829998739806186</v>
      </c>
      <c r="F15" s="38">
        <f>IF(F9=0,"",F13/F9)</f>
        <v>0.59350736929945835</v>
      </c>
      <c r="G15" s="38">
        <f>IF(ISERROR(F15-E15),"",E15-F15)</f>
        <v>-3.5207381901396495E-2</v>
      </c>
      <c r="H15" s="99">
        <f>IF(ISERROR(F15-E15),"",IF(F15&lt;0.00000001,"",E15/F15))</f>
        <v>0.94067911584155517</v>
      </c>
    </row>
    <row r="17" spans="1:8" ht="14.4" customHeight="1" x14ac:dyDescent="0.3">
      <c r="A17" s="85" t="s">
        <v>111</v>
      </c>
    </row>
    <row r="18" spans="1:8" ht="14.4" customHeight="1" x14ac:dyDescent="0.3">
      <c r="A18" s="195" t="s">
        <v>136</v>
      </c>
      <c r="B18" s="196"/>
      <c r="C18" s="196"/>
      <c r="D18" s="196"/>
      <c r="E18" s="196"/>
      <c r="F18" s="196"/>
      <c r="G18" s="196"/>
      <c r="H18" s="196"/>
    </row>
    <row r="19" spans="1:8" x14ac:dyDescent="0.3">
      <c r="A19" s="194" t="s">
        <v>135</v>
      </c>
      <c r="B19" s="196"/>
      <c r="C19" s="196"/>
      <c r="D19" s="196"/>
      <c r="E19" s="196"/>
      <c r="F19" s="196"/>
      <c r="G19" s="196"/>
      <c r="H19" s="196"/>
    </row>
    <row r="20" spans="1:8" ht="14.4" customHeight="1" x14ac:dyDescent="0.3">
      <c r="A20" s="86" t="s">
        <v>144</v>
      </c>
    </row>
    <row r="21" spans="1:8" ht="14.4" customHeight="1" x14ac:dyDescent="0.3">
      <c r="A21" s="86" t="s">
        <v>112</v>
      </c>
    </row>
    <row r="22" spans="1:8" ht="14.4" customHeight="1" x14ac:dyDescent="0.3">
      <c r="A22" s="87" t="s">
        <v>172</v>
      </c>
    </row>
    <row r="23" spans="1:8" ht="14.4" customHeight="1" x14ac:dyDescent="0.3">
      <c r="A23" s="87" t="s">
        <v>113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26" priority="8" operator="greaterThan">
      <formula>0</formula>
    </cfRule>
  </conditionalFormatting>
  <conditionalFormatting sqref="G11:G13 G15">
    <cfRule type="cellIs" dxfId="25" priority="7" operator="lessThan">
      <formula>0</formula>
    </cfRule>
  </conditionalFormatting>
  <conditionalFormatting sqref="H5:H9">
    <cfRule type="cellIs" dxfId="24" priority="6" operator="greaterThan">
      <formula>1</formula>
    </cfRule>
  </conditionalFormatting>
  <conditionalFormatting sqref="H11:H13 H15">
    <cfRule type="cellIs" dxfId="23" priority="5" operator="lessThan">
      <formula>1</formula>
    </cfRule>
  </conditionalFormatting>
  <conditionalFormatting sqref="I11:I13">
    <cfRule type="cellIs" dxfId="22" priority="4" operator="lessThan">
      <formula>0</formula>
    </cfRule>
  </conditionalFormatting>
  <conditionalFormatting sqref="J11:J13">
    <cfRule type="cellIs" dxfId="21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1"/>
    <col min="2" max="13" width="8.88671875" style="101" customWidth="1"/>
    <col min="14" max="16384" width="8.88671875" style="101"/>
  </cols>
  <sheetData>
    <row r="1" spans="1:13" ht="18.600000000000001" customHeight="1" thickBot="1" x14ac:dyDescent="0.4">
      <c r="A1" s="275" t="s">
        <v>79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</row>
    <row r="2" spans="1:13" ht="14.4" customHeight="1" x14ac:dyDescent="0.3">
      <c r="A2" s="192" t="s">
        <v>207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spans="1:13" ht="14.4" customHeight="1" x14ac:dyDescent="0.3">
      <c r="A3" s="167"/>
      <c r="B3" s="168" t="s">
        <v>57</v>
      </c>
      <c r="C3" s="169" t="s">
        <v>58</v>
      </c>
      <c r="D3" s="169" t="s">
        <v>59</v>
      </c>
      <c r="E3" s="168" t="s">
        <v>60</v>
      </c>
      <c r="F3" s="169" t="s">
        <v>61</v>
      </c>
      <c r="G3" s="169" t="s">
        <v>62</v>
      </c>
      <c r="H3" s="169" t="s">
        <v>63</v>
      </c>
      <c r="I3" s="169" t="s">
        <v>64</v>
      </c>
      <c r="J3" s="169" t="s">
        <v>65</v>
      </c>
      <c r="K3" s="169" t="s">
        <v>66</v>
      </c>
      <c r="L3" s="169" t="s">
        <v>67</v>
      </c>
      <c r="M3" s="169" t="s">
        <v>68</v>
      </c>
    </row>
    <row r="4" spans="1:13" ht="14.4" customHeight="1" x14ac:dyDescent="0.3">
      <c r="A4" s="167" t="s">
        <v>56</v>
      </c>
      <c r="B4" s="170">
        <f>(B10+B8)/B6</f>
        <v>0.58621755962746647</v>
      </c>
      <c r="C4" s="170">
        <f t="shared" ref="C4:M4" si="0">(C10+C8)/C6</f>
        <v>0.54505039063926908</v>
      </c>
      <c r="D4" s="170">
        <f t="shared" si="0"/>
        <v>0.57895938601237884</v>
      </c>
      <c r="E4" s="170">
        <f t="shared" si="0"/>
        <v>0.58550706019384957</v>
      </c>
      <c r="F4" s="170">
        <f t="shared" si="0"/>
        <v>0.60701217309659283</v>
      </c>
      <c r="G4" s="170">
        <f t="shared" si="0"/>
        <v>0.62443070640229092</v>
      </c>
      <c r="H4" s="170">
        <f t="shared" si="0"/>
        <v>0.57326409509452847</v>
      </c>
      <c r="I4" s="170">
        <f t="shared" si="0"/>
        <v>0.57407600050880503</v>
      </c>
      <c r="J4" s="170">
        <f t="shared" si="0"/>
        <v>0.57036393070787583</v>
      </c>
      <c r="K4" s="170">
        <f t="shared" si="0"/>
        <v>0.57859058072963521</v>
      </c>
      <c r="L4" s="170">
        <f t="shared" si="0"/>
        <v>0.57661842671375196</v>
      </c>
      <c r="M4" s="170">
        <f t="shared" si="0"/>
        <v>0.55829999665500385</v>
      </c>
    </row>
    <row r="5" spans="1:13" ht="14.4" customHeight="1" x14ac:dyDescent="0.3">
      <c r="A5" s="171" t="s">
        <v>29</v>
      </c>
      <c r="B5" s="170">
        <f>IF(ISERROR(VLOOKUP($A5,'Man Tab'!$A:$Q,COLUMN()+2,0)),0,VLOOKUP($A5,'Man Tab'!$A:$Q,COLUMN()+2,0))</f>
        <v>624.71461999999997</v>
      </c>
      <c r="C5" s="170">
        <f>IF(ISERROR(VLOOKUP($A5,'Man Tab'!$A:$Q,COLUMN()+2,0)),0,VLOOKUP($A5,'Man Tab'!$A:$Q,COLUMN()+2,0))</f>
        <v>608.01730999999995</v>
      </c>
      <c r="D5" s="170">
        <f>IF(ISERROR(VLOOKUP($A5,'Man Tab'!$A:$Q,COLUMN()+2,0)),0,VLOOKUP($A5,'Man Tab'!$A:$Q,COLUMN()+2,0))</f>
        <v>676.355420000001</v>
      </c>
      <c r="E5" s="170">
        <f>IF(ISERROR(VLOOKUP($A5,'Man Tab'!$A:$Q,COLUMN()+2,0)),0,VLOOKUP($A5,'Man Tab'!$A:$Q,COLUMN()+2,0))</f>
        <v>673.69230000000005</v>
      </c>
      <c r="F5" s="170">
        <f>IF(ISERROR(VLOOKUP($A5,'Man Tab'!$A:$Q,COLUMN()+2,0)),0,VLOOKUP($A5,'Man Tab'!$A:$Q,COLUMN()+2,0))</f>
        <v>748.88454000000002</v>
      </c>
      <c r="G5" s="170">
        <f>IF(ISERROR(VLOOKUP($A5,'Man Tab'!$A:$Q,COLUMN()+2,0)),0,VLOOKUP($A5,'Man Tab'!$A:$Q,COLUMN()+2,0))</f>
        <v>682.72312999999997</v>
      </c>
      <c r="H5" s="170">
        <f>IF(ISERROR(VLOOKUP($A5,'Man Tab'!$A:$Q,COLUMN()+2,0)),0,VLOOKUP($A5,'Man Tab'!$A:$Q,COLUMN()+2,0))</f>
        <v>866.51094999999998</v>
      </c>
      <c r="I5" s="170">
        <f>IF(ISERROR(VLOOKUP($A5,'Man Tab'!$A:$Q,COLUMN()+2,0)),0,VLOOKUP($A5,'Man Tab'!$A:$Q,COLUMN()+2,0))</f>
        <v>689.168650000002</v>
      </c>
      <c r="J5" s="170">
        <f>IF(ISERROR(VLOOKUP($A5,'Man Tab'!$A:$Q,COLUMN()+2,0)),0,VLOOKUP($A5,'Man Tab'!$A:$Q,COLUMN()+2,0))</f>
        <v>740.79981999999995</v>
      </c>
      <c r="K5" s="170">
        <f>IF(ISERROR(VLOOKUP($A5,'Man Tab'!$A:$Q,COLUMN()+2,0)),0,VLOOKUP($A5,'Man Tab'!$A:$Q,COLUMN()+2,0))</f>
        <v>714.02599999999995</v>
      </c>
      <c r="L5" s="170">
        <f>IF(ISERROR(VLOOKUP($A5,'Man Tab'!$A:$Q,COLUMN()+2,0)),0,VLOOKUP($A5,'Man Tab'!$A:$Q,COLUMN()+2,0))</f>
        <v>878.55471999999804</v>
      </c>
      <c r="M5" s="170">
        <f>IF(ISERROR(VLOOKUP($A5,'Man Tab'!$A:$Q,COLUMN()+2,0)),0,VLOOKUP($A5,'Man Tab'!$A:$Q,COLUMN()+2,0))</f>
        <v>738.71529999999905</v>
      </c>
    </row>
    <row r="6" spans="1:13" ht="14.4" customHeight="1" x14ac:dyDescent="0.3">
      <c r="A6" s="171" t="s">
        <v>52</v>
      </c>
      <c r="B6" s="172">
        <f>B5</f>
        <v>624.71461999999997</v>
      </c>
      <c r="C6" s="172">
        <f t="shared" ref="C6:M6" si="1">C5+B6</f>
        <v>1232.7319299999999</v>
      </c>
      <c r="D6" s="172">
        <f t="shared" si="1"/>
        <v>1909.0873500000009</v>
      </c>
      <c r="E6" s="172">
        <f t="shared" si="1"/>
        <v>2582.7796500000009</v>
      </c>
      <c r="F6" s="172">
        <f t="shared" si="1"/>
        <v>3331.6641900000009</v>
      </c>
      <c r="G6" s="172">
        <f t="shared" si="1"/>
        <v>4014.3873200000007</v>
      </c>
      <c r="H6" s="172">
        <f t="shared" si="1"/>
        <v>4880.8982700000006</v>
      </c>
      <c r="I6" s="172">
        <f t="shared" si="1"/>
        <v>5570.0669200000029</v>
      </c>
      <c r="J6" s="172">
        <f t="shared" si="1"/>
        <v>6310.8667400000031</v>
      </c>
      <c r="K6" s="172">
        <f t="shared" si="1"/>
        <v>7024.892740000003</v>
      </c>
      <c r="L6" s="172">
        <f t="shared" si="1"/>
        <v>7903.4474600000012</v>
      </c>
      <c r="M6" s="172">
        <f t="shared" si="1"/>
        <v>8642.1627600000011</v>
      </c>
    </row>
    <row r="7" spans="1:13" ht="14.4" customHeight="1" x14ac:dyDescent="0.3">
      <c r="A7" s="171" t="s">
        <v>77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</row>
    <row r="8" spans="1:13" ht="14.4" customHeight="1" x14ac:dyDescent="0.3">
      <c r="A8" s="171" t="s">
        <v>53</v>
      </c>
      <c r="B8" s="172">
        <f>B7*30</f>
        <v>0</v>
      </c>
      <c r="C8" s="172">
        <f t="shared" ref="C8:M8" si="2">C7*30</f>
        <v>0</v>
      </c>
      <c r="D8" s="172">
        <f t="shared" si="2"/>
        <v>0</v>
      </c>
      <c r="E8" s="172">
        <f t="shared" si="2"/>
        <v>0</v>
      </c>
      <c r="F8" s="172">
        <f t="shared" si="2"/>
        <v>0</v>
      </c>
      <c r="G8" s="172">
        <f t="shared" si="2"/>
        <v>0</v>
      </c>
      <c r="H8" s="172">
        <f t="shared" si="2"/>
        <v>0</v>
      </c>
      <c r="I8" s="172">
        <f t="shared" si="2"/>
        <v>0</v>
      </c>
      <c r="J8" s="172">
        <f t="shared" si="2"/>
        <v>0</v>
      </c>
      <c r="K8" s="172">
        <f t="shared" si="2"/>
        <v>0</v>
      </c>
      <c r="L8" s="172">
        <f t="shared" si="2"/>
        <v>0</v>
      </c>
      <c r="M8" s="172">
        <f t="shared" si="2"/>
        <v>0</v>
      </c>
    </row>
    <row r="9" spans="1:13" ht="14.4" customHeight="1" x14ac:dyDescent="0.3">
      <c r="A9" s="171" t="s">
        <v>78</v>
      </c>
      <c r="B9" s="171">
        <v>366218.68</v>
      </c>
      <c r="C9" s="171">
        <v>305682.33999999997</v>
      </c>
      <c r="D9" s="171">
        <v>433383.02</v>
      </c>
      <c r="E9" s="171">
        <v>406951.68000000005</v>
      </c>
      <c r="F9" s="171">
        <v>510125.00000000012</v>
      </c>
      <c r="G9" s="171">
        <v>484345.99</v>
      </c>
      <c r="H9" s="171">
        <v>291337.02</v>
      </c>
      <c r="I9" s="171">
        <v>399598.01</v>
      </c>
      <c r="J9" s="171">
        <v>401849.01999999996</v>
      </c>
      <c r="K9" s="171">
        <v>465046.00999999995</v>
      </c>
      <c r="L9" s="171">
        <v>492736.67</v>
      </c>
      <c r="M9" s="171">
        <v>267646</v>
      </c>
    </row>
    <row r="10" spans="1:13" ht="14.4" customHeight="1" x14ac:dyDescent="0.3">
      <c r="A10" s="171" t="s">
        <v>54</v>
      </c>
      <c r="B10" s="172">
        <f>B9/1000</f>
        <v>366.21868000000001</v>
      </c>
      <c r="C10" s="172">
        <f t="shared" ref="C10:M10" si="3">C9/1000+B10</f>
        <v>671.90102000000002</v>
      </c>
      <c r="D10" s="172">
        <f t="shared" si="3"/>
        <v>1105.28404</v>
      </c>
      <c r="E10" s="172">
        <f t="shared" si="3"/>
        <v>1512.2357200000001</v>
      </c>
      <c r="F10" s="172">
        <f t="shared" si="3"/>
        <v>2022.3607200000001</v>
      </c>
      <c r="G10" s="172">
        <f t="shared" si="3"/>
        <v>2506.7067099999999</v>
      </c>
      <c r="H10" s="172">
        <f t="shared" si="3"/>
        <v>2798.0437299999999</v>
      </c>
      <c r="I10" s="172">
        <f t="shared" si="3"/>
        <v>3197.64174</v>
      </c>
      <c r="J10" s="172">
        <f t="shared" si="3"/>
        <v>3599.4907600000001</v>
      </c>
      <c r="K10" s="172">
        <f t="shared" si="3"/>
        <v>4064.5367700000002</v>
      </c>
      <c r="L10" s="172">
        <f t="shared" si="3"/>
        <v>4557.2734399999999</v>
      </c>
      <c r="M10" s="172">
        <f t="shared" si="3"/>
        <v>4824.9194399999997</v>
      </c>
    </row>
    <row r="11" spans="1:13" ht="14.4" customHeight="1" x14ac:dyDescent="0.3">
      <c r="A11" s="167"/>
      <c r="B11" s="167" t="s">
        <v>69</v>
      </c>
      <c r="C11" s="167">
        <f ca="1">IF(MONTH(TODAY())=1,12,MONTH(TODAY())-1)</f>
        <v>12</v>
      </c>
      <c r="D11" s="167"/>
      <c r="E11" s="167"/>
      <c r="F11" s="167"/>
      <c r="G11" s="167"/>
      <c r="H11" s="167"/>
      <c r="I11" s="167"/>
      <c r="J11" s="167"/>
      <c r="K11" s="167"/>
      <c r="L11" s="167"/>
      <c r="M11" s="167"/>
    </row>
    <row r="12" spans="1:13" ht="14.4" customHeight="1" x14ac:dyDescent="0.3">
      <c r="A12" s="167">
        <v>0</v>
      </c>
      <c r="B12" s="170">
        <f>IF(ISERROR(HI!F15),#REF!,HI!F15)</f>
        <v>0.59350736929945835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</row>
    <row r="13" spans="1:13" ht="14.4" customHeight="1" x14ac:dyDescent="0.3">
      <c r="A13" s="167">
        <v>1</v>
      </c>
      <c r="B13" s="170">
        <f>IF(ISERROR(HI!F15),#REF!,HI!F15)</f>
        <v>0.59350736929945835</v>
      </c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1" bestFit="1" customWidth="1"/>
    <col min="2" max="2" width="12.77734375" style="101" bestFit="1" customWidth="1"/>
    <col min="3" max="3" width="13.6640625" style="101" bestFit="1" customWidth="1"/>
    <col min="4" max="15" width="7.77734375" style="101" bestFit="1" customWidth="1"/>
    <col min="16" max="16" width="8.88671875" style="101" customWidth="1"/>
    <col min="17" max="17" width="6.6640625" style="101" bestFit="1" customWidth="1"/>
    <col min="18" max="16384" width="8.88671875" style="101"/>
  </cols>
  <sheetData>
    <row r="1" spans="1:17" s="173" customFormat="1" ht="18.600000000000001" customHeight="1" thickBot="1" x14ac:dyDescent="0.4">
      <c r="A1" s="287" t="s">
        <v>209</v>
      </c>
      <c r="B1" s="287"/>
      <c r="C1" s="287"/>
      <c r="D1" s="287"/>
      <c r="E1" s="287"/>
      <c r="F1" s="287"/>
      <c r="G1" s="287"/>
      <c r="H1" s="275"/>
      <c r="I1" s="275"/>
      <c r="J1" s="275"/>
      <c r="K1" s="275"/>
      <c r="L1" s="275"/>
      <c r="M1" s="275"/>
      <c r="N1" s="275"/>
      <c r="O1" s="275"/>
      <c r="P1" s="275"/>
      <c r="Q1" s="275"/>
    </row>
    <row r="2" spans="1:17" s="173" customFormat="1" ht="14.4" customHeight="1" thickBot="1" x14ac:dyDescent="0.3">
      <c r="A2" s="192" t="s">
        <v>207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</row>
    <row r="3" spans="1:17" ht="14.4" customHeight="1" x14ac:dyDescent="0.3">
      <c r="A3" s="59"/>
      <c r="B3" s="288" t="s">
        <v>5</v>
      </c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109"/>
      <c r="Q3" s="111"/>
    </row>
    <row r="4" spans="1:17" ht="14.4" customHeight="1" x14ac:dyDescent="0.3">
      <c r="A4" s="60"/>
      <c r="B4" s="20">
        <v>2017</v>
      </c>
      <c r="C4" s="110" t="s">
        <v>6</v>
      </c>
      <c r="D4" s="210" t="s">
        <v>148</v>
      </c>
      <c r="E4" s="210" t="s">
        <v>149</v>
      </c>
      <c r="F4" s="210" t="s">
        <v>150</v>
      </c>
      <c r="G4" s="210" t="s">
        <v>151</v>
      </c>
      <c r="H4" s="210" t="s">
        <v>152</v>
      </c>
      <c r="I4" s="210" t="s">
        <v>153</v>
      </c>
      <c r="J4" s="210" t="s">
        <v>154</v>
      </c>
      <c r="K4" s="210" t="s">
        <v>155</v>
      </c>
      <c r="L4" s="210" t="s">
        <v>156</v>
      </c>
      <c r="M4" s="210" t="s">
        <v>157</v>
      </c>
      <c r="N4" s="210" t="s">
        <v>158</v>
      </c>
      <c r="O4" s="210" t="s">
        <v>159</v>
      </c>
      <c r="P4" s="290" t="s">
        <v>3</v>
      </c>
      <c r="Q4" s="291"/>
    </row>
    <row r="5" spans="1:17" ht="14.4" customHeight="1" thickBot="1" x14ac:dyDescent="0.35">
      <c r="A5" s="61"/>
      <c r="B5" s="21" t="s">
        <v>7</v>
      </c>
      <c r="C5" s="22" t="s">
        <v>7</v>
      </c>
      <c r="D5" s="22" t="s">
        <v>8</v>
      </c>
      <c r="E5" s="22" t="s">
        <v>8</v>
      </c>
      <c r="F5" s="22" t="s">
        <v>8</v>
      </c>
      <c r="G5" s="22" t="s">
        <v>8</v>
      </c>
      <c r="H5" s="22" t="s">
        <v>8</v>
      </c>
      <c r="I5" s="22" t="s">
        <v>8</v>
      </c>
      <c r="J5" s="22" t="s">
        <v>8</v>
      </c>
      <c r="K5" s="22" t="s">
        <v>8</v>
      </c>
      <c r="L5" s="22" t="s">
        <v>8</v>
      </c>
      <c r="M5" s="22" t="s">
        <v>8</v>
      </c>
      <c r="N5" s="22" t="s">
        <v>8</v>
      </c>
      <c r="O5" s="22" t="s">
        <v>8</v>
      </c>
      <c r="P5" s="22" t="s">
        <v>8</v>
      </c>
      <c r="Q5" s="23" t="s">
        <v>9</v>
      </c>
    </row>
    <row r="6" spans="1:17" ht="14.4" customHeight="1" x14ac:dyDescent="0.3">
      <c r="A6" s="14" t="s">
        <v>10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9" t="s">
        <v>208</v>
      </c>
    </row>
    <row r="7" spans="1:17" ht="14.4" customHeight="1" x14ac:dyDescent="0.3">
      <c r="A7" s="15" t="s">
        <v>11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70" t="s">
        <v>208</v>
      </c>
    </row>
    <row r="8" spans="1:17" ht="14.4" customHeight="1" x14ac:dyDescent="0.3">
      <c r="A8" s="15" t="s">
        <v>12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0" t="s">
        <v>208</v>
      </c>
    </row>
    <row r="9" spans="1:17" ht="14.4" customHeight="1" x14ac:dyDescent="0.3">
      <c r="A9" s="15" t="s">
        <v>13</v>
      </c>
      <c r="B9" s="46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70" t="s">
        <v>208</v>
      </c>
    </row>
    <row r="10" spans="1:17" ht="14.4" customHeight="1" x14ac:dyDescent="0.3">
      <c r="A10" s="15" t="s">
        <v>14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0" t="s">
        <v>208</v>
      </c>
    </row>
    <row r="11" spans="1:17" ht="14.4" customHeight="1" x14ac:dyDescent="0.3">
      <c r="A11" s="15" t="s">
        <v>15</v>
      </c>
      <c r="B11" s="46">
        <v>52.616464128078</v>
      </c>
      <c r="C11" s="47">
        <v>4.384705344006</v>
      </c>
      <c r="D11" s="47">
        <v>0.46723999999999999</v>
      </c>
      <c r="E11" s="47">
        <v>0.80818000000000001</v>
      </c>
      <c r="F11" s="47">
        <v>6.7627199999999998</v>
      </c>
      <c r="G11" s="47">
        <v>1.2143900000000001</v>
      </c>
      <c r="H11" s="47">
        <v>1.2833600000000001</v>
      </c>
      <c r="I11" s="47">
        <v>0</v>
      </c>
      <c r="J11" s="47">
        <v>1.60425</v>
      </c>
      <c r="K11" s="47">
        <v>0</v>
      </c>
      <c r="L11" s="47">
        <v>22.279</v>
      </c>
      <c r="M11" s="47">
        <v>6.1635799999999996</v>
      </c>
      <c r="N11" s="47">
        <v>2.9039999999989998</v>
      </c>
      <c r="O11" s="47">
        <v>0.98725999999900005</v>
      </c>
      <c r="P11" s="48">
        <v>44.473979999999997</v>
      </c>
      <c r="Q11" s="70">
        <v>0.84524835974800006</v>
      </c>
    </row>
    <row r="12" spans="1:17" ht="14.4" customHeight="1" x14ac:dyDescent="0.3">
      <c r="A12" s="15" t="s">
        <v>16</v>
      </c>
      <c r="B12" s="46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0.1331</v>
      </c>
      <c r="I12" s="47">
        <v>0</v>
      </c>
      <c r="J12" s="47">
        <v>0</v>
      </c>
      <c r="K12" s="47">
        <v>0.32896999999999998</v>
      </c>
      <c r="L12" s="47">
        <v>0.17849999999999999</v>
      </c>
      <c r="M12" s="47">
        <v>0</v>
      </c>
      <c r="N12" s="47">
        <v>0</v>
      </c>
      <c r="O12" s="47">
        <v>0</v>
      </c>
      <c r="P12" s="48">
        <v>0.64056999999999997</v>
      </c>
      <c r="Q12" s="70" t="s">
        <v>208</v>
      </c>
    </row>
    <row r="13" spans="1:17" ht="14.4" customHeight="1" x14ac:dyDescent="0.3">
      <c r="A13" s="15" t="s">
        <v>17</v>
      </c>
      <c r="B13" s="46">
        <v>3</v>
      </c>
      <c r="C13" s="47">
        <v>0.25</v>
      </c>
      <c r="D13" s="47">
        <v>2.0860599999999998</v>
      </c>
      <c r="E13" s="47">
        <v>0</v>
      </c>
      <c r="F13" s="47">
        <v>2.2807900000000001</v>
      </c>
      <c r="G13" s="47">
        <v>0</v>
      </c>
      <c r="H13" s="47">
        <v>0.11495</v>
      </c>
      <c r="I13" s="47">
        <v>0.31218000000000001</v>
      </c>
      <c r="J13" s="47">
        <v>0</v>
      </c>
      <c r="K13" s="47">
        <v>0.42712</v>
      </c>
      <c r="L13" s="47">
        <v>0</v>
      </c>
      <c r="M13" s="47">
        <v>0.11495</v>
      </c>
      <c r="N13" s="47">
        <v>0.21299999999999999</v>
      </c>
      <c r="O13" s="47">
        <v>0</v>
      </c>
      <c r="P13" s="48">
        <v>5.5490500000000003</v>
      </c>
      <c r="Q13" s="70">
        <v>1.8496833333330001</v>
      </c>
    </row>
    <row r="14" spans="1:17" ht="14.4" customHeight="1" x14ac:dyDescent="0.3">
      <c r="A14" s="15" t="s">
        <v>18</v>
      </c>
      <c r="B14" s="46">
        <v>87.626498654738</v>
      </c>
      <c r="C14" s="47">
        <v>7.3022082212279997</v>
      </c>
      <c r="D14" s="47">
        <v>12.116</v>
      </c>
      <c r="E14" s="47">
        <v>9.3719999999999999</v>
      </c>
      <c r="F14" s="47">
        <v>8.3230000000000004</v>
      </c>
      <c r="G14" s="47">
        <v>6.8360000000000003</v>
      </c>
      <c r="H14" s="47">
        <v>5.6120000000000001</v>
      </c>
      <c r="I14" s="47">
        <v>4.2939999999999996</v>
      </c>
      <c r="J14" s="47">
        <v>4.0209999999999999</v>
      </c>
      <c r="K14" s="47">
        <v>4.4429999999999996</v>
      </c>
      <c r="L14" s="47">
        <v>5.1150000000000002</v>
      </c>
      <c r="M14" s="47">
        <v>7.0540000000000003</v>
      </c>
      <c r="N14" s="47">
        <v>8.4419999999990001</v>
      </c>
      <c r="O14" s="47">
        <v>9.5449999999989998</v>
      </c>
      <c r="P14" s="48">
        <v>85.173000000000002</v>
      </c>
      <c r="Q14" s="70">
        <v>0.97200049422900003</v>
      </c>
    </row>
    <row r="15" spans="1:17" ht="14.4" customHeight="1" x14ac:dyDescent="0.3">
      <c r="A15" s="15" t="s">
        <v>19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0" t="s">
        <v>208</v>
      </c>
    </row>
    <row r="16" spans="1:17" ht="14.4" customHeight="1" x14ac:dyDescent="0.3">
      <c r="A16" s="15" t="s">
        <v>20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0" t="s">
        <v>208</v>
      </c>
    </row>
    <row r="17" spans="1:17" ht="14.4" customHeight="1" x14ac:dyDescent="0.3">
      <c r="A17" s="15" t="s">
        <v>21</v>
      </c>
      <c r="B17" s="46">
        <v>0.99999999999900002</v>
      </c>
      <c r="C17" s="47">
        <v>8.3333333332999998E-2</v>
      </c>
      <c r="D17" s="47">
        <v>0</v>
      </c>
      <c r="E17" s="47">
        <v>0</v>
      </c>
      <c r="F17" s="47">
        <v>0</v>
      </c>
      <c r="G17" s="47">
        <v>0</v>
      </c>
      <c r="H17" s="47">
        <v>1.1112299999999999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1.3636200000000001</v>
      </c>
      <c r="O17" s="47">
        <v>0</v>
      </c>
      <c r="P17" s="48">
        <v>2.47485</v>
      </c>
      <c r="Q17" s="70">
        <v>2.47485</v>
      </c>
    </row>
    <row r="18" spans="1:17" ht="14.4" customHeight="1" x14ac:dyDescent="0.3">
      <c r="A18" s="15" t="s">
        <v>22</v>
      </c>
      <c r="B18" s="46">
        <v>0</v>
      </c>
      <c r="C18" s="47">
        <v>0</v>
      </c>
      <c r="D18" s="47">
        <v>3.165</v>
      </c>
      <c r="E18" s="47">
        <v>1.637</v>
      </c>
      <c r="F18" s="47">
        <v>5.1210000000000004</v>
      </c>
      <c r="G18" s="47">
        <v>2.2719999999999998</v>
      </c>
      <c r="H18" s="47">
        <v>9.7840000000000007</v>
      </c>
      <c r="I18" s="47">
        <v>4.07</v>
      </c>
      <c r="J18" s="47">
        <v>0</v>
      </c>
      <c r="K18" s="47">
        <v>0</v>
      </c>
      <c r="L18" s="47">
        <v>4.0650000000000004</v>
      </c>
      <c r="M18" s="47">
        <v>12.878</v>
      </c>
      <c r="N18" s="47">
        <v>6.5179999999989997</v>
      </c>
      <c r="O18" s="47">
        <v>3.4449999999990002</v>
      </c>
      <c r="P18" s="48">
        <v>52.954999999999998</v>
      </c>
      <c r="Q18" s="70" t="s">
        <v>208</v>
      </c>
    </row>
    <row r="19" spans="1:17" ht="14.4" customHeight="1" x14ac:dyDescent="0.3">
      <c r="A19" s="15" t="s">
        <v>23</v>
      </c>
      <c r="B19" s="46">
        <v>53.521560575551</v>
      </c>
      <c r="C19" s="47">
        <v>4.4601300479620001</v>
      </c>
      <c r="D19" s="47">
        <v>4.9418699999999998</v>
      </c>
      <c r="E19" s="47">
        <v>4.1465800000000002</v>
      </c>
      <c r="F19" s="47">
        <v>4.1684799999999997</v>
      </c>
      <c r="G19" s="47">
        <v>4.8606299999999996</v>
      </c>
      <c r="H19" s="47">
        <v>4.28416</v>
      </c>
      <c r="I19" s="47">
        <v>3.9045100000000001</v>
      </c>
      <c r="J19" s="47">
        <v>4.8244999999999996</v>
      </c>
      <c r="K19" s="47">
        <v>3.8136700000000001</v>
      </c>
      <c r="L19" s="47">
        <v>3.7681</v>
      </c>
      <c r="M19" s="47">
        <v>5.1895899999999999</v>
      </c>
      <c r="N19" s="47">
        <v>4.1750999999990004</v>
      </c>
      <c r="O19" s="47">
        <v>4.0591999999989996</v>
      </c>
      <c r="P19" s="48">
        <v>52.136389999999999</v>
      </c>
      <c r="Q19" s="70">
        <v>0.97411939112599999</v>
      </c>
    </row>
    <row r="20" spans="1:17" ht="14.4" customHeight="1" x14ac:dyDescent="0.3">
      <c r="A20" s="15" t="s">
        <v>24</v>
      </c>
      <c r="B20" s="46">
        <v>7683</v>
      </c>
      <c r="C20" s="47">
        <v>640.25</v>
      </c>
      <c r="D20" s="47">
        <v>593.22645</v>
      </c>
      <c r="E20" s="47">
        <v>587.61554999999998</v>
      </c>
      <c r="F20" s="47">
        <v>628.54273000000103</v>
      </c>
      <c r="G20" s="47">
        <v>649.05228</v>
      </c>
      <c r="H20" s="47">
        <v>703.69474000000002</v>
      </c>
      <c r="I20" s="47">
        <v>656.57943999999998</v>
      </c>
      <c r="J20" s="47">
        <v>852.30420000000004</v>
      </c>
      <c r="K20" s="47">
        <v>676.39889000000198</v>
      </c>
      <c r="L20" s="47">
        <v>674.51721999999995</v>
      </c>
      <c r="M20" s="47">
        <v>655.56888000000004</v>
      </c>
      <c r="N20" s="47">
        <v>827.16099999999904</v>
      </c>
      <c r="O20" s="47">
        <v>712.621839999999</v>
      </c>
      <c r="P20" s="48">
        <v>8217.2832199999993</v>
      </c>
      <c r="Q20" s="70">
        <v>1.0695409631649999</v>
      </c>
    </row>
    <row r="21" spans="1:17" ht="14.4" customHeight="1" x14ac:dyDescent="0.3">
      <c r="A21" s="16" t="s">
        <v>25</v>
      </c>
      <c r="B21" s="46">
        <v>45</v>
      </c>
      <c r="C21" s="47">
        <v>3.75</v>
      </c>
      <c r="D21" s="47">
        <v>3.7120000000000002</v>
      </c>
      <c r="E21" s="47">
        <v>3.738</v>
      </c>
      <c r="F21" s="47">
        <v>3.7570000000000001</v>
      </c>
      <c r="G21" s="47">
        <v>3.7570000000000001</v>
      </c>
      <c r="H21" s="47">
        <v>3.7570000000000001</v>
      </c>
      <c r="I21" s="47">
        <v>3.7570000000000001</v>
      </c>
      <c r="J21" s="47">
        <v>3.7570000000000001</v>
      </c>
      <c r="K21" s="47">
        <v>3.7570000000000001</v>
      </c>
      <c r="L21" s="47">
        <v>3.7570000000000001</v>
      </c>
      <c r="M21" s="47">
        <v>3.7570000000000001</v>
      </c>
      <c r="N21" s="47">
        <v>3.756999999999</v>
      </c>
      <c r="O21" s="47">
        <v>3.756999999999</v>
      </c>
      <c r="P21" s="48">
        <v>45.02</v>
      </c>
      <c r="Q21" s="70">
        <v>1.0004444444439999</v>
      </c>
    </row>
    <row r="22" spans="1:17" ht="14.4" customHeight="1" x14ac:dyDescent="0.3">
      <c r="A22" s="15" t="s">
        <v>26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0" t="s">
        <v>208</v>
      </c>
    </row>
    <row r="23" spans="1:17" ht="14.4" customHeight="1" x14ac:dyDescent="0.3">
      <c r="A23" s="16" t="s">
        <v>27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0" t="s">
        <v>208</v>
      </c>
    </row>
    <row r="24" spans="1:17" ht="14.4" customHeight="1" x14ac:dyDescent="0.3">
      <c r="A24" s="16" t="s">
        <v>28</v>
      </c>
      <c r="B24" s="46">
        <v>0</v>
      </c>
      <c r="C24" s="47">
        <v>0</v>
      </c>
      <c r="D24" s="47">
        <v>5</v>
      </c>
      <c r="E24" s="47">
        <v>0.7</v>
      </c>
      <c r="F24" s="47">
        <v>17.399699999999001</v>
      </c>
      <c r="G24" s="47">
        <v>5.7</v>
      </c>
      <c r="H24" s="47">
        <v>19.11</v>
      </c>
      <c r="I24" s="47">
        <v>9.8059999999999992</v>
      </c>
      <c r="J24" s="47">
        <v>1.13686837721616E-13</v>
      </c>
      <c r="K24" s="47">
        <v>-1.13686837721616E-13</v>
      </c>
      <c r="L24" s="47">
        <v>27.12</v>
      </c>
      <c r="M24" s="47">
        <v>23.3</v>
      </c>
      <c r="N24" s="47">
        <v>24.021000000000001</v>
      </c>
      <c r="O24" s="47">
        <v>4.2999999999989997</v>
      </c>
      <c r="P24" s="48">
        <v>136.45670000000001</v>
      </c>
      <c r="Q24" s="70"/>
    </row>
    <row r="25" spans="1:17" ht="14.4" customHeight="1" x14ac:dyDescent="0.3">
      <c r="A25" s="17" t="s">
        <v>29</v>
      </c>
      <c r="B25" s="49">
        <v>7925.7645233583698</v>
      </c>
      <c r="C25" s="50">
        <v>660.48037694653101</v>
      </c>
      <c r="D25" s="50">
        <v>624.71461999999997</v>
      </c>
      <c r="E25" s="50">
        <v>608.01730999999995</v>
      </c>
      <c r="F25" s="50">
        <v>676.355420000001</v>
      </c>
      <c r="G25" s="50">
        <v>673.69230000000005</v>
      </c>
      <c r="H25" s="50">
        <v>748.88454000000002</v>
      </c>
      <c r="I25" s="50">
        <v>682.72312999999997</v>
      </c>
      <c r="J25" s="50">
        <v>866.51094999999998</v>
      </c>
      <c r="K25" s="50">
        <v>689.168650000002</v>
      </c>
      <c r="L25" s="50">
        <v>740.79981999999995</v>
      </c>
      <c r="M25" s="50">
        <v>714.02599999999995</v>
      </c>
      <c r="N25" s="50">
        <v>878.55471999999804</v>
      </c>
      <c r="O25" s="50">
        <v>738.71529999999905</v>
      </c>
      <c r="P25" s="51">
        <v>8642.1627599999993</v>
      </c>
      <c r="Q25" s="71">
        <v>1.090388534068</v>
      </c>
    </row>
    <row r="26" spans="1:17" ht="14.4" customHeight="1" x14ac:dyDescent="0.3">
      <c r="A26" s="15" t="s">
        <v>30</v>
      </c>
      <c r="B26" s="46">
        <v>894.69706485726795</v>
      </c>
      <c r="C26" s="47">
        <v>74.558088738104999</v>
      </c>
      <c r="D26" s="47">
        <v>68.157719999999998</v>
      </c>
      <c r="E26" s="47">
        <v>64.856049999999996</v>
      </c>
      <c r="F26" s="47">
        <v>81.867419999999996</v>
      </c>
      <c r="G26" s="47">
        <v>79.783789999999996</v>
      </c>
      <c r="H26" s="47">
        <v>92.524429999999995</v>
      </c>
      <c r="I26" s="47">
        <v>91.836219999999997</v>
      </c>
      <c r="J26" s="47">
        <v>99.276489999999995</v>
      </c>
      <c r="K26" s="47">
        <v>114.92112</v>
      </c>
      <c r="L26" s="47">
        <v>76.672399999999996</v>
      </c>
      <c r="M26" s="47">
        <v>106.05037</v>
      </c>
      <c r="N26" s="47">
        <v>91.537689999999998</v>
      </c>
      <c r="O26" s="47">
        <v>103.01475000000001</v>
      </c>
      <c r="P26" s="48">
        <v>1070.49845</v>
      </c>
      <c r="Q26" s="70">
        <v>1.1964926364999999</v>
      </c>
    </row>
    <row r="27" spans="1:17" ht="14.4" customHeight="1" x14ac:dyDescent="0.3">
      <c r="A27" s="18" t="s">
        <v>31</v>
      </c>
      <c r="B27" s="49">
        <v>8820.4615882156395</v>
      </c>
      <c r="C27" s="50">
        <v>735.03846568463598</v>
      </c>
      <c r="D27" s="50">
        <v>692.87234000000001</v>
      </c>
      <c r="E27" s="50">
        <v>672.87336000000005</v>
      </c>
      <c r="F27" s="50">
        <v>758.22284000000104</v>
      </c>
      <c r="G27" s="50">
        <v>753.47609</v>
      </c>
      <c r="H27" s="50">
        <v>841.40896999999995</v>
      </c>
      <c r="I27" s="50">
        <v>774.55934999999999</v>
      </c>
      <c r="J27" s="50">
        <v>965.78743999999995</v>
      </c>
      <c r="K27" s="50">
        <v>804.08977000000198</v>
      </c>
      <c r="L27" s="50">
        <v>817.47221999999999</v>
      </c>
      <c r="M27" s="50">
        <v>820.07637</v>
      </c>
      <c r="N27" s="50">
        <v>970.09240999999804</v>
      </c>
      <c r="O27" s="50">
        <v>841.73004999999898</v>
      </c>
      <c r="P27" s="51">
        <v>9712.6612100000002</v>
      </c>
      <c r="Q27" s="71">
        <v>1.101151126033</v>
      </c>
    </row>
    <row r="28" spans="1:17" ht="14.4" customHeight="1" x14ac:dyDescent="0.3">
      <c r="A28" s="16" t="s">
        <v>32</v>
      </c>
      <c r="B28" s="46">
        <v>60</v>
      </c>
      <c r="C28" s="47">
        <v>5</v>
      </c>
      <c r="D28" s="47">
        <v>0</v>
      </c>
      <c r="E28" s="47">
        <v>3.8976000000000002</v>
      </c>
      <c r="F28" s="47">
        <v>3.8976000000000002</v>
      </c>
      <c r="G28" s="47">
        <v>6.9599999999000003E-2</v>
      </c>
      <c r="H28" s="47">
        <v>0</v>
      </c>
      <c r="I28" s="47">
        <v>9.2568000000000001</v>
      </c>
      <c r="J28" s="47">
        <v>3.9672000000000001</v>
      </c>
      <c r="K28" s="47">
        <v>0</v>
      </c>
      <c r="L28" s="47">
        <v>0</v>
      </c>
      <c r="M28" s="47">
        <v>3.9672000000000001</v>
      </c>
      <c r="N28" s="47">
        <v>11.9016</v>
      </c>
      <c r="O28" s="47">
        <v>1.98702</v>
      </c>
      <c r="P28" s="48">
        <v>38.94462</v>
      </c>
      <c r="Q28" s="70">
        <v>0.64907700000000002</v>
      </c>
    </row>
    <row r="29" spans="1:17" ht="14.4" customHeight="1" x14ac:dyDescent="0.3">
      <c r="A29" s="16" t="s">
        <v>33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0" t="s">
        <v>208</v>
      </c>
    </row>
    <row r="30" spans="1:17" ht="14.4" customHeight="1" x14ac:dyDescent="0.3">
      <c r="A30" s="16" t="s">
        <v>34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0">
        <v>0</v>
      </c>
    </row>
    <row r="31" spans="1:17" ht="14.4" customHeight="1" thickBot="1" x14ac:dyDescent="0.35">
      <c r="A31" s="19" t="s">
        <v>35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2" t="s">
        <v>208</v>
      </c>
    </row>
    <row r="32" spans="1:17" ht="14.4" customHeight="1" x14ac:dyDescent="0.3"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</row>
    <row r="33" spans="1:17" ht="14.4" customHeight="1" x14ac:dyDescent="0.3">
      <c r="A33" s="85" t="s">
        <v>111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</row>
    <row r="34" spans="1:17" ht="14.4" customHeight="1" x14ac:dyDescent="0.3">
      <c r="A34" s="107" t="s">
        <v>160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</row>
    <row r="35" spans="1:17" ht="14.4" customHeight="1" x14ac:dyDescent="0.3">
      <c r="A35" s="108" t="s">
        <v>36</v>
      </c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2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1" customWidth="1"/>
    <col min="2" max="11" width="10" style="101" customWidth="1"/>
    <col min="12" max="16384" width="8.88671875" style="101"/>
  </cols>
  <sheetData>
    <row r="1" spans="1:11" s="55" customFormat="1" ht="18.600000000000001" customHeight="1" thickBot="1" x14ac:dyDescent="0.4">
      <c r="A1" s="287" t="s">
        <v>37</v>
      </c>
      <c r="B1" s="287"/>
      <c r="C1" s="287"/>
      <c r="D1" s="287"/>
      <c r="E1" s="287"/>
      <c r="F1" s="287"/>
      <c r="G1" s="287"/>
      <c r="H1" s="292"/>
      <c r="I1" s="292"/>
      <c r="J1" s="292"/>
      <c r="K1" s="292"/>
    </row>
    <row r="2" spans="1:11" s="55" customFormat="1" ht="14.4" customHeight="1" thickBot="1" x14ac:dyDescent="0.35">
      <c r="A2" s="192" t="s">
        <v>207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9"/>
      <c r="B3" s="288" t="s">
        <v>38</v>
      </c>
      <c r="C3" s="289"/>
      <c r="D3" s="289"/>
      <c r="E3" s="289"/>
      <c r="F3" s="295" t="s">
        <v>39</v>
      </c>
      <c r="G3" s="289"/>
      <c r="H3" s="289"/>
      <c r="I3" s="289"/>
      <c r="J3" s="289"/>
      <c r="K3" s="296"/>
    </row>
    <row r="4" spans="1:11" ht="14.4" customHeight="1" x14ac:dyDescent="0.3">
      <c r="A4" s="60"/>
      <c r="B4" s="293"/>
      <c r="C4" s="294"/>
      <c r="D4" s="294"/>
      <c r="E4" s="294"/>
      <c r="F4" s="297" t="s">
        <v>161</v>
      </c>
      <c r="G4" s="299" t="s">
        <v>40</v>
      </c>
      <c r="H4" s="112" t="s">
        <v>103</v>
      </c>
      <c r="I4" s="297" t="s">
        <v>41</v>
      </c>
      <c r="J4" s="299" t="s">
        <v>168</v>
      </c>
      <c r="K4" s="300" t="s">
        <v>162</v>
      </c>
    </row>
    <row r="5" spans="1:11" ht="42" thickBot="1" x14ac:dyDescent="0.35">
      <c r="A5" s="61"/>
      <c r="B5" s="24" t="s">
        <v>164</v>
      </c>
      <c r="C5" s="25" t="s">
        <v>165</v>
      </c>
      <c r="D5" s="26" t="s">
        <v>166</v>
      </c>
      <c r="E5" s="26" t="s">
        <v>167</v>
      </c>
      <c r="F5" s="298"/>
      <c r="G5" s="298"/>
      <c r="H5" s="25" t="s">
        <v>163</v>
      </c>
      <c r="I5" s="298"/>
      <c r="J5" s="298"/>
      <c r="K5" s="301"/>
    </row>
    <row r="6" spans="1:11" ht="14.4" customHeight="1" thickBot="1" x14ac:dyDescent="0.35">
      <c r="A6" s="386" t="s">
        <v>210</v>
      </c>
      <c r="B6" s="368">
        <v>7526.7545318370403</v>
      </c>
      <c r="C6" s="368">
        <v>8011.1520899999996</v>
      </c>
      <c r="D6" s="369">
        <v>484.39755816296099</v>
      </c>
      <c r="E6" s="370">
        <v>1.0643567630790001</v>
      </c>
      <c r="F6" s="368">
        <v>7925.7645233583698</v>
      </c>
      <c r="G6" s="369">
        <v>7925.7645233583698</v>
      </c>
      <c r="H6" s="371">
        <v>738.71529999999905</v>
      </c>
      <c r="I6" s="368">
        <v>8642.1627599999993</v>
      </c>
      <c r="J6" s="369">
        <v>716.39823664162896</v>
      </c>
      <c r="K6" s="372">
        <v>1.090388534068</v>
      </c>
    </row>
    <row r="7" spans="1:11" ht="14.4" customHeight="1" thickBot="1" x14ac:dyDescent="0.35">
      <c r="A7" s="387" t="s">
        <v>211</v>
      </c>
      <c r="B7" s="368">
        <v>229.01235840474499</v>
      </c>
      <c r="C7" s="368">
        <v>115.83204000000001</v>
      </c>
      <c r="D7" s="369">
        <v>-113.18031840474499</v>
      </c>
      <c r="E7" s="370">
        <v>0.50578947270200003</v>
      </c>
      <c r="F7" s="368">
        <v>143.24296278281599</v>
      </c>
      <c r="G7" s="369">
        <v>143.24296278281599</v>
      </c>
      <c r="H7" s="371">
        <v>10.532260000000001</v>
      </c>
      <c r="I7" s="368">
        <v>135.8366</v>
      </c>
      <c r="J7" s="369">
        <v>-7.4063627828160001</v>
      </c>
      <c r="K7" s="372">
        <v>0.94829510197900002</v>
      </c>
    </row>
    <row r="8" spans="1:11" ht="14.4" customHeight="1" thickBot="1" x14ac:dyDescent="0.35">
      <c r="A8" s="388" t="s">
        <v>212</v>
      </c>
      <c r="B8" s="368">
        <v>143.70594880863399</v>
      </c>
      <c r="C8" s="368">
        <v>29.165040000000001</v>
      </c>
      <c r="D8" s="369">
        <v>-114.540908808634</v>
      </c>
      <c r="E8" s="370">
        <v>0.202949427228</v>
      </c>
      <c r="F8" s="368">
        <v>55.616464128078</v>
      </c>
      <c r="G8" s="369">
        <v>55.616464128078</v>
      </c>
      <c r="H8" s="371">
        <v>0.98725999999900005</v>
      </c>
      <c r="I8" s="368">
        <v>50.663600000000002</v>
      </c>
      <c r="J8" s="369">
        <v>-4.9528641280779997</v>
      </c>
      <c r="K8" s="372">
        <v>0.91094608034199998</v>
      </c>
    </row>
    <row r="9" spans="1:11" ht="14.4" customHeight="1" thickBot="1" x14ac:dyDescent="0.35">
      <c r="A9" s="389" t="s">
        <v>213</v>
      </c>
      <c r="B9" s="373">
        <v>1.0000000902790001</v>
      </c>
      <c r="C9" s="373">
        <v>0</v>
      </c>
      <c r="D9" s="374">
        <v>-1.0000000902790001</v>
      </c>
      <c r="E9" s="375">
        <v>0</v>
      </c>
      <c r="F9" s="373">
        <v>0</v>
      </c>
      <c r="G9" s="374">
        <v>0</v>
      </c>
      <c r="H9" s="376">
        <v>0</v>
      </c>
      <c r="I9" s="373">
        <v>0</v>
      </c>
      <c r="J9" s="374">
        <v>0</v>
      </c>
      <c r="K9" s="377" t="s">
        <v>208</v>
      </c>
    </row>
    <row r="10" spans="1:11" ht="14.4" customHeight="1" thickBot="1" x14ac:dyDescent="0.35">
      <c r="A10" s="390" t="s">
        <v>214</v>
      </c>
      <c r="B10" s="368">
        <v>1.0000000902790001</v>
      </c>
      <c r="C10" s="368">
        <v>0</v>
      </c>
      <c r="D10" s="369">
        <v>-1.0000000902790001</v>
      </c>
      <c r="E10" s="370">
        <v>0</v>
      </c>
      <c r="F10" s="368">
        <v>0</v>
      </c>
      <c r="G10" s="369">
        <v>0</v>
      </c>
      <c r="H10" s="371">
        <v>0</v>
      </c>
      <c r="I10" s="368">
        <v>0</v>
      </c>
      <c r="J10" s="369">
        <v>0</v>
      </c>
      <c r="K10" s="372">
        <v>0</v>
      </c>
    </row>
    <row r="11" spans="1:11" ht="14.4" customHeight="1" thickBot="1" x14ac:dyDescent="0.35">
      <c r="A11" s="389" t="s">
        <v>215</v>
      </c>
      <c r="B11" s="373">
        <v>142.70594871835399</v>
      </c>
      <c r="C11" s="373">
        <v>26.475239999999999</v>
      </c>
      <c r="D11" s="374">
        <v>-116.23070871835399</v>
      </c>
      <c r="E11" s="375">
        <v>0.18552302996299999</v>
      </c>
      <c r="F11" s="373">
        <v>52.616464128078</v>
      </c>
      <c r="G11" s="374">
        <v>52.616464128078</v>
      </c>
      <c r="H11" s="376">
        <v>0.98725999999900005</v>
      </c>
      <c r="I11" s="373">
        <v>44.473979999999997</v>
      </c>
      <c r="J11" s="374">
        <v>-8.1424841280779994</v>
      </c>
      <c r="K11" s="378">
        <v>0.84524835974800006</v>
      </c>
    </row>
    <row r="12" spans="1:11" ht="14.4" customHeight="1" thickBot="1" x14ac:dyDescent="0.35">
      <c r="A12" s="390" t="s">
        <v>216</v>
      </c>
      <c r="B12" s="368">
        <v>0.67503448220399997</v>
      </c>
      <c r="C12" s="368">
        <v>1.0529999999999999</v>
      </c>
      <c r="D12" s="369">
        <v>0.37796551779499998</v>
      </c>
      <c r="E12" s="370">
        <v>1.559920311865</v>
      </c>
      <c r="F12" s="368">
        <v>0</v>
      </c>
      <c r="G12" s="369">
        <v>0</v>
      </c>
      <c r="H12" s="371">
        <v>0</v>
      </c>
      <c r="I12" s="368">
        <v>1.8432900000000001</v>
      </c>
      <c r="J12" s="369">
        <v>1.8432900000000001</v>
      </c>
      <c r="K12" s="379" t="s">
        <v>208</v>
      </c>
    </row>
    <row r="13" spans="1:11" ht="14.4" customHeight="1" thickBot="1" x14ac:dyDescent="0.35">
      <c r="A13" s="390" t="s">
        <v>217</v>
      </c>
      <c r="B13" s="368">
        <v>8.4277704253999997E-2</v>
      </c>
      <c r="C13" s="368">
        <v>0.51585999999999999</v>
      </c>
      <c r="D13" s="369">
        <v>0.43158229574500001</v>
      </c>
      <c r="E13" s="370">
        <v>6.1209545818290003</v>
      </c>
      <c r="F13" s="368">
        <v>1</v>
      </c>
      <c r="G13" s="369">
        <v>1</v>
      </c>
      <c r="H13" s="371">
        <v>0</v>
      </c>
      <c r="I13" s="368">
        <v>0</v>
      </c>
      <c r="J13" s="369">
        <v>-1</v>
      </c>
      <c r="K13" s="372">
        <v>0</v>
      </c>
    </row>
    <row r="14" spans="1:11" ht="14.4" customHeight="1" thickBot="1" x14ac:dyDescent="0.35">
      <c r="A14" s="390" t="s">
        <v>218</v>
      </c>
      <c r="B14" s="368">
        <v>4.3448788551649997</v>
      </c>
      <c r="C14" s="368">
        <v>0</v>
      </c>
      <c r="D14" s="369">
        <v>-4.3448788551649997</v>
      </c>
      <c r="E14" s="370">
        <v>0</v>
      </c>
      <c r="F14" s="368">
        <v>0</v>
      </c>
      <c r="G14" s="369">
        <v>0</v>
      </c>
      <c r="H14" s="371">
        <v>0</v>
      </c>
      <c r="I14" s="368">
        <v>0</v>
      </c>
      <c r="J14" s="369">
        <v>0</v>
      </c>
      <c r="K14" s="372">
        <v>0</v>
      </c>
    </row>
    <row r="15" spans="1:11" ht="14.4" customHeight="1" thickBot="1" x14ac:dyDescent="0.35">
      <c r="A15" s="390" t="s">
        <v>219</v>
      </c>
      <c r="B15" s="368">
        <v>127.00001146549501</v>
      </c>
      <c r="C15" s="368">
        <v>14.017099999999999</v>
      </c>
      <c r="D15" s="369">
        <v>-112.98291146549499</v>
      </c>
      <c r="E15" s="370">
        <v>0.110370856177</v>
      </c>
      <c r="F15" s="368">
        <v>38.094335208730001</v>
      </c>
      <c r="G15" s="369">
        <v>38.094335208730001</v>
      </c>
      <c r="H15" s="371">
        <v>0</v>
      </c>
      <c r="I15" s="368">
        <v>32.715339999999998</v>
      </c>
      <c r="J15" s="369">
        <v>-5.3789952087300001</v>
      </c>
      <c r="K15" s="372">
        <v>0.85879802917500003</v>
      </c>
    </row>
    <row r="16" spans="1:11" ht="14.4" customHeight="1" thickBot="1" x14ac:dyDescent="0.35">
      <c r="A16" s="390" t="s">
        <v>220</v>
      </c>
      <c r="B16" s="368">
        <v>0.30975407730499999</v>
      </c>
      <c r="C16" s="368">
        <v>0.3301</v>
      </c>
      <c r="D16" s="369">
        <v>2.0345922693999999E-2</v>
      </c>
      <c r="E16" s="370">
        <v>1.0656841158370001</v>
      </c>
      <c r="F16" s="368">
        <v>0.35671415024399999</v>
      </c>
      <c r="G16" s="369">
        <v>0.35671415024399999</v>
      </c>
      <c r="H16" s="371">
        <v>0</v>
      </c>
      <c r="I16" s="368">
        <v>0.30336999999999997</v>
      </c>
      <c r="J16" s="369">
        <v>-5.3344150244000001E-2</v>
      </c>
      <c r="K16" s="372">
        <v>0.85045687083699995</v>
      </c>
    </row>
    <row r="17" spans="1:11" ht="14.4" customHeight="1" thickBot="1" x14ac:dyDescent="0.35">
      <c r="A17" s="390" t="s">
        <v>221</v>
      </c>
      <c r="B17" s="368">
        <v>9.3275206526590004</v>
      </c>
      <c r="C17" s="368">
        <v>8.6697600000000001</v>
      </c>
      <c r="D17" s="369">
        <v>-0.65776065265899997</v>
      </c>
      <c r="E17" s="370">
        <v>0.92948172647799998</v>
      </c>
      <c r="F17" s="368">
        <v>11.165414769103</v>
      </c>
      <c r="G17" s="369">
        <v>11.165414769103</v>
      </c>
      <c r="H17" s="371">
        <v>0.98725999999900005</v>
      </c>
      <c r="I17" s="368">
        <v>8.0454899999999991</v>
      </c>
      <c r="J17" s="369">
        <v>-3.1199247691030001</v>
      </c>
      <c r="K17" s="372">
        <v>0.72057242533099997</v>
      </c>
    </row>
    <row r="18" spans="1:11" ht="14.4" customHeight="1" thickBot="1" x14ac:dyDescent="0.35">
      <c r="A18" s="390" t="s">
        <v>222</v>
      </c>
      <c r="B18" s="368">
        <v>0.96447148127000004</v>
      </c>
      <c r="C18" s="368">
        <v>1.8894200000000001</v>
      </c>
      <c r="D18" s="369">
        <v>0.92494851872899997</v>
      </c>
      <c r="E18" s="370">
        <v>1.9590211184990001</v>
      </c>
      <c r="F18" s="368">
        <v>2</v>
      </c>
      <c r="G18" s="369">
        <v>2</v>
      </c>
      <c r="H18" s="371">
        <v>0</v>
      </c>
      <c r="I18" s="368">
        <v>1.5664899999999999</v>
      </c>
      <c r="J18" s="369">
        <v>-0.43351000000000001</v>
      </c>
      <c r="K18" s="372">
        <v>0.78324499999999997</v>
      </c>
    </row>
    <row r="19" spans="1:11" ht="14.4" customHeight="1" thickBot="1" x14ac:dyDescent="0.35">
      <c r="A19" s="389" t="s">
        <v>223</v>
      </c>
      <c r="B19" s="373">
        <v>0</v>
      </c>
      <c r="C19" s="373">
        <v>0</v>
      </c>
      <c r="D19" s="374">
        <v>0</v>
      </c>
      <c r="E19" s="375">
        <v>1</v>
      </c>
      <c r="F19" s="373">
        <v>0</v>
      </c>
      <c r="G19" s="374">
        <v>0</v>
      </c>
      <c r="H19" s="376">
        <v>0</v>
      </c>
      <c r="I19" s="373">
        <v>0.64056999999999997</v>
      </c>
      <c r="J19" s="374">
        <v>0.64056999999999997</v>
      </c>
      <c r="K19" s="377" t="s">
        <v>224</v>
      </c>
    </row>
    <row r="20" spans="1:11" ht="14.4" customHeight="1" thickBot="1" x14ac:dyDescent="0.35">
      <c r="A20" s="390" t="s">
        <v>225</v>
      </c>
      <c r="B20" s="368">
        <v>0</v>
      </c>
      <c r="C20" s="368">
        <v>0</v>
      </c>
      <c r="D20" s="369">
        <v>0</v>
      </c>
      <c r="E20" s="370">
        <v>1</v>
      </c>
      <c r="F20" s="368">
        <v>0</v>
      </c>
      <c r="G20" s="369">
        <v>0</v>
      </c>
      <c r="H20" s="371">
        <v>0</v>
      </c>
      <c r="I20" s="368">
        <v>0.64056999999999997</v>
      </c>
      <c r="J20" s="369">
        <v>0.64056999999999997</v>
      </c>
      <c r="K20" s="379" t="s">
        <v>224</v>
      </c>
    </row>
    <row r="21" spans="1:11" ht="14.4" customHeight="1" thickBot="1" x14ac:dyDescent="0.35">
      <c r="A21" s="389" t="s">
        <v>226</v>
      </c>
      <c r="B21" s="373">
        <v>0</v>
      </c>
      <c r="C21" s="373">
        <v>2.6898</v>
      </c>
      <c r="D21" s="374">
        <v>2.6898</v>
      </c>
      <c r="E21" s="380" t="s">
        <v>208</v>
      </c>
      <c r="F21" s="373">
        <v>3</v>
      </c>
      <c r="G21" s="374">
        <v>3</v>
      </c>
      <c r="H21" s="376">
        <v>0</v>
      </c>
      <c r="I21" s="373">
        <v>5.5490500000000003</v>
      </c>
      <c r="J21" s="374">
        <v>2.5490499999999998</v>
      </c>
      <c r="K21" s="378">
        <v>1.8496833333330001</v>
      </c>
    </row>
    <row r="22" spans="1:11" ht="14.4" customHeight="1" thickBot="1" x14ac:dyDescent="0.35">
      <c r="A22" s="390" t="s">
        <v>227</v>
      </c>
      <c r="B22" s="368">
        <v>0</v>
      </c>
      <c r="C22" s="368">
        <v>0</v>
      </c>
      <c r="D22" s="369">
        <v>0</v>
      </c>
      <c r="E22" s="370">
        <v>1</v>
      </c>
      <c r="F22" s="368">
        <v>0</v>
      </c>
      <c r="G22" s="369">
        <v>0</v>
      </c>
      <c r="H22" s="371">
        <v>0</v>
      </c>
      <c r="I22" s="368">
        <v>0.21299999999999999</v>
      </c>
      <c r="J22" s="369">
        <v>0.21299999999999999</v>
      </c>
      <c r="K22" s="379" t="s">
        <v>224</v>
      </c>
    </row>
    <row r="23" spans="1:11" ht="14.4" customHeight="1" thickBot="1" x14ac:dyDescent="0.35">
      <c r="A23" s="390" t="s">
        <v>228</v>
      </c>
      <c r="B23" s="368">
        <v>0</v>
      </c>
      <c r="C23" s="368">
        <v>2.6898</v>
      </c>
      <c r="D23" s="369">
        <v>2.6898</v>
      </c>
      <c r="E23" s="381" t="s">
        <v>208</v>
      </c>
      <c r="F23" s="368">
        <v>3</v>
      </c>
      <c r="G23" s="369">
        <v>3</v>
      </c>
      <c r="H23" s="371">
        <v>0</v>
      </c>
      <c r="I23" s="368">
        <v>5.3360500000000002</v>
      </c>
      <c r="J23" s="369">
        <v>2.3360500000000002</v>
      </c>
      <c r="K23" s="372">
        <v>1.7786833333330001</v>
      </c>
    </row>
    <row r="24" spans="1:11" ht="14.4" customHeight="1" thickBot="1" x14ac:dyDescent="0.35">
      <c r="A24" s="388" t="s">
        <v>18</v>
      </c>
      <c r="B24" s="368">
        <v>85.306409596110996</v>
      </c>
      <c r="C24" s="368">
        <v>86.667000000000002</v>
      </c>
      <c r="D24" s="369">
        <v>1.3605904038879999</v>
      </c>
      <c r="E24" s="370">
        <v>1.015949451047</v>
      </c>
      <c r="F24" s="368">
        <v>87.626498654738</v>
      </c>
      <c r="G24" s="369">
        <v>87.626498654738</v>
      </c>
      <c r="H24" s="371">
        <v>9.5449999999989998</v>
      </c>
      <c r="I24" s="368">
        <v>85.173000000000002</v>
      </c>
      <c r="J24" s="369">
        <v>-2.453498654738</v>
      </c>
      <c r="K24" s="372">
        <v>0.97200049422900003</v>
      </c>
    </row>
    <row r="25" spans="1:11" ht="14.4" customHeight="1" thickBot="1" x14ac:dyDescent="0.35">
      <c r="A25" s="389" t="s">
        <v>229</v>
      </c>
      <c r="B25" s="373">
        <v>85.306409596110996</v>
      </c>
      <c r="C25" s="373">
        <v>86.667000000000002</v>
      </c>
      <c r="D25" s="374">
        <v>1.3605904038879999</v>
      </c>
      <c r="E25" s="375">
        <v>1.015949451047</v>
      </c>
      <c r="F25" s="373">
        <v>87.626498654738</v>
      </c>
      <c r="G25" s="374">
        <v>87.626498654738</v>
      </c>
      <c r="H25" s="376">
        <v>9.5449999999989998</v>
      </c>
      <c r="I25" s="373">
        <v>85.173000000000002</v>
      </c>
      <c r="J25" s="374">
        <v>-2.453498654738</v>
      </c>
      <c r="K25" s="378">
        <v>0.97200049422900003</v>
      </c>
    </row>
    <row r="26" spans="1:11" ht="14.4" customHeight="1" thickBot="1" x14ac:dyDescent="0.35">
      <c r="A26" s="390" t="s">
        <v>230</v>
      </c>
      <c r="B26" s="368">
        <v>15.239606635123</v>
      </c>
      <c r="C26" s="368">
        <v>13.85</v>
      </c>
      <c r="D26" s="369">
        <v>-1.3896066351230001</v>
      </c>
      <c r="E26" s="370">
        <v>0.908816108683</v>
      </c>
      <c r="F26" s="368">
        <v>13.999999999999</v>
      </c>
      <c r="G26" s="369">
        <v>13.999999999999</v>
      </c>
      <c r="H26" s="371">
        <v>1.2629999999999999</v>
      </c>
      <c r="I26" s="368">
        <v>14.555</v>
      </c>
      <c r="J26" s="369">
        <v>0.55500000000000005</v>
      </c>
      <c r="K26" s="372">
        <v>1.039642857142</v>
      </c>
    </row>
    <row r="27" spans="1:11" ht="14.4" customHeight="1" thickBot="1" x14ac:dyDescent="0.35">
      <c r="A27" s="390" t="s">
        <v>231</v>
      </c>
      <c r="B27" s="368">
        <v>12.970312640247</v>
      </c>
      <c r="C27" s="368">
        <v>13.544</v>
      </c>
      <c r="D27" s="369">
        <v>0.57368735975200003</v>
      </c>
      <c r="E27" s="370">
        <v>1.044230804273</v>
      </c>
      <c r="F27" s="368">
        <v>14.626498654738</v>
      </c>
      <c r="G27" s="369">
        <v>14.626498654738</v>
      </c>
      <c r="H27" s="371">
        <v>0.90499999999900005</v>
      </c>
      <c r="I27" s="368">
        <v>13.295999999999999</v>
      </c>
      <c r="J27" s="369">
        <v>-1.330498654738</v>
      </c>
      <c r="K27" s="372">
        <v>0.90903505437999998</v>
      </c>
    </row>
    <row r="28" spans="1:11" ht="14.4" customHeight="1" thickBot="1" x14ac:dyDescent="0.35">
      <c r="A28" s="390" t="s">
        <v>232</v>
      </c>
      <c r="B28" s="368">
        <v>57.096490320740003</v>
      </c>
      <c r="C28" s="368">
        <v>59.273000000000003</v>
      </c>
      <c r="D28" s="369">
        <v>2.176509679259</v>
      </c>
      <c r="E28" s="370">
        <v>1.038119850572</v>
      </c>
      <c r="F28" s="368">
        <v>58.999999999998998</v>
      </c>
      <c r="G28" s="369">
        <v>58.999999999998998</v>
      </c>
      <c r="H28" s="371">
        <v>7.3769999999989997</v>
      </c>
      <c r="I28" s="368">
        <v>57.322000000000003</v>
      </c>
      <c r="J28" s="369">
        <v>-1.6779999999990001</v>
      </c>
      <c r="K28" s="372">
        <v>0.97155932203299999</v>
      </c>
    </row>
    <row r="29" spans="1:11" ht="14.4" customHeight="1" thickBot="1" x14ac:dyDescent="0.35">
      <c r="A29" s="391" t="s">
        <v>233</v>
      </c>
      <c r="B29" s="373">
        <v>58.741424482898999</v>
      </c>
      <c r="C29" s="373">
        <v>85.298820000000006</v>
      </c>
      <c r="D29" s="374">
        <v>26.557395517100002</v>
      </c>
      <c r="E29" s="375">
        <v>1.452106767087</v>
      </c>
      <c r="F29" s="373">
        <v>54.521560575551</v>
      </c>
      <c r="G29" s="374">
        <v>54.521560575551</v>
      </c>
      <c r="H29" s="376">
        <v>7.5041999999989999</v>
      </c>
      <c r="I29" s="373">
        <v>107.56623999999999</v>
      </c>
      <c r="J29" s="374">
        <v>53.044679424447999</v>
      </c>
      <c r="K29" s="378">
        <v>1.9729119794900001</v>
      </c>
    </row>
    <row r="30" spans="1:11" ht="14.4" customHeight="1" thickBot="1" x14ac:dyDescent="0.35">
      <c r="A30" s="388" t="s">
        <v>21</v>
      </c>
      <c r="B30" s="368">
        <v>4.5623317729219997</v>
      </c>
      <c r="C30" s="368">
        <v>0</v>
      </c>
      <c r="D30" s="369">
        <v>-4.5623317729219997</v>
      </c>
      <c r="E30" s="370">
        <v>0</v>
      </c>
      <c r="F30" s="368">
        <v>0.99999999999900002</v>
      </c>
      <c r="G30" s="369">
        <v>0.99999999999900002</v>
      </c>
      <c r="H30" s="371">
        <v>0</v>
      </c>
      <c r="I30" s="368">
        <v>2.47485</v>
      </c>
      <c r="J30" s="369">
        <v>1.47485</v>
      </c>
      <c r="K30" s="372">
        <v>2.47485</v>
      </c>
    </row>
    <row r="31" spans="1:11" ht="14.4" customHeight="1" thickBot="1" x14ac:dyDescent="0.35">
      <c r="A31" s="392" t="s">
        <v>234</v>
      </c>
      <c r="B31" s="368">
        <v>4.5623317729219997</v>
      </c>
      <c r="C31" s="368">
        <v>0</v>
      </c>
      <c r="D31" s="369">
        <v>-4.5623317729219997</v>
      </c>
      <c r="E31" s="370">
        <v>0</v>
      </c>
      <c r="F31" s="368">
        <v>0.99999999999900002</v>
      </c>
      <c r="G31" s="369">
        <v>0.99999999999900002</v>
      </c>
      <c r="H31" s="371">
        <v>0</v>
      </c>
      <c r="I31" s="368">
        <v>2.47485</v>
      </c>
      <c r="J31" s="369">
        <v>1.47485</v>
      </c>
      <c r="K31" s="372">
        <v>2.47485</v>
      </c>
    </row>
    <row r="32" spans="1:11" ht="14.4" customHeight="1" thickBot="1" x14ac:dyDescent="0.35">
      <c r="A32" s="390" t="s">
        <v>235</v>
      </c>
      <c r="B32" s="368">
        <v>2.9861159676079998</v>
      </c>
      <c r="C32" s="368">
        <v>0</v>
      </c>
      <c r="D32" s="369">
        <v>-2.9861159676079998</v>
      </c>
      <c r="E32" s="370">
        <v>0</v>
      </c>
      <c r="F32" s="368">
        <v>0</v>
      </c>
      <c r="G32" s="369">
        <v>0</v>
      </c>
      <c r="H32" s="371">
        <v>0</v>
      </c>
      <c r="I32" s="368">
        <v>0</v>
      </c>
      <c r="J32" s="369">
        <v>0</v>
      </c>
      <c r="K32" s="372">
        <v>0</v>
      </c>
    </row>
    <row r="33" spans="1:11" ht="14.4" customHeight="1" thickBot="1" x14ac:dyDescent="0.35">
      <c r="A33" s="390" t="s">
        <v>236</v>
      </c>
      <c r="B33" s="368">
        <v>1.085631331711</v>
      </c>
      <c r="C33" s="368">
        <v>0</v>
      </c>
      <c r="D33" s="369">
        <v>-1.085631331711</v>
      </c>
      <c r="E33" s="370">
        <v>0</v>
      </c>
      <c r="F33" s="368">
        <v>0</v>
      </c>
      <c r="G33" s="369">
        <v>0</v>
      </c>
      <c r="H33" s="371">
        <v>0</v>
      </c>
      <c r="I33" s="368">
        <v>0</v>
      </c>
      <c r="J33" s="369">
        <v>0</v>
      </c>
      <c r="K33" s="372">
        <v>0</v>
      </c>
    </row>
    <row r="34" spans="1:11" ht="14.4" customHeight="1" thickBot="1" x14ac:dyDescent="0.35">
      <c r="A34" s="390" t="s">
        <v>237</v>
      </c>
      <c r="B34" s="368">
        <v>0.49058447360099999</v>
      </c>
      <c r="C34" s="368">
        <v>0</v>
      </c>
      <c r="D34" s="369">
        <v>-0.49058447360099999</v>
      </c>
      <c r="E34" s="370">
        <v>0</v>
      </c>
      <c r="F34" s="368">
        <v>0.99999999999900002</v>
      </c>
      <c r="G34" s="369">
        <v>0.99999999999900002</v>
      </c>
      <c r="H34" s="371">
        <v>0</v>
      </c>
      <c r="I34" s="368">
        <v>2.47485</v>
      </c>
      <c r="J34" s="369">
        <v>1.47485</v>
      </c>
      <c r="K34" s="372">
        <v>2.47485</v>
      </c>
    </row>
    <row r="35" spans="1:11" ht="14.4" customHeight="1" thickBot="1" x14ac:dyDescent="0.35">
      <c r="A35" s="393" t="s">
        <v>22</v>
      </c>
      <c r="B35" s="373">
        <v>0</v>
      </c>
      <c r="C35" s="373">
        <v>28.83</v>
      </c>
      <c r="D35" s="374">
        <v>28.83</v>
      </c>
      <c r="E35" s="380" t="s">
        <v>208</v>
      </c>
      <c r="F35" s="373">
        <v>0</v>
      </c>
      <c r="G35" s="374">
        <v>0</v>
      </c>
      <c r="H35" s="376">
        <v>3.4449999999990002</v>
      </c>
      <c r="I35" s="373">
        <v>52.954999999999998</v>
      </c>
      <c r="J35" s="374">
        <v>52.954999999999998</v>
      </c>
      <c r="K35" s="377" t="s">
        <v>208</v>
      </c>
    </row>
    <row r="36" spans="1:11" ht="14.4" customHeight="1" thickBot="1" x14ac:dyDescent="0.35">
      <c r="A36" s="389" t="s">
        <v>238</v>
      </c>
      <c r="B36" s="373">
        <v>0</v>
      </c>
      <c r="C36" s="373">
        <v>28.83</v>
      </c>
      <c r="D36" s="374">
        <v>28.83</v>
      </c>
      <c r="E36" s="380" t="s">
        <v>208</v>
      </c>
      <c r="F36" s="373">
        <v>0</v>
      </c>
      <c r="G36" s="374">
        <v>0</v>
      </c>
      <c r="H36" s="376">
        <v>3.4449999999990002</v>
      </c>
      <c r="I36" s="373">
        <v>52.954999999999998</v>
      </c>
      <c r="J36" s="374">
        <v>52.954999999999998</v>
      </c>
      <c r="K36" s="377" t="s">
        <v>208</v>
      </c>
    </row>
    <row r="37" spans="1:11" ht="14.4" customHeight="1" thickBot="1" x14ac:dyDescent="0.35">
      <c r="A37" s="390" t="s">
        <v>239</v>
      </c>
      <c r="B37" s="368">
        <v>0</v>
      </c>
      <c r="C37" s="368">
        <v>25.13</v>
      </c>
      <c r="D37" s="369">
        <v>25.13</v>
      </c>
      <c r="E37" s="381" t="s">
        <v>208</v>
      </c>
      <c r="F37" s="368">
        <v>0</v>
      </c>
      <c r="G37" s="369">
        <v>0</v>
      </c>
      <c r="H37" s="371">
        <v>3.1449999999989999</v>
      </c>
      <c r="I37" s="368">
        <v>52.055</v>
      </c>
      <c r="J37" s="369">
        <v>52.055</v>
      </c>
      <c r="K37" s="379" t="s">
        <v>208</v>
      </c>
    </row>
    <row r="38" spans="1:11" ht="14.4" customHeight="1" thickBot="1" x14ac:dyDescent="0.35">
      <c r="A38" s="390" t="s">
        <v>240</v>
      </c>
      <c r="B38" s="368">
        <v>0</v>
      </c>
      <c r="C38" s="368">
        <v>3.7</v>
      </c>
      <c r="D38" s="369">
        <v>3.7</v>
      </c>
      <c r="E38" s="381" t="s">
        <v>224</v>
      </c>
      <c r="F38" s="368">
        <v>0</v>
      </c>
      <c r="G38" s="369">
        <v>0</v>
      </c>
      <c r="H38" s="371">
        <v>0.29999999999900001</v>
      </c>
      <c r="I38" s="368">
        <v>0.9</v>
      </c>
      <c r="J38" s="369">
        <v>0.9</v>
      </c>
      <c r="K38" s="379" t="s">
        <v>208</v>
      </c>
    </row>
    <row r="39" spans="1:11" ht="14.4" customHeight="1" thickBot="1" x14ac:dyDescent="0.35">
      <c r="A39" s="388" t="s">
        <v>23</v>
      </c>
      <c r="B39" s="368">
        <v>54.179092709975997</v>
      </c>
      <c r="C39" s="368">
        <v>56.468820000000001</v>
      </c>
      <c r="D39" s="369">
        <v>2.2897272900229999</v>
      </c>
      <c r="E39" s="370">
        <v>1.04226219332</v>
      </c>
      <c r="F39" s="368">
        <v>53.521560575551</v>
      </c>
      <c r="G39" s="369">
        <v>53.521560575551</v>
      </c>
      <c r="H39" s="371">
        <v>4.0591999999989996</v>
      </c>
      <c r="I39" s="368">
        <v>52.136389999999999</v>
      </c>
      <c r="J39" s="369">
        <v>-1.385170575551</v>
      </c>
      <c r="K39" s="372">
        <v>0.97411939112599999</v>
      </c>
    </row>
    <row r="40" spans="1:11" ht="14.4" customHeight="1" thickBot="1" x14ac:dyDescent="0.35">
      <c r="A40" s="389" t="s">
        <v>241</v>
      </c>
      <c r="B40" s="373">
        <v>6.3396987651850001</v>
      </c>
      <c r="C40" s="373">
        <v>8.5523900000000008</v>
      </c>
      <c r="D40" s="374">
        <v>2.2126912348140002</v>
      </c>
      <c r="E40" s="375">
        <v>1.349021509817</v>
      </c>
      <c r="F40" s="373">
        <v>8.5215605755509998</v>
      </c>
      <c r="G40" s="374">
        <v>8.5215605755509998</v>
      </c>
      <c r="H40" s="376">
        <v>0.50682999999900002</v>
      </c>
      <c r="I40" s="373">
        <v>6.2311699999999997</v>
      </c>
      <c r="J40" s="374">
        <v>-2.2903905755510001</v>
      </c>
      <c r="K40" s="378">
        <v>0.73122404573099997</v>
      </c>
    </row>
    <row r="41" spans="1:11" ht="14.4" customHeight="1" thickBot="1" x14ac:dyDescent="0.35">
      <c r="A41" s="390" t="s">
        <v>242</v>
      </c>
      <c r="B41" s="368">
        <v>4.4386294620950002</v>
      </c>
      <c r="C41" s="368">
        <v>5.4626999999999999</v>
      </c>
      <c r="D41" s="369">
        <v>1.024070537904</v>
      </c>
      <c r="E41" s="370">
        <v>1.230717735429</v>
      </c>
      <c r="F41" s="368">
        <v>4.9981097399200003</v>
      </c>
      <c r="G41" s="369">
        <v>4.9981097399200003</v>
      </c>
      <c r="H41" s="371">
        <v>0.30209999999999998</v>
      </c>
      <c r="I41" s="368">
        <v>3.9192</v>
      </c>
      <c r="J41" s="369">
        <v>-1.0789097399200001</v>
      </c>
      <c r="K41" s="372">
        <v>0.78413644436300001</v>
      </c>
    </row>
    <row r="42" spans="1:11" ht="14.4" customHeight="1" thickBot="1" x14ac:dyDescent="0.35">
      <c r="A42" s="390" t="s">
        <v>243</v>
      </c>
      <c r="B42" s="368">
        <v>1.901069303089</v>
      </c>
      <c r="C42" s="368">
        <v>3.08969</v>
      </c>
      <c r="D42" s="369">
        <v>1.1886206969099999</v>
      </c>
      <c r="E42" s="370">
        <v>1.625237962118</v>
      </c>
      <c r="F42" s="368">
        <v>3.5234508356299998</v>
      </c>
      <c r="G42" s="369">
        <v>3.5234508356299998</v>
      </c>
      <c r="H42" s="371">
        <v>0.20473</v>
      </c>
      <c r="I42" s="368">
        <v>2.3119700000000001</v>
      </c>
      <c r="J42" s="369">
        <v>-1.21148083563</v>
      </c>
      <c r="K42" s="372">
        <v>0.65616638569700003</v>
      </c>
    </row>
    <row r="43" spans="1:11" ht="14.4" customHeight="1" thickBot="1" x14ac:dyDescent="0.35">
      <c r="A43" s="389" t="s">
        <v>244</v>
      </c>
      <c r="B43" s="373">
        <v>3.9999936338570001</v>
      </c>
      <c r="C43" s="373">
        <v>4.32</v>
      </c>
      <c r="D43" s="374">
        <v>0.32000636614200001</v>
      </c>
      <c r="E43" s="375">
        <v>1.080001718861</v>
      </c>
      <c r="F43" s="373">
        <v>4</v>
      </c>
      <c r="G43" s="374">
        <v>4</v>
      </c>
      <c r="H43" s="376">
        <v>0</v>
      </c>
      <c r="I43" s="373">
        <v>4.32</v>
      </c>
      <c r="J43" s="374">
        <v>0.31999999999899997</v>
      </c>
      <c r="K43" s="378">
        <v>1.08</v>
      </c>
    </row>
    <row r="44" spans="1:11" ht="14.4" customHeight="1" thickBot="1" x14ac:dyDescent="0.35">
      <c r="A44" s="390" t="s">
        <v>245</v>
      </c>
      <c r="B44" s="368">
        <v>3.9999936338570001</v>
      </c>
      <c r="C44" s="368">
        <v>4.32</v>
      </c>
      <c r="D44" s="369">
        <v>0.32000636614200001</v>
      </c>
      <c r="E44" s="370">
        <v>1.080001718861</v>
      </c>
      <c r="F44" s="368">
        <v>4</v>
      </c>
      <c r="G44" s="369">
        <v>4</v>
      </c>
      <c r="H44" s="371">
        <v>0</v>
      </c>
      <c r="I44" s="368">
        <v>4.32</v>
      </c>
      <c r="J44" s="369">
        <v>0.31999999999899997</v>
      </c>
      <c r="K44" s="372">
        <v>1.08</v>
      </c>
    </row>
    <row r="45" spans="1:11" ht="14.4" customHeight="1" thickBot="1" x14ac:dyDescent="0.35">
      <c r="A45" s="389" t="s">
        <v>246</v>
      </c>
      <c r="B45" s="373">
        <v>39.839406677074997</v>
      </c>
      <c r="C45" s="373">
        <v>39.543430000000001</v>
      </c>
      <c r="D45" s="374">
        <v>-0.29597667707500003</v>
      </c>
      <c r="E45" s="375">
        <v>0.99257075589800003</v>
      </c>
      <c r="F45" s="373">
        <v>41</v>
      </c>
      <c r="G45" s="374">
        <v>41</v>
      </c>
      <c r="H45" s="376">
        <v>3.5523699999990002</v>
      </c>
      <c r="I45" s="373">
        <v>41.58522</v>
      </c>
      <c r="J45" s="374">
        <v>0.58521999999899998</v>
      </c>
      <c r="K45" s="378">
        <v>1.0142736585359999</v>
      </c>
    </row>
    <row r="46" spans="1:11" ht="14.4" customHeight="1" thickBot="1" x14ac:dyDescent="0.35">
      <c r="A46" s="390" t="s">
        <v>247</v>
      </c>
      <c r="B46" s="368">
        <v>39.839406677074997</v>
      </c>
      <c r="C46" s="368">
        <v>39.543430000000001</v>
      </c>
      <c r="D46" s="369">
        <v>-0.29597667707500003</v>
      </c>
      <c r="E46" s="370">
        <v>0.99257075589800003</v>
      </c>
      <c r="F46" s="368">
        <v>41</v>
      </c>
      <c r="G46" s="369">
        <v>41</v>
      </c>
      <c r="H46" s="371">
        <v>3.5523699999990002</v>
      </c>
      <c r="I46" s="368">
        <v>41.58522</v>
      </c>
      <c r="J46" s="369">
        <v>0.58521999999899998</v>
      </c>
      <c r="K46" s="372">
        <v>1.0142736585359999</v>
      </c>
    </row>
    <row r="47" spans="1:11" ht="14.4" customHeight="1" thickBot="1" x14ac:dyDescent="0.35">
      <c r="A47" s="389" t="s">
        <v>248</v>
      </c>
      <c r="B47" s="373">
        <v>3.9999936338570001</v>
      </c>
      <c r="C47" s="373">
        <v>4.0529999999999999</v>
      </c>
      <c r="D47" s="374">
        <v>5.3006366142000001E-2</v>
      </c>
      <c r="E47" s="375">
        <v>1.013251612625</v>
      </c>
      <c r="F47" s="373">
        <v>0</v>
      </c>
      <c r="G47" s="374">
        <v>0</v>
      </c>
      <c r="H47" s="376">
        <v>0</v>
      </c>
      <c r="I47" s="373">
        <v>0</v>
      </c>
      <c r="J47" s="374">
        <v>0</v>
      </c>
      <c r="K47" s="377" t="s">
        <v>208</v>
      </c>
    </row>
    <row r="48" spans="1:11" ht="14.4" customHeight="1" thickBot="1" x14ac:dyDescent="0.35">
      <c r="A48" s="390" t="s">
        <v>249</v>
      </c>
      <c r="B48" s="368">
        <v>3.9999936338570001</v>
      </c>
      <c r="C48" s="368">
        <v>4.0529999999999999</v>
      </c>
      <c r="D48" s="369">
        <v>5.3006366142000001E-2</v>
      </c>
      <c r="E48" s="370">
        <v>1.013251612625</v>
      </c>
      <c r="F48" s="368">
        <v>0</v>
      </c>
      <c r="G48" s="369">
        <v>0</v>
      </c>
      <c r="H48" s="371">
        <v>0</v>
      </c>
      <c r="I48" s="368">
        <v>0</v>
      </c>
      <c r="J48" s="369">
        <v>0</v>
      </c>
      <c r="K48" s="379" t="s">
        <v>208</v>
      </c>
    </row>
    <row r="49" spans="1:11" ht="14.4" customHeight="1" thickBot="1" x14ac:dyDescent="0.35">
      <c r="A49" s="387" t="s">
        <v>24</v>
      </c>
      <c r="B49" s="368">
        <v>7196.0006496512297</v>
      </c>
      <c r="C49" s="368">
        <v>7683.30123</v>
      </c>
      <c r="D49" s="369">
        <v>487.30058034876998</v>
      </c>
      <c r="E49" s="370">
        <v>1.0677182513000001</v>
      </c>
      <c r="F49" s="368">
        <v>7683</v>
      </c>
      <c r="G49" s="369">
        <v>7683</v>
      </c>
      <c r="H49" s="371">
        <v>712.621839999999</v>
      </c>
      <c r="I49" s="368">
        <v>8217.2832199999993</v>
      </c>
      <c r="J49" s="369">
        <v>534.28321999999798</v>
      </c>
      <c r="K49" s="372">
        <v>1.0695409631649999</v>
      </c>
    </row>
    <row r="50" spans="1:11" ht="14.4" customHeight="1" thickBot="1" x14ac:dyDescent="0.35">
      <c r="A50" s="393" t="s">
        <v>250</v>
      </c>
      <c r="B50" s="373">
        <v>5315.0004798355103</v>
      </c>
      <c r="C50" s="373">
        <v>5678.5010000000002</v>
      </c>
      <c r="D50" s="374">
        <v>363.50052016449598</v>
      </c>
      <c r="E50" s="375">
        <v>1.068391436942</v>
      </c>
      <c r="F50" s="373">
        <v>5654</v>
      </c>
      <c r="G50" s="374">
        <v>5654</v>
      </c>
      <c r="H50" s="376">
        <v>523.99799999999902</v>
      </c>
      <c r="I50" s="373">
        <v>6043.777</v>
      </c>
      <c r="J50" s="374">
        <v>389.77699999999601</v>
      </c>
      <c r="K50" s="378">
        <v>1.068938273788</v>
      </c>
    </row>
    <row r="51" spans="1:11" ht="14.4" customHeight="1" thickBot="1" x14ac:dyDescent="0.35">
      <c r="A51" s="389" t="s">
        <v>251</v>
      </c>
      <c r="B51" s="373">
        <v>5300.00047848131</v>
      </c>
      <c r="C51" s="373">
        <v>5645.9560000000001</v>
      </c>
      <c r="D51" s="374">
        <v>345.95552151868799</v>
      </c>
      <c r="E51" s="375">
        <v>1.065274620808</v>
      </c>
      <c r="F51" s="373">
        <v>5638</v>
      </c>
      <c r="G51" s="374">
        <v>5638</v>
      </c>
      <c r="H51" s="376">
        <v>523.24799999999902</v>
      </c>
      <c r="I51" s="373">
        <v>6031.7380000000003</v>
      </c>
      <c r="J51" s="374">
        <v>393.73799999999801</v>
      </c>
      <c r="K51" s="378">
        <v>1.069836466832</v>
      </c>
    </row>
    <row r="52" spans="1:11" ht="14.4" customHeight="1" thickBot="1" x14ac:dyDescent="0.35">
      <c r="A52" s="390" t="s">
        <v>252</v>
      </c>
      <c r="B52" s="368">
        <v>5300.00047848131</v>
      </c>
      <c r="C52" s="368">
        <v>5645.9560000000001</v>
      </c>
      <c r="D52" s="369">
        <v>345.95552151868799</v>
      </c>
      <c r="E52" s="370">
        <v>1.065274620808</v>
      </c>
      <c r="F52" s="368">
        <v>5638</v>
      </c>
      <c r="G52" s="369">
        <v>5638</v>
      </c>
      <c r="H52" s="371">
        <v>523.24799999999902</v>
      </c>
      <c r="I52" s="368">
        <v>6031.7380000000003</v>
      </c>
      <c r="J52" s="369">
        <v>393.73799999999801</v>
      </c>
      <c r="K52" s="372">
        <v>1.069836466832</v>
      </c>
    </row>
    <row r="53" spans="1:11" ht="14.4" customHeight="1" thickBot="1" x14ac:dyDescent="0.35">
      <c r="A53" s="389" t="s">
        <v>253</v>
      </c>
      <c r="B53" s="373">
        <v>15.000001354191999</v>
      </c>
      <c r="C53" s="373">
        <v>32.545000000000002</v>
      </c>
      <c r="D53" s="374">
        <v>17.544998645806999</v>
      </c>
      <c r="E53" s="375">
        <v>2.1696664707900002</v>
      </c>
      <c r="F53" s="373">
        <v>16</v>
      </c>
      <c r="G53" s="374">
        <v>16</v>
      </c>
      <c r="H53" s="376">
        <v>0</v>
      </c>
      <c r="I53" s="373">
        <v>6.2889999999999997</v>
      </c>
      <c r="J53" s="374">
        <v>-9.7110000000000003</v>
      </c>
      <c r="K53" s="378">
        <v>0.39306249999999998</v>
      </c>
    </row>
    <row r="54" spans="1:11" ht="14.4" customHeight="1" thickBot="1" x14ac:dyDescent="0.35">
      <c r="A54" s="390" t="s">
        <v>254</v>
      </c>
      <c r="B54" s="368">
        <v>15.000001354191999</v>
      </c>
      <c r="C54" s="368">
        <v>32.545000000000002</v>
      </c>
      <c r="D54" s="369">
        <v>17.544998645806999</v>
      </c>
      <c r="E54" s="370">
        <v>2.1696664707900002</v>
      </c>
      <c r="F54" s="368">
        <v>16</v>
      </c>
      <c r="G54" s="369">
        <v>16</v>
      </c>
      <c r="H54" s="371">
        <v>0</v>
      </c>
      <c r="I54" s="368">
        <v>6.2889999999999997</v>
      </c>
      <c r="J54" s="369">
        <v>-9.7110000000000003</v>
      </c>
      <c r="K54" s="372">
        <v>0.39306249999999998</v>
      </c>
    </row>
    <row r="55" spans="1:11" ht="14.4" customHeight="1" thickBot="1" x14ac:dyDescent="0.35">
      <c r="A55" s="392" t="s">
        <v>255</v>
      </c>
      <c r="B55" s="368">
        <v>0</v>
      </c>
      <c r="C55" s="368">
        <v>0</v>
      </c>
      <c r="D55" s="369">
        <v>0</v>
      </c>
      <c r="E55" s="370">
        <v>1</v>
      </c>
      <c r="F55" s="368">
        <v>0</v>
      </c>
      <c r="G55" s="369">
        <v>0</v>
      </c>
      <c r="H55" s="371">
        <v>0.74999999999900002</v>
      </c>
      <c r="I55" s="368">
        <v>5.75</v>
      </c>
      <c r="J55" s="369">
        <v>5.75</v>
      </c>
      <c r="K55" s="379" t="s">
        <v>224</v>
      </c>
    </row>
    <row r="56" spans="1:11" ht="14.4" customHeight="1" thickBot="1" x14ac:dyDescent="0.35">
      <c r="A56" s="390" t="s">
        <v>256</v>
      </c>
      <c r="B56" s="368">
        <v>0</v>
      </c>
      <c r="C56" s="368">
        <v>0</v>
      </c>
      <c r="D56" s="369">
        <v>0</v>
      </c>
      <c r="E56" s="370">
        <v>1</v>
      </c>
      <c r="F56" s="368">
        <v>0</v>
      </c>
      <c r="G56" s="369">
        <v>0</v>
      </c>
      <c r="H56" s="371">
        <v>0.74999999999900002</v>
      </c>
      <c r="I56" s="368">
        <v>5.75</v>
      </c>
      <c r="J56" s="369">
        <v>5.75</v>
      </c>
      <c r="K56" s="379" t="s">
        <v>224</v>
      </c>
    </row>
    <row r="57" spans="1:11" ht="14.4" customHeight="1" thickBot="1" x14ac:dyDescent="0.35">
      <c r="A57" s="388" t="s">
        <v>257</v>
      </c>
      <c r="B57" s="368">
        <v>1802.0001626836499</v>
      </c>
      <c r="C57" s="368">
        <v>1919.6213399999999</v>
      </c>
      <c r="D57" s="369">
        <v>117.62117731635399</v>
      </c>
      <c r="E57" s="370">
        <v>1.065272567534</v>
      </c>
      <c r="F57" s="368">
        <v>1916</v>
      </c>
      <c r="G57" s="369">
        <v>1916</v>
      </c>
      <c r="H57" s="371">
        <v>178.16050000000001</v>
      </c>
      <c r="I57" s="368">
        <v>2052.74514</v>
      </c>
      <c r="J57" s="369">
        <v>136.74514000000201</v>
      </c>
      <c r="K57" s="372">
        <v>1.0713701148220001</v>
      </c>
    </row>
    <row r="58" spans="1:11" ht="14.4" customHeight="1" thickBot="1" x14ac:dyDescent="0.35">
      <c r="A58" s="389" t="s">
        <v>258</v>
      </c>
      <c r="B58" s="373">
        <v>477.000043063318</v>
      </c>
      <c r="C58" s="373">
        <v>508.13234</v>
      </c>
      <c r="D58" s="374">
        <v>31.132296936681001</v>
      </c>
      <c r="E58" s="375">
        <v>1.065266863995</v>
      </c>
      <c r="F58" s="373">
        <v>506.99999999999801</v>
      </c>
      <c r="G58" s="374">
        <v>506.99999999999801</v>
      </c>
      <c r="H58" s="376">
        <v>47.160999999998999</v>
      </c>
      <c r="I58" s="373">
        <v>543.37314000000003</v>
      </c>
      <c r="J58" s="374">
        <v>36.373140000002003</v>
      </c>
      <c r="K58" s="378">
        <v>1.0717418934909999</v>
      </c>
    </row>
    <row r="59" spans="1:11" ht="14.4" customHeight="1" thickBot="1" x14ac:dyDescent="0.35">
      <c r="A59" s="390" t="s">
        <v>259</v>
      </c>
      <c r="B59" s="368">
        <v>477.000043063318</v>
      </c>
      <c r="C59" s="368">
        <v>508.13234</v>
      </c>
      <c r="D59" s="369">
        <v>31.132296936681001</v>
      </c>
      <c r="E59" s="370">
        <v>1.065266863995</v>
      </c>
      <c r="F59" s="368">
        <v>506.99999999999801</v>
      </c>
      <c r="G59" s="369">
        <v>506.99999999999801</v>
      </c>
      <c r="H59" s="371">
        <v>47.160999999998999</v>
      </c>
      <c r="I59" s="368">
        <v>543.37314000000003</v>
      </c>
      <c r="J59" s="369">
        <v>36.373140000002003</v>
      </c>
      <c r="K59" s="372">
        <v>1.0717418934909999</v>
      </c>
    </row>
    <row r="60" spans="1:11" ht="14.4" customHeight="1" thickBot="1" x14ac:dyDescent="0.35">
      <c r="A60" s="389" t="s">
        <v>260</v>
      </c>
      <c r="B60" s="373">
        <v>1325.00011962033</v>
      </c>
      <c r="C60" s="373">
        <v>1411.489</v>
      </c>
      <c r="D60" s="374">
        <v>86.488880379671002</v>
      </c>
      <c r="E60" s="375">
        <v>1.065274620808</v>
      </c>
      <c r="F60" s="373">
        <v>1409</v>
      </c>
      <c r="G60" s="374">
        <v>1409</v>
      </c>
      <c r="H60" s="376">
        <v>130.99950000000001</v>
      </c>
      <c r="I60" s="373">
        <v>1509.3720000000001</v>
      </c>
      <c r="J60" s="374">
        <v>100.37200000000099</v>
      </c>
      <c r="K60" s="378">
        <v>1.0712363378280001</v>
      </c>
    </row>
    <row r="61" spans="1:11" ht="14.4" customHeight="1" thickBot="1" x14ac:dyDescent="0.35">
      <c r="A61" s="390" t="s">
        <v>261</v>
      </c>
      <c r="B61" s="368">
        <v>1325.00011962033</v>
      </c>
      <c r="C61" s="368">
        <v>1411.489</v>
      </c>
      <c r="D61" s="369">
        <v>86.488880379671002</v>
      </c>
      <c r="E61" s="370">
        <v>1.065274620808</v>
      </c>
      <c r="F61" s="368">
        <v>1409</v>
      </c>
      <c r="G61" s="369">
        <v>1409</v>
      </c>
      <c r="H61" s="371">
        <v>130.99950000000001</v>
      </c>
      <c r="I61" s="368">
        <v>1509.3720000000001</v>
      </c>
      <c r="J61" s="369">
        <v>100.37200000000099</v>
      </c>
      <c r="K61" s="372">
        <v>1.0712363378280001</v>
      </c>
    </row>
    <row r="62" spans="1:11" ht="14.4" customHeight="1" thickBot="1" x14ac:dyDescent="0.35">
      <c r="A62" s="388" t="s">
        <v>262</v>
      </c>
      <c r="B62" s="368">
        <v>79.00000713208</v>
      </c>
      <c r="C62" s="368">
        <v>85.178889999999996</v>
      </c>
      <c r="D62" s="369">
        <v>6.1788828679199996</v>
      </c>
      <c r="E62" s="370">
        <v>1.078213700127</v>
      </c>
      <c r="F62" s="368">
        <v>113</v>
      </c>
      <c r="G62" s="369">
        <v>113</v>
      </c>
      <c r="H62" s="371">
        <v>10.463340000000001</v>
      </c>
      <c r="I62" s="368">
        <v>120.76108000000001</v>
      </c>
      <c r="J62" s="369">
        <v>7.7610799999989997</v>
      </c>
      <c r="K62" s="372">
        <v>1.068682123893</v>
      </c>
    </row>
    <row r="63" spans="1:11" ht="14.4" customHeight="1" thickBot="1" x14ac:dyDescent="0.35">
      <c r="A63" s="389" t="s">
        <v>263</v>
      </c>
      <c r="B63" s="373">
        <v>79.00000713208</v>
      </c>
      <c r="C63" s="373">
        <v>85.178889999999996</v>
      </c>
      <c r="D63" s="374">
        <v>6.1788828679199996</v>
      </c>
      <c r="E63" s="375">
        <v>1.078213700127</v>
      </c>
      <c r="F63" s="373">
        <v>113</v>
      </c>
      <c r="G63" s="374">
        <v>113</v>
      </c>
      <c r="H63" s="376">
        <v>10.463340000000001</v>
      </c>
      <c r="I63" s="373">
        <v>120.76108000000001</v>
      </c>
      <c r="J63" s="374">
        <v>7.7610799999989997</v>
      </c>
      <c r="K63" s="378">
        <v>1.068682123893</v>
      </c>
    </row>
    <row r="64" spans="1:11" ht="14.4" customHeight="1" thickBot="1" x14ac:dyDescent="0.35">
      <c r="A64" s="390" t="s">
        <v>264</v>
      </c>
      <c r="B64" s="368">
        <v>79.00000713208</v>
      </c>
      <c r="C64" s="368">
        <v>85.178889999999996</v>
      </c>
      <c r="D64" s="369">
        <v>6.1788828679199996</v>
      </c>
      <c r="E64" s="370">
        <v>1.078213700127</v>
      </c>
      <c r="F64" s="368">
        <v>113</v>
      </c>
      <c r="G64" s="369">
        <v>113</v>
      </c>
      <c r="H64" s="371">
        <v>10.463340000000001</v>
      </c>
      <c r="I64" s="368">
        <v>120.76108000000001</v>
      </c>
      <c r="J64" s="369">
        <v>7.7610799999989997</v>
      </c>
      <c r="K64" s="372">
        <v>1.068682123893</v>
      </c>
    </row>
    <row r="65" spans="1:11" ht="14.4" customHeight="1" thickBot="1" x14ac:dyDescent="0.35">
      <c r="A65" s="387" t="s">
        <v>265</v>
      </c>
      <c r="B65" s="368">
        <v>0</v>
      </c>
      <c r="C65" s="368">
        <v>83.55</v>
      </c>
      <c r="D65" s="369">
        <v>83.55</v>
      </c>
      <c r="E65" s="381" t="s">
        <v>208</v>
      </c>
      <c r="F65" s="368">
        <v>0</v>
      </c>
      <c r="G65" s="369">
        <v>0</v>
      </c>
      <c r="H65" s="371">
        <v>4.2999999999989997</v>
      </c>
      <c r="I65" s="368">
        <v>136.45670000000001</v>
      </c>
      <c r="J65" s="369">
        <v>136.45670000000001</v>
      </c>
      <c r="K65" s="379" t="s">
        <v>208</v>
      </c>
    </row>
    <row r="66" spans="1:11" ht="14.4" customHeight="1" thickBot="1" x14ac:dyDescent="0.35">
      <c r="A66" s="388" t="s">
        <v>266</v>
      </c>
      <c r="B66" s="368">
        <v>0</v>
      </c>
      <c r="C66" s="368">
        <v>83.55</v>
      </c>
      <c r="D66" s="369">
        <v>83.55</v>
      </c>
      <c r="E66" s="381" t="s">
        <v>208</v>
      </c>
      <c r="F66" s="368">
        <v>0</v>
      </c>
      <c r="G66" s="369">
        <v>0</v>
      </c>
      <c r="H66" s="371">
        <v>4.2999999999989997</v>
      </c>
      <c r="I66" s="368">
        <v>136.45670000000001</v>
      </c>
      <c r="J66" s="369">
        <v>136.45670000000001</v>
      </c>
      <c r="K66" s="379" t="s">
        <v>208</v>
      </c>
    </row>
    <row r="67" spans="1:11" ht="14.4" customHeight="1" thickBot="1" x14ac:dyDescent="0.35">
      <c r="A67" s="389" t="s">
        <v>267</v>
      </c>
      <c r="B67" s="373">
        <v>0</v>
      </c>
      <c r="C67" s="373">
        <v>0</v>
      </c>
      <c r="D67" s="374">
        <v>0</v>
      </c>
      <c r="E67" s="380" t="s">
        <v>208</v>
      </c>
      <c r="F67" s="373">
        <v>0</v>
      </c>
      <c r="G67" s="374">
        <v>0</v>
      </c>
      <c r="H67" s="376">
        <v>1.9</v>
      </c>
      <c r="I67" s="373">
        <v>24.9407</v>
      </c>
      <c r="J67" s="374">
        <v>24.9407</v>
      </c>
      <c r="K67" s="377" t="s">
        <v>224</v>
      </c>
    </row>
    <row r="68" spans="1:11" ht="14.4" customHeight="1" thickBot="1" x14ac:dyDescent="0.35">
      <c r="A68" s="390" t="s">
        <v>268</v>
      </c>
      <c r="B68" s="368">
        <v>0</v>
      </c>
      <c r="C68" s="368">
        <v>0</v>
      </c>
      <c r="D68" s="369">
        <v>0</v>
      </c>
      <c r="E68" s="381" t="s">
        <v>208</v>
      </c>
      <c r="F68" s="368">
        <v>0</v>
      </c>
      <c r="G68" s="369">
        <v>0</v>
      </c>
      <c r="H68" s="371">
        <v>0</v>
      </c>
      <c r="I68" s="368">
        <v>0.74070000000000003</v>
      </c>
      <c r="J68" s="369">
        <v>0.74070000000000003</v>
      </c>
      <c r="K68" s="379" t="s">
        <v>224</v>
      </c>
    </row>
    <row r="69" spans="1:11" ht="14.4" customHeight="1" thickBot="1" x14ac:dyDescent="0.35">
      <c r="A69" s="390" t="s">
        <v>269</v>
      </c>
      <c r="B69" s="368">
        <v>0</v>
      </c>
      <c r="C69" s="368">
        <v>0</v>
      </c>
      <c r="D69" s="369">
        <v>0</v>
      </c>
      <c r="E69" s="381" t="s">
        <v>208</v>
      </c>
      <c r="F69" s="368">
        <v>0</v>
      </c>
      <c r="G69" s="369">
        <v>0</v>
      </c>
      <c r="H69" s="371">
        <v>1.9</v>
      </c>
      <c r="I69" s="368">
        <v>24.2</v>
      </c>
      <c r="J69" s="369">
        <v>24.2</v>
      </c>
      <c r="K69" s="379" t="s">
        <v>224</v>
      </c>
    </row>
    <row r="70" spans="1:11" ht="14.4" customHeight="1" thickBot="1" x14ac:dyDescent="0.35">
      <c r="A70" s="392" t="s">
        <v>270</v>
      </c>
      <c r="B70" s="368">
        <v>0</v>
      </c>
      <c r="C70" s="368">
        <v>0</v>
      </c>
      <c r="D70" s="369">
        <v>0</v>
      </c>
      <c r="E70" s="370">
        <v>1</v>
      </c>
      <c r="F70" s="368">
        <v>0</v>
      </c>
      <c r="G70" s="369">
        <v>0</v>
      </c>
      <c r="H70" s="371">
        <v>0</v>
      </c>
      <c r="I70" s="368">
        <v>5.7</v>
      </c>
      <c r="J70" s="369">
        <v>5.7</v>
      </c>
      <c r="K70" s="379" t="s">
        <v>224</v>
      </c>
    </row>
    <row r="71" spans="1:11" ht="14.4" customHeight="1" thickBot="1" x14ac:dyDescent="0.35">
      <c r="A71" s="390" t="s">
        <v>271</v>
      </c>
      <c r="B71" s="368">
        <v>0</v>
      </c>
      <c r="C71" s="368">
        <v>0</v>
      </c>
      <c r="D71" s="369">
        <v>0</v>
      </c>
      <c r="E71" s="370">
        <v>1</v>
      </c>
      <c r="F71" s="368">
        <v>0</v>
      </c>
      <c r="G71" s="369">
        <v>0</v>
      </c>
      <c r="H71" s="371">
        <v>0</v>
      </c>
      <c r="I71" s="368">
        <v>5.7</v>
      </c>
      <c r="J71" s="369">
        <v>5.7</v>
      </c>
      <c r="K71" s="379" t="s">
        <v>224</v>
      </c>
    </row>
    <row r="72" spans="1:11" ht="14.4" customHeight="1" thickBot="1" x14ac:dyDescent="0.35">
      <c r="A72" s="392" t="s">
        <v>272</v>
      </c>
      <c r="B72" s="368">
        <v>0</v>
      </c>
      <c r="C72" s="368">
        <v>83.55</v>
      </c>
      <c r="D72" s="369">
        <v>83.55</v>
      </c>
      <c r="E72" s="381" t="s">
        <v>208</v>
      </c>
      <c r="F72" s="368">
        <v>0</v>
      </c>
      <c r="G72" s="369">
        <v>0</v>
      </c>
      <c r="H72" s="371">
        <v>2.4</v>
      </c>
      <c r="I72" s="368">
        <v>105.816</v>
      </c>
      <c r="J72" s="369">
        <v>105.816</v>
      </c>
      <c r="K72" s="379" t="s">
        <v>208</v>
      </c>
    </row>
    <row r="73" spans="1:11" ht="14.4" customHeight="1" thickBot="1" x14ac:dyDescent="0.35">
      <c r="A73" s="390" t="s">
        <v>273</v>
      </c>
      <c r="B73" s="368">
        <v>0</v>
      </c>
      <c r="C73" s="368">
        <v>83.55</v>
      </c>
      <c r="D73" s="369">
        <v>83.55</v>
      </c>
      <c r="E73" s="381" t="s">
        <v>208</v>
      </c>
      <c r="F73" s="368">
        <v>0</v>
      </c>
      <c r="G73" s="369">
        <v>0</v>
      </c>
      <c r="H73" s="371">
        <v>2.4</v>
      </c>
      <c r="I73" s="368">
        <v>105.816</v>
      </c>
      <c r="J73" s="369">
        <v>105.816</v>
      </c>
      <c r="K73" s="379" t="s">
        <v>208</v>
      </c>
    </row>
    <row r="74" spans="1:11" ht="14.4" customHeight="1" thickBot="1" x14ac:dyDescent="0.35">
      <c r="A74" s="387" t="s">
        <v>274</v>
      </c>
      <c r="B74" s="368">
        <v>43.000099298164997</v>
      </c>
      <c r="C74" s="368">
        <v>43.17</v>
      </c>
      <c r="D74" s="369">
        <v>0.169900701834</v>
      </c>
      <c r="E74" s="370">
        <v>1.0039511699879999</v>
      </c>
      <c r="F74" s="368">
        <v>45</v>
      </c>
      <c r="G74" s="369">
        <v>45</v>
      </c>
      <c r="H74" s="371">
        <v>3.756999999999</v>
      </c>
      <c r="I74" s="368">
        <v>45.02</v>
      </c>
      <c r="J74" s="369">
        <v>1.9999999999000002E-2</v>
      </c>
      <c r="K74" s="372">
        <v>1.0004444444439999</v>
      </c>
    </row>
    <row r="75" spans="1:11" ht="14.4" customHeight="1" thickBot="1" x14ac:dyDescent="0.35">
      <c r="A75" s="388" t="s">
        <v>275</v>
      </c>
      <c r="B75" s="368">
        <v>43.000099298164997</v>
      </c>
      <c r="C75" s="368">
        <v>43.17</v>
      </c>
      <c r="D75" s="369">
        <v>0.169900701834</v>
      </c>
      <c r="E75" s="370">
        <v>1.0039511699879999</v>
      </c>
      <c r="F75" s="368">
        <v>45</v>
      </c>
      <c r="G75" s="369">
        <v>45</v>
      </c>
      <c r="H75" s="371">
        <v>3.756999999999</v>
      </c>
      <c r="I75" s="368">
        <v>45.02</v>
      </c>
      <c r="J75" s="369">
        <v>1.9999999999000002E-2</v>
      </c>
      <c r="K75" s="372">
        <v>1.0004444444439999</v>
      </c>
    </row>
    <row r="76" spans="1:11" ht="14.4" customHeight="1" thickBot="1" x14ac:dyDescent="0.35">
      <c r="A76" s="389" t="s">
        <v>276</v>
      </c>
      <c r="B76" s="373">
        <v>43.000099298164997</v>
      </c>
      <c r="C76" s="373">
        <v>43.17</v>
      </c>
      <c r="D76" s="374">
        <v>0.169900701834</v>
      </c>
      <c r="E76" s="375">
        <v>1.0039511699879999</v>
      </c>
      <c r="F76" s="373">
        <v>45</v>
      </c>
      <c r="G76" s="374">
        <v>45</v>
      </c>
      <c r="H76" s="376">
        <v>3.756999999999</v>
      </c>
      <c r="I76" s="373">
        <v>45.02</v>
      </c>
      <c r="J76" s="374">
        <v>1.9999999999000002E-2</v>
      </c>
      <c r="K76" s="378">
        <v>1.0004444444439999</v>
      </c>
    </row>
    <row r="77" spans="1:11" ht="14.4" customHeight="1" thickBot="1" x14ac:dyDescent="0.35">
      <c r="A77" s="390" t="s">
        <v>277</v>
      </c>
      <c r="B77" s="368">
        <v>25.000057731491001</v>
      </c>
      <c r="C77" s="368">
        <v>25.434000000000001</v>
      </c>
      <c r="D77" s="369">
        <v>0.433942268508</v>
      </c>
      <c r="E77" s="370">
        <v>1.0173576506569999</v>
      </c>
      <c r="F77" s="368">
        <v>27</v>
      </c>
      <c r="G77" s="369">
        <v>27</v>
      </c>
      <c r="H77" s="371">
        <v>2.2669999999999999</v>
      </c>
      <c r="I77" s="368">
        <v>27.146000000000001</v>
      </c>
      <c r="J77" s="369">
        <v>0.14599999999900001</v>
      </c>
      <c r="K77" s="372">
        <v>1.0054074074070001</v>
      </c>
    </row>
    <row r="78" spans="1:11" ht="14.4" customHeight="1" thickBot="1" x14ac:dyDescent="0.35">
      <c r="A78" s="390" t="s">
        <v>278</v>
      </c>
      <c r="B78" s="368">
        <v>10.000023092596001</v>
      </c>
      <c r="C78" s="368">
        <v>9.9120000000000008</v>
      </c>
      <c r="D78" s="369">
        <v>-8.8023092595999997E-2</v>
      </c>
      <c r="E78" s="370">
        <v>0.99119771106700005</v>
      </c>
      <c r="F78" s="368">
        <v>10</v>
      </c>
      <c r="G78" s="369">
        <v>10</v>
      </c>
      <c r="H78" s="371">
        <v>0.82599999999899998</v>
      </c>
      <c r="I78" s="368">
        <v>9.9120000000000008</v>
      </c>
      <c r="J78" s="369">
        <v>-8.7999999999999995E-2</v>
      </c>
      <c r="K78" s="372">
        <v>0.99119999999899999</v>
      </c>
    </row>
    <row r="79" spans="1:11" ht="14.4" customHeight="1" thickBot="1" x14ac:dyDescent="0.35">
      <c r="A79" s="390" t="s">
        <v>279</v>
      </c>
      <c r="B79" s="368">
        <v>8.0000184740770006</v>
      </c>
      <c r="C79" s="368">
        <v>7.8239999999999998</v>
      </c>
      <c r="D79" s="369">
        <v>-0.176018474077</v>
      </c>
      <c r="E79" s="370">
        <v>0.97799774154899999</v>
      </c>
      <c r="F79" s="368">
        <v>8</v>
      </c>
      <c r="G79" s="369">
        <v>8</v>
      </c>
      <c r="H79" s="371">
        <v>0.66399999999899995</v>
      </c>
      <c r="I79" s="368">
        <v>7.9619999999999997</v>
      </c>
      <c r="J79" s="369">
        <v>-3.7999999999999999E-2</v>
      </c>
      <c r="K79" s="372">
        <v>0.99524999999899999</v>
      </c>
    </row>
    <row r="80" spans="1:11" ht="14.4" customHeight="1" thickBot="1" x14ac:dyDescent="0.35">
      <c r="A80" s="386" t="s">
        <v>280</v>
      </c>
      <c r="B80" s="368">
        <v>8846.4635074222206</v>
      </c>
      <c r="C80" s="368">
        <v>9514.4940100000003</v>
      </c>
      <c r="D80" s="369">
        <v>668.030502577785</v>
      </c>
      <c r="E80" s="370">
        <v>1.0755138482190001</v>
      </c>
      <c r="F80" s="368">
        <v>9565.3450051072996</v>
      </c>
      <c r="G80" s="369">
        <v>9565.3450051072996</v>
      </c>
      <c r="H80" s="371">
        <v>537.39485000000002</v>
      </c>
      <c r="I80" s="368">
        <v>9729.9359100000001</v>
      </c>
      <c r="J80" s="369">
        <v>164.590904892704</v>
      </c>
      <c r="K80" s="372">
        <v>1.017207001399</v>
      </c>
    </row>
    <row r="81" spans="1:11" ht="14.4" customHeight="1" thickBot="1" x14ac:dyDescent="0.35">
      <c r="A81" s="387" t="s">
        <v>281</v>
      </c>
      <c r="B81" s="368">
        <v>8806.0725152696305</v>
      </c>
      <c r="C81" s="368">
        <v>9471.5033600000006</v>
      </c>
      <c r="D81" s="369">
        <v>665.43084473037004</v>
      </c>
      <c r="E81" s="370">
        <v>1.075564997174</v>
      </c>
      <c r="F81" s="368">
        <v>9525.7046443160707</v>
      </c>
      <c r="G81" s="369">
        <v>9525.7046443160707</v>
      </c>
      <c r="H81" s="371">
        <v>533.52098999999998</v>
      </c>
      <c r="I81" s="368">
        <v>9686.66633</v>
      </c>
      <c r="J81" s="369">
        <v>160.96168568393699</v>
      </c>
      <c r="K81" s="372">
        <v>1.0168976145799999</v>
      </c>
    </row>
    <row r="82" spans="1:11" ht="14.4" customHeight="1" thickBot="1" x14ac:dyDescent="0.35">
      <c r="A82" s="388" t="s">
        <v>282</v>
      </c>
      <c r="B82" s="368">
        <v>8806.0725152696305</v>
      </c>
      <c r="C82" s="368">
        <v>9471.5033600000006</v>
      </c>
      <c r="D82" s="369">
        <v>665.43084473037004</v>
      </c>
      <c r="E82" s="370">
        <v>1.075564997174</v>
      </c>
      <c r="F82" s="368">
        <v>9525.7046443160707</v>
      </c>
      <c r="G82" s="369">
        <v>9525.7046443160707</v>
      </c>
      <c r="H82" s="371">
        <v>533.52098999999998</v>
      </c>
      <c r="I82" s="368">
        <v>9686.66633</v>
      </c>
      <c r="J82" s="369">
        <v>160.96168568393699</v>
      </c>
      <c r="K82" s="372">
        <v>1.0168976145799999</v>
      </c>
    </row>
    <row r="83" spans="1:11" ht="14.4" customHeight="1" thickBot="1" x14ac:dyDescent="0.35">
      <c r="A83" s="389" t="s">
        <v>283</v>
      </c>
      <c r="B83" s="373">
        <v>25.256597930760002</v>
      </c>
      <c r="C83" s="373">
        <v>59.369320000000002</v>
      </c>
      <c r="D83" s="374">
        <v>34.112722069238998</v>
      </c>
      <c r="E83" s="375">
        <v>2.3506459643830002</v>
      </c>
      <c r="F83" s="373">
        <v>60</v>
      </c>
      <c r="G83" s="374">
        <v>60</v>
      </c>
      <c r="H83" s="376">
        <v>1.98702</v>
      </c>
      <c r="I83" s="373">
        <v>38.94462</v>
      </c>
      <c r="J83" s="374">
        <v>-21.05538</v>
      </c>
      <c r="K83" s="378">
        <v>0.64907700000000002</v>
      </c>
    </row>
    <row r="84" spans="1:11" ht="14.4" customHeight="1" thickBot="1" x14ac:dyDescent="0.35">
      <c r="A84" s="390" t="s">
        <v>284</v>
      </c>
      <c r="B84" s="368">
        <v>2.3863759235059998</v>
      </c>
      <c r="C84" s="368">
        <v>0</v>
      </c>
      <c r="D84" s="369">
        <v>-2.3863759235059998</v>
      </c>
      <c r="E84" s="370">
        <v>0</v>
      </c>
      <c r="F84" s="368">
        <v>0</v>
      </c>
      <c r="G84" s="369">
        <v>0</v>
      </c>
      <c r="H84" s="371">
        <v>0</v>
      </c>
      <c r="I84" s="368">
        <v>0</v>
      </c>
      <c r="J84" s="369">
        <v>0</v>
      </c>
      <c r="K84" s="372">
        <v>0</v>
      </c>
    </row>
    <row r="85" spans="1:11" ht="14.4" customHeight="1" thickBot="1" x14ac:dyDescent="0.35">
      <c r="A85" s="390" t="s">
        <v>285</v>
      </c>
      <c r="B85" s="368">
        <v>22.870222007252998</v>
      </c>
      <c r="C85" s="368">
        <v>59.369320000000002</v>
      </c>
      <c r="D85" s="369">
        <v>36.499097992746002</v>
      </c>
      <c r="E85" s="370">
        <v>2.595922329969</v>
      </c>
      <c r="F85" s="368">
        <v>60</v>
      </c>
      <c r="G85" s="369">
        <v>60</v>
      </c>
      <c r="H85" s="371">
        <v>1.98702</v>
      </c>
      <c r="I85" s="368">
        <v>38.94462</v>
      </c>
      <c r="J85" s="369">
        <v>-21.05538</v>
      </c>
      <c r="K85" s="372">
        <v>0.64907700000000002</v>
      </c>
    </row>
    <row r="86" spans="1:11" ht="14.4" customHeight="1" thickBot="1" x14ac:dyDescent="0.35">
      <c r="A86" s="389" t="s">
        <v>286</v>
      </c>
      <c r="B86" s="373">
        <v>22.817816053093001</v>
      </c>
      <c r="C86" s="373">
        <v>20.674399999999999</v>
      </c>
      <c r="D86" s="374">
        <v>-2.143416053093</v>
      </c>
      <c r="E86" s="375">
        <v>0.90606392618300002</v>
      </c>
      <c r="F86" s="373">
        <v>26.704644316067998</v>
      </c>
      <c r="G86" s="374">
        <v>26.704644316067998</v>
      </c>
      <c r="H86" s="376">
        <v>0</v>
      </c>
      <c r="I86" s="373">
        <v>2.1397499999999998</v>
      </c>
      <c r="J86" s="374">
        <v>-24.564894316067999</v>
      </c>
      <c r="K86" s="378">
        <v>8.0126511878000004E-2</v>
      </c>
    </row>
    <row r="87" spans="1:11" ht="14.4" customHeight="1" thickBot="1" x14ac:dyDescent="0.35">
      <c r="A87" s="390" t="s">
        <v>287</v>
      </c>
      <c r="B87" s="368">
        <v>13.000001303492001</v>
      </c>
      <c r="C87" s="368">
        <v>20.674399999999999</v>
      </c>
      <c r="D87" s="369">
        <v>7.6743986965069997</v>
      </c>
      <c r="E87" s="370">
        <v>1.5903383020770001</v>
      </c>
      <c r="F87" s="368">
        <v>21.704644316067998</v>
      </c>
      <c r="G87" s="369">
        <v>21.704644316067998</v>
      </c>
      <c r="H87" s="371">
        <v>0</v>
      </c>
      <c r="I87" s="368">
        <v>2.1397499999999998</v>
      </c>
      <c r="J87" s="369">
        <v>-19.564894316067999</v>
      </c>
      <c r="K87" s="372">
        <v>9.8584891272E-2</v>
      </c>
    </row>
    <row r="88" spans="1:11" ht="14.4" customHeight="1" thickBot="1" x14ac:dyDescent="0.35">
      <c r="A88" s="390" t="s">
        <v>288</v>
      </c>
      <c r="B88" s="368">
        <v>9.8178147496010002</v>
      </c>
      <c r="C88" s="368">
        <v>0</v>
      </c>
      <c r="D88" s="369">
        <v>-9.8178147496010002</v>
      </c>
      <c r="E88" s="370">
        <v>0</v>
      </c>
      <c r="F88" s="368">
        <v>5</v>
      </c>
      <c r="G88" s="369">
        <v>5</v>
      </c>
      <c r="H88" s="371">
        <v>0</v>
      </c>
      <c r="I88" s="368">
        <v>0</v>
      </c>
      <c r="J88" s="369">
        <v>-5</v>
      </c>
      <c r="K88" s="372">
        <v>0</v>
      </c>
    </row>
    <row r="89" spans="1:11" ht="14.4" customHeight="1" thickBot="1" x14ac:dyDescent="0.35">
      <c r="A89" s="389" t="s">
        <v>289</v>
      </c>
      <c r="B89" s="373">
        <v>11.997224336101</v>
      </c>
      <c r="C89" s="373">
        <v>5.5014000000000003</v>
      </c>
      <c r="D89" s="374">
        <v>-6.4958243361010002</v>
      </c>
      <c r="E89" s="375">
        <v>0.45855606645899999</v>
      </c>
      <c r="F89" s="373">
        <v>18</v>
      </c>
      <c r="G89" s="374">
        <v>18</v>
      </c>
      <c r="H89" s="376">
        <v>0</v>
      </c>
      <c r="I89" s="373">
        <v>2.5850599999999999</v>
      </c>
      <c r="J89" s="374">
        <v>-15.41494</v>
      </c>
      <c r="K89" s="378">
        <v>0.14361444444400001</v>
      </c>
    </row>
    <row r="90" spans="1:11" ht="14.4" customHeight="1" thickBot="1" x14ac:dyDescent="0.35">
      <c r="A90" s="390" t="s">
        <v>290</v>
      </c>
      <c r="B90" s="368">
        <v>1.9972233334139999</v>
      </c>
      <c r="C90" s="368">
        <v>3.7584</v>
      </c>
      <c r="D90" s="369">
        <v>1.7611766665849999</v>
      </c>
      <c r="E90" s="370">
        <v>1.881812583059</v>
      </c>
      <c r="F90" s="368">
        <v>3</v>
      </c>
      <c r="G90" s="369">
        <v>3</v>
      </c>
      <c r="H90" s="371">
        <v>0</v>
      </c>
      <c r="I90" s="368">
        <v>2.5850599999999999</v>
      </c>
      <c r="J90" s="369">
        <v>-0.41493999999999998</v>
      </c>
      <c r="K90" s="372">
        <v>0.86168666666600002</v>
      </c>
    </row>
    <row r="91" spans="1:11" ht="14.4" customHeight="1" thickBot="1" x14ac:dyDescent="0.35">
      <c r="A91" s="390" t="s">
        <v>291</v>
      </c>
      <c r="B91" s="368">
        <v>10.000001002686</v>
      </c>
      <c r="C91" s="368">
        <v>1.7430000000000001</v>
      </c>
      <c r="D91" s="369">
        <v>-8.2570010026859997</v>
      </c>
      <c r="E91" s="370">
        <v>0.174299982523</v>
      </c>
      <c r="F91" s="368">
        <v>15</v>
      </c>
      <c r="G91" s="369">
        <v>15</v>
      </c>
      <c r="H91" s="371">
        <v>0</v>
      </c>
      <c r="I91" s="368">
        <v>0</v>
      </c>
      <c r="J91" s="369">
        <v>-15</v>
      </c>
      <c r="K91" s="372">
        <v>0</v>
      </c>
    </row>
    <row r="92" spans="1:11" ht="14.4" customHeight="1" thickBot="1" x14ac:dyDescent="0.35">
      <c r="A92" s="389" t="s">
        <v>292</v>
      </c>
      <c r="B92" s="373">
        <v>8746.0008769496799</v>
      </c>
      <c r="C92" s="373">
        <v>8854.7393699999993</v>
      </c>
      <c r="D92" s="374">
        <v>108.738493050325</v>
      </c>
      <c r="E92" s="375">
        <v>1.012432938731</v>
      </c>
      <c r="F92" s="373">
        <v>9421</v>
      </c>
      <c r="G92" s="374">
        <v>9421</v>
      </c>
      <c r="H92" s="376">
        <v>532.58158000000003</v>
      </c>
      <c r="I92" s="373">
        <v>9406.8353200000001</v>
      </c>
      <c r="J92" s="374">
        <v>-14.164679999998</v>
      </c>
      <c r="K92" s="378">
        <v>0.99849647807999997</v>
      </c>
    </row>
    <row r="93" spans="1:11" ht="14.4" customHeight="1" thickBot="1" x14ac:dyDescent="0.35">
      <c r="A93" s="390" t="s">
        <v>293</v>
      </c>
      <c r="B93" s="368">
        <v>3259.0003267755501</v>
      </c>
      <c r="C93" s="368">
        <v>3136.7258900000002</v>
      </c>
      <c r="D93" s="369">
        <v>-122.274436775553</v>
      </c>
      <c r="E93" s="370">
        <v>0.96248099892100003</v>
      </c>
      <c r="F93" s="368">
        <v>3443</v>
      </c>
      <c r="G93" s="369">
        <v>3443</v>
      </c>
      <c r="H93" s="371">
        <v>170.49406999999999</v>
      </c>
      <c r="I93" s="368">
        <v>3183.2146400000001</v>
      </c>
      <c r="J93" s="369">
        <v>-259.785359999999</v>
      </c>
      <c r="K93" s="372">
        <v>0.92454680220700003</v>
      </c>
    </row>
    <row r="94" spans="1:11" ht="14.4" customHeight="1" thickBot="1" x14ac:dyDescent="0.35">
      <c r="A94" s="390" t="s">
        <v>294</v>
      </c>
      <c r="B94" s="368">
        <v>5487.0005501741198</v>
      </c>
      <c r="C94" s="368">
        <v>5718.0134799999996</v>
      </c>
      <c r="D94" s="369">
        <v>231.01292982587799</v>
      </c>
      <c r="E94" s="370">
        <v>1.0421018601530001</v>
      </c>
      <c r="F94" s="368">
        <v>5978</v>
      </c>
      <c r="G94" s="369">
        <v>5978</v>
      </c>
      <c r="H94" s="371">
        <v>362.08751000000001</v>
      </c>
      <c r="I94" s="368">
        <v>6223.62068</v>
      </c>
      <c r="J94" s="369">
        <v>245.62068000000201</v>
      </c>
      <c r="K94" s="372">
        <v>1.0410874339239999</v>
      </c>
    </row>
    <row r="95" spans="1:11" ht="14.4" customHeight="1" thickBot="1" x14ac:dyDescent="0.35">
      <c r="A95" s="389" t="s">
        <v>295</v>
      </c>
      <c r="B95" s="373">
        <v>0</v>
      </c>
      <c r="C95" s="373">
        <v>531.21887000000004</v>
      </c>
      <c r="D95" s="374">
        <v>531.21887000000004</v>
      </c>
      <c r="E95" s="380" t="s">
        <v>208</v>
      </c>
      <c r="F95" s="373">
        <v>0</v>
      </c>
      <c r="G95" s="374">
        <v>0</v>
      </c>
      <c r="H95" s="376">
        <v>-1.0476099999999999</v>
      </c>
      <c r="I95" s="373">
        <v>236.16157999999999</v>
      </c>
      <c r="J95" s="374">
        <v>236.16157999999999</v>
      </c>
      <c r="K95" s="377" t="s">
        <v>208</v>
      </c>
    </row>
    <row r="96" spans="1:11" ht="14.4" customHeight="1" thickBot="1" x14ac:dyDescent="0.35">
      <c r="A96" s="390" t="s">
        <v>296</v>
      </c>
      <c r="B96" s="368">
        <v>0</v>
      </c>
      <c r="C96" s="368">
        <v>51.932510000000001</v>
      </c>
      <c r="D96" s="369">
        <v>51.932510000000001</v>
      </c>
      <c r="E96" s="381" t="s">
        <v>208</v>
      </c>
      <c r="F96" s="368">
        <v>0</v>
      </c>
      <c r="G96" s="369">
        <v>0</v>
      </c>
      <c r="H96" s="371">
        <v>0</v>
      </c>
      <c r="I96" s="368">
        <v>175.20015000000001</v>
      </c>
      <c r="J96" s="369">
        <v>175.20015000000001</v>
      </c>
      <c r="K96" s="379" t="s">
        <v>208</v>
      </c>
    </row>
    <row r="97" spans="1:11" ht="14.4" customHeight="1" thickBot="1" x14ac:dyDescent="0.35">
      <c r="A97" s="390" t="s">
        <v>297</v>
      </c>
      <c r="B97" s="368">
        <v>0</v>
      </c>
      <c r="C97" s="368">
        <v>479.28636</v>
      </c>
      <c r="D97" s="369">
        <v>479.28636</v>
      </c>
      <c r="E97" s="381" t="s">
        <v>208</v>
      </c>
      <c r="F97" s="368">
        <v>0</v>
      </c>
      <c r="G97" s="369">
        <v>0</v>
      </c>
      <c r="H97" s="371">
        <v>-1.0476099999999999</v>
      </c>
      <c r="I97" s="368">
        <v>60.96143</v>
      </c>
      <c r="J97" s="369">
        <v>60.96143</v>
      </c>
      <c r="K97" s="379" t="s">
        <v>208</v>
      </c>
    </row>
    <row r="98" spans="1:11" ht="14.4" customHeight="1" thickBot="1" x14ac:dyDescent="0.35">
      <c r="A98" s="387" t="s">
        <v>298</v>
      </c>
      <c r="B98" s="368">
        <v>40.390992152583003</v>
      </c>
      <c r="C98" s="368">
        <v>42.990650000000002</v>
      </c>
      <c r="D98" s="369">
        <v>2.5996578474160001</v>
      </c>
      <c r="E98" s="370">
        <v>1.064362317162</v>
      </c>
      <c r="F98" s="368">
        <v>39.640360791230002</v>
      </c>
      <c r="G98" s="369">
        <v>39.640360791230002</v>
      </c>
      <c r="H98" s="371">
        <v>3.8738600000000001</v>
      </c>
      <c r="I98" s="368">
        <v>43.269579999999998</v>
      </c>
      <c r="J98" s="369">
        <v>3.6292192087689998</v>
      </c>
      <c r="K98" s="372">
        <v>1.091553637159</v>
      </c>
    </row>
    <row r="99" spans="1:11" ht="14.4" customHeight="1" thickBot="1" x14ac:dyDescent="0.35">
      <c r="A99" s="388" t="s">
        <v>299</v>
      </c>
      <c r="B99" s="368">
        <v>0</v>
      </c>
      <c r="C99" s="368">
        <v>0</v>
      </c>
      <c r="D99" s="369">
        <v>0</v>
      </c>
      <c r="E99" s="370">
        <v>1</v>
      </c>
      <c r="F99" s="368">
        <v>0</v>
      </c>
      <c r="G99" s="369">
        <v>0</v>
      </c>
      <c r="H99" s="371">
        <v>0.75</v>
      </c>
      <c r="I99" s="368">
        <v>5.75</v>
      </c>
      <c r="J99" s="369">
        <v>5.75</v>
      </c>
      <c r="K99" s="379" t="s">
        <v>224</v>
      </c>
    </row>
    <row r="100" spans="1:11" ht="14.4" customHeight="1" thickBot="1" x14ac:dyDescent="0.35">
      <c r="A100" s="389" t="s">
        <v>300</v>
      </c>
      <c r="B100" s="373">
        <v>0</v>
      </c>
      <c r="C100" s="373">
        <v>0</v>
      </c>
      <c r="D100" s="374">
        <v>0</v>
      </c>
      <c r="E100" s="375">
        <v>1</v>
      </c>
      <c r="F100" s="373">
        <v>0</v>
      </c>
      <c r="G100" s="374">
        <v>0</v>
      </c>
      <c r="H100" s="376">
        <v>0.75</v>
      </c>
      <c r="I100" s="373">
        <v>5.75</v>
      </c>
      <c r="J100" s="374">
        <v>5.75</v>
      </c>
      <c r="K100" s="377" t="s">
        <v>224</v>
      </c>
    </row>
    <row r="101" spans="1:11" ht="14.4" customHeight="1" thickBot="1" x14ac:dyDescent="0.35">
      <c r="A101" s="390" t="s">
        <v>301</v>
      </c>
      <c r="B101" s="368">
        <v>0</v>
      </c>
      <c r="C101" s="368">
        <v>0</v>
      </c>
      <c r="D101" s="369">
        <v>0</v>
      </c>
      <c r="E101" s="370">
        <v>1</v>
      </c>
      <c r="F101" s="368">
        <v>0</v>
      </c>
      <c r="G101" s="369">
        <v>0</v>
      </c>
      <c r="H101" s="371">
        <v>0.75</v>
      </c>
      <c r="I101" s="368">
        <v>5.75</v>
      </c>
      <c r="J101" s="369">
        <v>5.75</v>
      </c>
      <c r="K101" s="379" t="s">
        <v>224</v>
      </c>
    </row>
    <row r="102" spans="1:11" ht="14.4" customHeight="1" thickBot="1" x14ac:dyDescent="0.35">
      <c r="A102" s="393" t="s">
        <v>302</v>
      </c>
      <c r="B102" s="373">
        <v>40.390992152583003</v>
      </c>
      <c r="C102" s="373">
        <v>42.990650000000002</v>
      </c>
      <c r="D102" s="374">
        <v>2.5996578474160001</v>
      </c>
      <c r="E102" s="375">
        <v>1.064362317162</v>
      </c>
      <c r="F102" s="373">
        <v>39.640360791230002</v>
      </c>
      <c r="G102" s="374">
        <v>39.640360791230002</v>
      </c>
      <c r="H102" s="376">
        <v>3.1238600000000001</v>
      </c>
      <c r="I102" s="373">
        <v>37.519579999999998</v>
      </c>
      <c r="J102" s="374">
        <v>-2.1207807912300001</v>
      </c>
      <c r="K102" s="378">
        <v>0.94649945790300005</v>
      </c>
    </row>
    <row r="103" spans="1:11" ht="14.4" customHeight="1" thickBot="1" x14ac:dyDescent="0.35">
      <c r="A103" s="389" t="s">
        <v>303</v>
      </c>
      <c r="B103" s="373">
        <v>0</v>
      </c>
      <c r="C103" s="373">
        <v>8.0000000000000007E-5</v>
      </c>
      <c r="D103" s="374">
        <v>8.0000000000000007E-5</v>
      </c>
      <c r="E103" s="380" t="s">
        <v>208</v>
      </c>
      <c r="F103" s="373">
        <v>0</v>
      </c>
      <c r="G103" s="374">
        <v>0</v>
      </c>
      <c r="H103" s="376">
        <v>0</v>
      </c>
      <c r="I103" s="373">
        <v>-4.0000000000000003E-5</v>
      </c>
      <c r="J103" s="374">
        <v>-4.0000000000000003E-5</v>
      </c>
      <c r="K103" s="377" t="s">
        <v>208</v>
      </c>
    </row>
    <row r="104" spans="1:11" ht="14.4" customHeight="1" thickBot="1" x14ac:dyDescent="0.35">
      <c r="A104" s="390" t="s">
        <v>304</v>
      </c>
      <c r="B104" s="368">
        <v>0</v>
      </c>
      <c r="C104" s="368">
        <v>8.0000000000000007E-5</v>
      </c>
      <c r="D104" s="369">
        <v>8.0000000000000007E-5</v>
      </c>
      <c r="E104" s="381" t="s">
        <v>208</v>
      </c>
      <c r="F104" s="368">
        <v>0</v>
      </c>
      <c r="G104" s="369">
        <v>0</v>
      </c>
      <c r="H104" s="371">
        <v>0</v>
      </c>
      <c r="I104" s="368">
        <v>-4.0000000000000003E-5</v>
      </c>
      <c r="J104" s="369">
        <v>-4.0000000000000003E-5</v>
      </c>
      <c r="K104" s="379" t="s">
        <v>208</v>
      </c>
    </row>
    <row r="105" spans="1:11" ht="14.4" customHeight="1" thickBot="1" x14ac:dyDescent="0.35">
      <c r="A105" s="389" t="s">
        <v>305</v>
      </c>
      <c r="B105" s="373">
        <v>40.390992152583003</v>
      </c>
      <c r="C105" s="373">
        <v>42.990569999999998</v>
      </c>
      <c r="D105" s="374">
        <v>2.5995778474160001</v>
      </c>
      <c r="E105" s="375">
        <v>1.064360336522</v>
      </c>
      <c r="F105" s="373">
        <v>39.640360791230002</v>
      </c>
      <c r="G105" s="374">
        <v>39.640360791230002</v>
      </c>
      <c r="H105" s="376">
        <v>3.1238600000000001</v>
      </c>
      <c r="I105" s="373">
        <v>37.519620000000003</v>
      </c>
      <c r="J105" s="374">
        <v>-2.1207407912299998</v>
      </c>
      <c r="K105" s="378">
        <v>0.94650046697599999</v>
      </c>
    </row>
    <row r="106" spans="1:11" ht="14.4" customHeight="1" thickBot="1" x14ac:dyDescent="0.35">
      <c r="A106" s="390" t="s">
        <v>306</v>
      </c>
      <c r="B106" s="368">
        <v>2.4745445117000001E-2</v>
      </c>
      <c r="C106" s="368">
        <v>0</v>
      </c>
      <c r="D106" s="369">
        <v>-2.4745445117000001E-2</v>
      </c>
      <c r="E106" s="370">
        <v>0</v>
      </c>
      <c r="F106" s="368">
        <v>0</v>
      </c>
      <c r="G106" s="369">
        <v>0</v>
      </c>
      <c r="H106" s="371">
        <v>0</v>
      </c>
      <c r="I106" s="368">
        <v>0</v>
      </c>
      <c r="J106" s="369">
        <v>0</v>
      </c>
      <c r="K106" s="372">
        <v>0</v>
      </c>
    </row>
    <row r="107" spans="1:11" ht="14.4" customHeight="1" thickBot="1" x14ac:dyDescent="0.35">
      <c r="A107" s="390" t="s">
        <v>307</v>
      </c>
      <c r="B107" s="368">
        <v>40.366246707465997</v>
      </c>
      <c r="C107" s="368">
        <v>42.990569999999998</v>
      </c>
      <c r="D107" s="369">
        <v>2.624323292533</v>
      </c>
      <c r="E107" s="370">
        <v>1.0650128140849999</v>
      </c>
      <c r="F107" s="368">
        <v>39.640360791230002</v>
      </c>
      <c r="G107" s="369">
        <v>39.640360791230002</v>
      </c>
      <c r="H107" s="371">
        <v>3.1238600000000001</v>
      </c>
      <c r="I107" s="368">
        <v>37.519620000000003</v>
      </c>
      <c r="J107" s="369">
        <v>-2.1207407912299998</v>
      </c>
      <c r="K107" s="372">
        <v>0.94650046697599999</v>
      </c>
    </row>
    <row r="108" spans="1:11" ht="14.4" customHeight="1" thickBot="1" x14ac:dyDescent="0.35">
      <c r="A108" s="386" t="s">
        <v>308</v>
      </c>
      <c r="B108" s="368">
        <v>1033.3683016167499</v>
      </c>
      <c r="C108" s="368">
        <v>1019.62553</v>
      </c>
      <c r="D108" s="369">
        <v>-13.742771616752</v>
      </c>
      <c r="E108" s="370">
        <v>0.98670099363800001</v>
      </c>
      <c r="F108" s="368">
        <v>894.69706485726795</v>
      </c>
      <c r="G108" s="369">
        <v>894.69706485726795</v>
      </c>
      <c r="H108" s="371">
        <v>103.01475000000001</v>
      </c>
      <c r="I108" s="368">
        <v>1070.49845</v>
      </c>
      <c r="J108" s="369">
        <v>175.80138514273199</v>
      </c>
      <c r="K108" s="372">
        <v>1.1964926364999999</v>
      </c>
    </row>
    <row r="109" spans="1:11" ht="14.4" customHeight="1" thickBot="1" x14ac:dyDescent="0.35">
      <c r="A109" s="391" t="s">
        <v>309</v>
      </c>
      <c r="B109" s="373">
        <v>1033.3683016167499</v>
      </c>
      <c r="C109" s="373">
        <v>1019.62553</v>
      </c>
      <c r="D109" s="374">
        <v>-13.742771616752</v>
      </c>
      <c r="E109" s="375">
        <v>0.98670099363800001</v>
      </c>
      <c r="F109" s="373">
        <v>894.69706485726795</v>
      </c>
      <c r="G109" s="374">
        <v>894.69706485726795</v>
      </c>
      <c r="H109" s="376">
        <v>103.01475000000001</v>
      </c>
      <c r="I109" s="373">
        <v>1070.49845</v>
      </c>
      <c r="J109" s="374">
        <v>175.80138514273199</v>
      </c>
      <c r="K109" s="378">
        <v>1.1964926364999999</v>
      </c>
    </row>
    <row r="110" spans="1:11" ht="14.4" customHeight="1" thickBot="1" x14ac:dyDescent="0.35">
      <c r="A110" s="393" t="s">
        <v>30</v>
      </c>
      <c r="B110" s="373">
        <v>1033.3683016167499</v>
      </c>
      <c r="C110" s="373">
        <v>1019.62553</v>
      </c>
      <c r="D110" s="374">
        <v>-13.742771616752</v>
      </c>
      <c r="E110" s="375">
        <v>0.98670099363800001</v>
      </c>
      <c r="F110" s="373">
        <v>894.69706485726795</v>
      </c>
      <c r="G110" s="374">
        <v>894.69706485726795</v>
      </c>
      <c r="H110" s="376">
        <v>103.01475000000001</v>
      </c>
      <c r="I110" s="373">
        <v>1070.49845</v>
      </c>
      <c r="J110" s="374">
        <v>175.80138514273199</v>
      </c>
      <c r="K110" s="378">
        <v>1.1964926364999999</v>
      </c>
    </row>
    <row r="111" spans="1:11" ht="14.4" customHeight="1" thickBot="1" x14ac:dyDescent="0.35">
      <c r="A111" s="389" t="s">
        <v>310</v>
      </c>
      <c r="B111" s="373">
        <v>6.4096279428210003</v>
      </c>
      <c r="C111" s="373">
        <v>5.9279999999999999</v>
      </c>
      <c r="D111" s="374">
        <v>-0.48162794282100002</v>
      </c>
      <c r="E111" s="375">
        <v>0.92485867399499999</v>
      </c>
      <c r="F111" s="373">
        <v>6.4036590588889997</v>
      </c>
      <c r="G111" s="374">
        <v>6.4036590588889997</v>
      </c>
      <c r="H111" s="376">
        <v>0.40899999999999997</v>
      </c>
      <c r="I111" s="373">
        <v>5.1989999999999998</v>
      </c>
      <c r="J111" s="374">
        <v>-1.204659058889</v>
      </c>
      <c r="K111" s="378">
        <v>0.81187957575299996</v>
      </c>
    </row>
    <row r="112" spans="1:11" ht="14.4" customHeight="1" thickBot="1" x14ac:dyDescent="0.35">
      <c r="A112" s="390" t="s">
        <v>311</v>
      </c>
      <c r="B112" s="368">
        <v>6.4096279428210003</v>
      </c>
      <c r="C112" s="368">
        <v>5.9279999999999999</v>
      </c>
      <c r="D112" s="369">
        <v>-0.48162794282100002</v>
      </c>
      <c r="E112" s="370">
        <v>0.92485867399499999</v>
      </c>
      <c r="F112" s="368">
        <v>6.4036590588889997</v>
      </c>
      <c r="G112" s="369">
        <v>6.4036590588889997</v>
      </c>
      <c r="H112" s="371">
        <v>0.40899999999999997</v>
      </c>
      <c r="I112" s="368">
        <v>5.1989999999999998</v>
      </c>
      <c r="J112" s="369">
        <v>-1.204659058889</v>
      </c>
      <c r="K112" s="372">
        <v>0.81187957575299996</v>
      </c>
    </row>
    <row r="113" spans="1:11" ht="14.4" customHeight="1" thickBot="1" x14ac:dyDescent="0.35">
      <c r="A113" s="389" t="s">
        <v>312</v>
      </c>
      <c r="B113" s="373">
        <v>0</v>
      </c>
      <c r="C113" s="373">
        <v>7.3499999999999996E-2</v>
      </c>
      <c r="D113" s="374">
        <v>7.3499999999999996E-2</v>
      </c>
      <c r="E113" s="380" t="s">
        <v>224</v>
      </c>
      <c r="F113" s="373">
        <v>7.8691135140999999E-2</v>
      </c>
      <c r="G113" s="374">
        <v>7.8691135140999999E-2</v>
      </c>
      <c r="H113" s="376">
        <v>0</v>
      </c>
      <c r="I113" s="373">
        <v>1.617</v>
      </c>
      <c r="J113" s="374">
        <v>1.5383088648579999</v>
      </c>
      <c r="K113" s="378">
        <v>0</v>
      </c>
    </row>
    <row r="114" spans="1:11" ht="14.4" customHeight="1" thickBot="1" x14ac:dyDescent="0.35">
      <c r="A114" s="390" t="s">
        <v>313</v>
      </c>
      <c r="B114" s="368">
        <v>0</v>
      </c>
      <c r="C114" s="368">
        <v>7.3499999999999996E-2</v>
      </c>
      <c r="D114" s="369">
        <v>7.3499999999999996E-2</v>
      </c>
      <c r="E114" s="381" t="s">
        <v>224</v>
      </c>
      <c r="F114" s="368">
        <v>7.8691135140999999E-2</v>
      </c>
      <c r="G114" s="369">
        <v>7.8691135140999999E-2</v>
      </c>
      <c r="H114" s="371">
        <v>0</v>
      </c>
      <c r="I114" s="368">
        <v>1.617</v>
      </c>
      <c r="J114" s="369">
        <v>1.5383088648579999</v>
      </c>
      <c r="K114" s="372">
        <v>0</v>
      </c>
    </row>
    <row r="115" spans="1:11" ht="14.4" customHeight="1" thickBot="1" x14ac:dyDescent="0.35">
      <c r="A115" s="389" t="s">
        <v>314</v>
      </c>
      <c r="B115" s="373">
        <v>0</v>
      </c>
      <c r="C115" s="373">
        <v>0.33600000000000002</v>
      </c>
      <c r="D115" s="374">
        <v>0.33600000000000002</v>
      </c>
      <c r="E115" s="380" t="s">
        <v>224</v>
      </c>
      <c r="F115" s="373">
        <v>0</v>
      </c>
      <c r="G115" s="374">
        <v>0</v>
      </c>
      <c r="H115" s="376">
        <v>0</v>
      </c>
      <c r="I115" s="373">
        <v>0</v>
      </c>
      <c r="J115" s="374">
        <v>0</v>
      </c>
      <c r="K115" s="378">
        <v>0</v>
      </c>
    </row>
    <row r="116" spans="1:11" ht="14.4" customHeight="1" thickBot="1" x14ac:dyDescent="0.35">
      <c r="A116" s="390" t="s">
        <v>315</v>
      </c>
      <c r="B116" s="368">
        <v>0</v>
      </c>
      <c r="C116" s="368">
        <v>0.33600000000000002</v>
      </c>
      <c r="D116" s="369">
        <v>0.33600000000000002</v>
      </c>
      <c r="E116" s="381" t="s">
        <v>224</v>
      </c>
      <c r="F116" s="368">
        <v>0</v>
      </c>
      <c r="G116" s="369">
        <v>0</v>
      </c>
      <c r="H116" s="371">
        <v>0</v>
      </c>
      <c r="I116" s="368">
        <v>0</v>
      </c>
      <c r="J116" s="369">
        <v>0</v>
      </c>
      <c r="K116" s="372">
        <v>0</v>
      </c>
    </row>
    <row r="117" spans="1:11" ht="14.4" customHeight="1" thickBot="1" x14ac:dyDescent="0.35">
      <c r="A117" s="389" t="s">
        <v>316</v>
      </c>
      <c r="B117" s="373">
        <v>235.37519811461101</v>
      </c>
      <c r="C117" s="373">
        <v>225.20414</v>
      </c>
      <c r="D117" s="374">
        <v>-10.171058114611</v>
      </c>
      <c r="E117" s="375">
        <v>0.95678789355799998</v>
      </c>
      <c r="F117" s="373">
        <v>210.792017746835</v>
      </c>
      <c r="G117" s="374">
        <v>210.792017746835</v>
      </c>
      <c r="H117" s="376">
        <v>11.919639999999999</v>
      </c>
      <c r="I117" s="373">
        <v>216.17085</v>
      </c>
      <c r="J117" s="374">
        <v>5.378832253164</v>
      </c>
      <c r="K117" s="378">
        <v>1.025517248284</v>
      </c>
    </row>
    <row r="118" spans="1:11" ht="14.4" customHeight="1" thickBot="1" x14ac:dyDescent="0.35">
      <c r="A118" s="390" t="s">
        <v>317</v>
      </c>
      <c r="B118" s="368">
        <v>235.37519811461101</v>
      </c>
      <c r="C118" s="368">
        <v>225.20414</v>
      </c>
      <c r="D118" s="369">
        <v>-10.171058114611</v>
      </c>
      <c r="E118" s="370">
        <v>0.95678789355799998</v>
      </c>
      <c r="F118" s="368">
        <v>210.792017746835</v>
      </c>
      <c r="G118" s="369">
        <v>210.792017746835</v>
      </c>
      <c r="H118" s="371">
        <v>11.919639999999999</v>
      </c>
      <c r="I118" s="368">
        <v>216.17085</v>
      </c>
      <c r="J118" s="369">
        <v>5.378832253164</v>
      </c>
      <c r="K118" s="372">
        <v>1.025517248284</v>
      </c>
    </row>
    <row r="119" spans="1:11" ht="14.4" customHeight="1" thickBot="1" x14ac:dyDescent="0.35">
      <c r="A119" s="389" t="s">
        <v>318</v>
      </c>
      <c r="B119" s="373">
        <v>791.58347555932005</v>
      </c>
      <c r="C119" s="373">
        <v>788.08389</v>
      </c>
      <c r="D119" s="374">
        <v>-3.4995855593190002</v>
      </c>
      <c r="E119" s="375">
        <v>0.995579006298</v>
      </c>
      <c r="F119" s="373">
        <v>677.42269691640104</v>
      </c>
      <c r="G119" s="374">
        <v>677.42269691640104</v>
      </c>
      <c r="H119" s="376">
        <v>90.686109999999999</v>
      </c>
      <c r="I119" s="373">
        <v>847.51160000000004</v>
      </c>
      <c r="J119" s="374">
        <v>170.08890308359901</v>
      </c>
      <c r="K119" s="378">
        <v>1.251082380111</v>
      </c>
    </row>
    <row r="120" spans="1:11" ht="14.4" customHeight="1" thickBot="1" x14ac:dyDescent="0.35">
      <c r="A120" s="390" t="s">
        <v>319</v>
      </c>
      <c r="B120" s="368">
        <v>791.58347555932005</v>
      </c>
      <c r="C120" s="368">
        <v>788.08389</v>
      </c>
      <c r="D120" s="369">
        <v>-3.4995855593190002</v>
      </c>
      <c r="E120" s="370">
        <v>0.995579006298</v>
      </c>
      <c r="F120" s="368">
        <v>677.42269691640104</v>
      </c>
      <c r="G120" s="369">
        <v>677.42269691640104</v>
      </c>
      <c r="H120" s="371">
        <v>90.686109999999999</v>
      </c>
      <c r="I120" s="368">
        <v>847.51160000000004</v>
      </c>
      <c r="J120" s="369">
        <v>170.08890308359901</v>
      </c>
      <c r="K120" s="372">
        <v>1.251082380111</v>
      </c>
    </row>
    <row r="121" spans="1:11" ht="14.4" customHeight="1" thickBot="1" x14ac:dyDescent="0.35">
      <c r="A121" s="394"/>
      <c r="B121" s="368">
        <v>286.34067396842102</v>
      </c>
      <c r="C121" s="368">
        <v>483.716389999998</v>
      </c>
      <c r="D121" s="369">
        <v>197.37571603157599</v>
      </c>
      <c r="E121" s="370">
        <v>1.6893038047860001</v>
      </c>
      <c r="F121" s="368">
        <v>744.88341689165998</v>
      </c>
      <c r="G121" s="369">
        <v>744.88341689165998</v>
      </c>
      <c r="H121" s="371">
        <v>-304.33519999999902</v>
      </c>
      <c r="I121" s="368">
        <v>17.274700000001001</v>
      </c>
      <c r="J121" s="369">
        <v>-727.60871689165901</v>
      </c>
      <c r="K121" s="372">
        <v>2.3191145900000001E-2</v>
      </c>
    </row>
    <row r="122" spans="1:11" ht="14.4" customHeight="1" thickBot="1" x14ac:dyDescent="0.35">
      <c r="A122" s="395" t="s">
        <v>42</v>
      </c>
      <c r="B122" s="382">
        <v>286.34067396842102</v>
      </c>
      <c r="C122" s="382">
        <v>483.716389999998</v>
      </c>
      <c r="D122" s="383">
        <v>197.37571603157599</v>
      </c>
      <c r="E122" s="384">
        <v>-0.97554390849799999</v>
      </c>
      <c r="F122" s="382">
        <v>744.88341689165998</v>
      </c>
      <c r="G122" s="383">
        <v>744.88341689165998</v>
      </c>
      <c r="H122" s="382">
        <v>-304.33519999999902</v>
      </c>
      <c r="I122" s="382">
        <v>17.274700000003001</v>
      </c>
      <c r="J122" s="383">
        <v>-727.60871689165697</v>
      </c>
      <c r="K122" s="385">
        <v>2.3191145900000001E-2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77" customWidth="1"/>
    <col min="2" max="2" width="61.109375" style="177" customWidth="1"/>
    <col min="3" max="3" width="9.5546875" style="101" hidden="1" customWidth="1" outlineLevel="1"/>
    <col min="4" max="4" width="9.5546875" style="178" customWidth="1" collapsed="1"/>
    <col min="5" max="5" width="2.21875" style="178" customWidth="1"/>
    <col min="6" max="6" width="9.5546875" style="179" customWidth="1"/>
    <col min="7" max="7" width="9.5546875" style="176" customWidth="1"/>
    <col min="8" max="9" width="9.5546875" style="101" customWidth="1"/>
    <col min="10" max="10" width="0" style="101" hidden="1" customWidth="1"/>
    <col min="11" max="16384" width="8.88671875" style="101"/>
  </cols>
  <sheetData>
    <row r="1" spans="1:10" ht="18.600000000000001" customHeight="1" thickBot="1" x14ac:dyDescent="0.4">
      <c r="A1" s="305" t="s">
        <v>101</v>
      </c>
      <c r="B1" s="306"/>
      <c r="C1" s="306"/>
      <c r="D1" s="306"/>
      <c r="E1" s="306"/>
      <c r="F1" s="306"/>
      <c r="G1" s="276"/>
      <c r="H1" s="307"/>
      <c r="I1" s="307"/>
    </row>
    <row r="2" spans="1:10" ht="14.4" customHeight="1" thickBot="1" x14ac:dyDescent="0.35">
      <c r="A2" s="192" t="s">
        <v>207</v>
      </c>
      <c r="B2" s="175"/>
      <c r="C2" s="175"/>
      <c r="D2" s="175"/>
      <c r="E2" s="175"/>
      <c r="F2" s="175"/>
    </row>
    <row r="3" spans="1:10" ht="14.4" customHeight="1" thickBot="1" x14ac:dyDescent="0.35">
      <c r="A3" s="192"/>
      <c r="B3" s="219"/>
      <c r="C3" s="218">
        <v>2015</v>
      </c>
      <c r="D3" s="198">
        <v>2016</v>
      </c>
      <c r="E3" s="7"/>
      <c r="F3" s="284">
        <v>2017</v>
      </c>
      <c r="G3" s="302"/>
      <c r="H3" s="302"/>
      <c r="I3" s="285"/>
    </row>
    <row r="4" spans="1:10" ht="14.4" customHeight="1" thickBot="1" x14ac:dyDescent="0.35">
      <c r="A4" s="202" t="s">
        <v>0</v>
      </c>
      <c r="B4" s="203" t="s">
        <v>143</v>
      </c>
      <c r="C4" s="303" t="s">
        <v>48</v>
      </c>
      <c r="D4" s="304"/>
      <c r="E4" s="204"/>
      <c r="F4" s="199" t="s">
        <v>48</v>
      </c>
      <c r="G4" s="200" t="s">
        <v>49</v>
      </c>
      <c r="H4" s="200" t="s">
        <v>43</v>
      </c>
      <c r="I4" s="201" t="s">
        <v>50</v>
      </c>
    </row>
    <row r="5" spans="1:10" ht="14.4" customHeight="1" x14ac:dyDescent="0.3">
      <c r="A5" s="396" t="s">
        <v>320</v>
      </c>
      <c r="B5" s="397" t="s">
        <v>321</v>
      </c>
      <c r="C5" s="398" t="s">
        <v>322</v>
      </c>
      <c r="D5" s="398" t="s">
        <v>322</v>
      </c>
      <c r="E5" s="398"/>
      <c r="F5" s="398" t="s">
        <v>322</v>
      </c>
      <c r="G5" s="398" t="s">
        <v>322</v>
      </c>
      <c r="H5" s="398" t="s">
        <v>322</v>
      </c>
      <c r="I5" s="399" t="s">
        <v>322</v>
      </c>
      <c r="J5" s="400" t="s">
        <v>44</v>
      </c>
    </row>
    <row r="6" spans="1:10" ht="14.4" customHeight="1" x14ac:dyDescent="0.3">
      <c r="A6" s="396" t="s">
        <v>320</v>
      </c>
      <c r="B6" s="397" t="s">
        <v>323</v>
      </c>
      <c r="C6" s="398">
        <v>0.75164999999999993</v>
      </c>
      <c r="D6" s="398">
        <v>0</v>
      </c>
      <c r="E6" s="398"/>
      <c r="F6" s="398">
        <v>0</v>
      </c>
      <c r="G6" s="398">
        <v>0</v>
      </c>
      <c r="H6" s="398">
        <v>0</v>
      </c>
      <c r="I6" s="399" t="s">
        <v>322</v>
      </c>
      <c r="J6" s="400" t="s">
        <v>1</v>
      </c>
    </row>
    <row r="7" spans="1:10" ht="14.4" customHeight="1" x14ac:dyDescent="0.3">
      <c r="A7" s="396" t="s">
        <v>320</v>
      </c>
      <c r="B7" s="397" t="s">
        <v>324</v>
      </c>
      <c r="C7" s="398">
        <v>0</v>
      </c>
      <c r="D7" s="398">
        <v>0</v>
      </c>
      <c r="E7" s="398"/>
      <c r="F7" s="398">
        <v>0</v>
      </c>
      <c r="G7" s="398">
        <v>0</v>
      </c>
      <c r="H7" s="398">
        <v>0</v>
      </c>
      <c r="I7" s="399" t="s">
        <v>322</v>
      </c>
      <c r="J7" s="400" t="s">
        <v>1</v>
      </c>
    </row>
    <row r="8" spans="1:10" ht="14.4" customHeight="1" x14ac:dyDescent="0.3">
      <c r="A8" s="396" t="s">
        <v>320</v>
      </c>
      <c r="B8" s="397" t="s">
        <v>325</v>
      </c>
      <c r="C8" s="398">
        <v>0.75164999999999993</v>
      </c>
      <c r="D8" s="398">
        <v>0</v>
      </c>
      <c r="E8" s="398"/>
      <c r="F8" s="398">
        <v>0</v>
      </c>
      <c r="G8" s="398">
        <v>0</v>
      </c>
      <c r="H8" s="398">
        <v>0</v>
      </c>
      <c r="I8" s="399" t="s">
        <v>322</v>
      </c>
      <c r="J8" s="400" t="s">
        <v>326</v>
      </c>
    </row>
    <row r="10" spans="1:10" ht="14.4" customHeight="1" x14ac:dyDescent="0.3">
      <c r="A10" s="396" t="s">
        <v>320</v>
      </c>
      <c r="B10" s="397" t="s">
        <v>321</v>
      </c>
      <c r="C10" s="398" t="s">
        <v>322</v>
      </c>
      <c r="D10" s="398" t="s">
        <v>322</v>
      </c>
      <c r="E10" s="398"/>
      <c r="F10" s="398" t="s">
        <v>322</v>
      </c>
      <c r="G10" s="398" t="s">
        <v>322</v>
      </c>
      <c r="H10" s="398" t="s">
        <v>322</v>
      </c>
      <c r="I10" s="399" t="s">
        <v>322</v>
      </c>
      <c r="J10" s="400" t="s">
        <v>44</v>
      </c>
    </row>
    <row r="11" spans="1:10" ht="14.4" customHeight="1" x14ac:dyDescent="0.3">
      <c r="A11" s="396" t="s">
        <v>327</v>
      </c>
      <c r="B11" s="397" t="s">
        <v>328</v>
      </c>
      <c r="C11" s="398" t="s">
        <v>322</v>
      </c>
      <c r="D11" s="398" t="s">
        <v>322</v>
      </c>
      <c r="E11" s="398"/>
      <c r="F11" s="398" t="s">
        <v>322</v>
      </c>
      <c r="G11" s="398" t="s">
        <v>322</v>
      </c>
      <c r="H11" s="398" t="s">
        <v>322</v>
      </c>
      <c r="I11" s="399" t="s">
        <v>322</v>
      </c>
      <c r="J11" s="400" t="s">
        <v>0</v>
      </c>
    </row>
    <row r="12" spans="1:10" ht="14.4" customHeight="1" x14ac:dyDescent="0.3">
      <c r="A12" s="396" t="s">
        <v>327</v>
      </c>
      <c r="B12" s="397" t="s">
        <v>323</v>
      </c>
      <c r="C12" s="398">
        <v>0.75164999999999993</v>
      </c>
      <c r="D12" s="398">
        <v>0</v>
      </c>
      <c r="E12" s="398"/>
      <c r="F12" s="398">
        <v>0</v>
      </c>
      <c r="G12" s="398">
        <v>0</v>
      </c>
      <c r="H12" s="398">
        <v>0</v>
      </c>
      <c r="I12" s="399" t="s">
        <v>322</v>
      </c>
      <c r="J12" s="400" t="s">
        <v>1</v>
      </c>
    </row>
    <row r="13" spans="1:10" ht="14.4" customHeight="1" x14ac:dyDescent="0.3">
      <c r="A13" s="396" t="s">
        <v>327</v>
      </c>
      <c r="B13" s="397" t="s">
        <v>324</v>
      </c>
      <c r="C13" s="398">
        <v>0</v>
      </c>
      <c r="D13" s="398">
        <v>0</v>
      </c>
      <c r="E13" s="398"/>
      <c r="F13" s="398">
        <v>0</v>
      </c>
      <c r="G13" s="398">
        <v>0</v>
      </c>
      <c r="H13" s="398">
        <v>0</v>
      </c>
      <c r="I13" s="399" t="s">
        <v>322</v>
      </c>
      <c r="J13" s="400" t="s">
        <v>1</v>
      </c>
    </row>
    <row r="14" spans="1:10" ht="14.4" customHeight="1" x14ac:dyDescent="0.3">
      <c r="A14" s="396" t="s">
        <v>327</v>
      </c>
      <c r="B14" s="397" t="s">
        <v>329</v>
      </c>
      <c r="C14" s="398">
        <v>0.75164999999999993</v>
      </c>
      <c r="D14" s="398">
        <v>0</v>
      </c>
      <c r="E14" s="398"/>
      <c r="F14" s="398">
        <v>0</v>
      </c>
      <c r="G14" s="398">
        <v>0</v>
      </c>
      <c r="H14" s="398">
        <v>0</v>
      </c>
      <c r="I14" s="399" t="s">
        <v>322</v>
      </c>
      <c r="J14" s="400" t="s">
        <v>330</v>
      </c>
    </row>
    <row r="15" spans="1:10" ht="14.4" customHeight="1" x14ac:dyDescent="0.3">
      <c r="A15" s="396" t="s">
        <v>322</v>
      </c>
      <c r="B15" s="397" t="s">
        <v>322</v>
      </c>
      <c r="C15" s="398" t="s">
        <v>322</v>
      </c>
      <c r="D15" s="398" t="s">
        <v>322</v>
      </c>
      <c r="E15" s="398"/>
      <c r="F15" s="398" t="s">
        <v>322</v>
      </c>
      <c r="G15" s="398" t="s">
        <v>322</v>
      </c>
      <c r="H15" s="398" t="s">
        <v>322</v>
      </c>
      <c r="I15" s="399" t="s">
        <v>322</v>
      </c>
      <c r="J15" s="400" t="s">
        <v>331</v>
      </c>
    </row>
    <row r="16" spans="1:10" ht="14.4" customHeight="1" x14ac:dyDescent="0.3">
      <c r="A16" s="396" t="s">
        <v>320</v>
      </c>
      <c r="B16" s="397" t="s">
        <v>325</v>
      </c>
      <c r="C16" s="398">
        <v>0.75164999999999993</v>
      </c>
      <c r="D16" s="398">
        <v>0</v>
      </c>
      <c r="E16" s="398"/>
      <c r="F16" s="398">
        <v>0</v>
      </c>
      <c r="G16" s="398">
        <v>0</v>
      </c>
      <c r="H16" s="398">
        <v>0</v>
      </c>
      <c r="I16" s="399" t="s">
        <v>322</v>
      </c>
      <c r="J16" s="400" t="s">
        <v>326</v>
      </c>
    </row>
  </sheetData>
  <mergeCells count="3">
    <mergeCell ref="F3:I3"/>
    <mergeCell ref="C4:D4"/>
    <mergeCell ref="A1:I1"/>
  </mergeCells>
  <conditionalFormatting sqref="F9 F17:F65537">
    <cfRule type="cellIs" dxfId="20" priority="18" stopIfTrue="1" operator="greaterThan">
      <formula>1</formula>
    </cfRule>
  </conditionalFormatting>
  <conditionalFormatting sqref="H5:H8">
    <cfRule type="expression" dxfId="19" priority="14">
      <formula>$H5&gt;0</formula>
    </cfRule>
  </conditionalFormatting>
  <conditionalFormatting sqref="I5:I8">
    <cfRule type="expression" dxfId="18" priority="15">
      <formula>$I5&gt;1</formula>
    </cfRule>
  </conditionalFormatting>
  <conditionalFormatting sqref="B5:B8">
    <cfRule type="expression" dxfId="17" priority="11">
      <formula>OR($J5="NS",$J5="SumaNS",$J5="Účet")</formula>
    </cfRule>
  </conditionalFormatting>
  <conditionalFormatting sqref="B5:D8 F5:I8">
    <cfRule type="expression" dxfId="16" priority="17">
      <formula>AND($J5&lt;&gt;"",$J5&lt;&gt;"mezeraKL")</formula>
    </cfRule>
  </conditionalFormatting>
  <conditionalFormatting sqref="B5:D8 F5:I8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14" priority="13">
      <formula>OR($J5="SumaNS",$J5="NS")</formula>
    </cfRule>
  </conditionalFormatting>
  <conditionalFormatting sqref="A5:A8">
    <cfRule type="expression" dxfId="13" priority="9">
      <formula>AND($J5&lt;&gt;"mezeraKL",$J5&lt;&gt;"")</formula>
    </cfRule>
  </conditionalFormatting>
  <conditionalFormatting sqref="A5:A8">
    <cfRule type="expression" dxfId="12" priority="10">
      <formula>AND($J5&lt;&gt;"",$J5&lt;&gt;"mezeraKL")</formula>
    </cfRule>
  </conditionalFormatting>
  <conditionalFormatting sqref="H10:H16">
    <cfRule type="expression" dxfId="11" priority="5">
      <formula>$H10&gt;0</formula>
    </cfRule>
  </conditionalFormatting>
  <conditionalFormatting sqref="A10:A16">
    <cfRule type="expression" dxfId="10" priority="2">
      <formula>AND($J10&lt;&gt;"mezeraKL",$J10&lt;&gt;"")</formula>
    </cfRule>
  </conditionalFormatting>
  <conditionalFormatting sqref="I10:I16">
    <cfRule type="expression" dxfId="9" priority="6">
      <formula>$I10&gt;1</formula>
    </cfRule>
  </conditionalFormatting>
  <conditionalFormatting sqref="B10:B16">
    <cfRule type="expression" dxfId="8" priority="1">
      <formula>OR($J10="NS",$J10="SumaNS",$J10="Účet")</formula>
    </cfRule>
  </conditionalFormatting>
  <conditionalFormatting sqref="A10:D16 F10:I16">
    <cfRule type="expression" dxfId="7" priority="8">
      <formula>AND($J10&lt;&gt;"",$J10&lt;&gt;"mezeraKL")</formula>
    </cfRule>
  </conditionalFormatting>
  <conditionalFormatting sqref="B10:D16 F10:I16">
    <cfRule type="expression" dxfId="6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16 F10:I16">
    <cfRule type="expression" dxfId="5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1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23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191" customWidth="1"/>
    <col min="18" max="18" width="7.33203125" style="222" customWidth="1"/>
    <col min="19" max="19" width="8" style="191" customWidth="1"/>
    <col min="21" max="21" width="11.21875" bestFit="1" customWidth="1"/>
  </cols>
  <sheetData>
    <row r="1" spans="1:19" ht="18.600000000000001" thickBot="1" x14ac:dyDescent="0.4">
      <c r="A1" s="308" t="s">
        <v>81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07"/>
    </row>
    <row r="2" spans="1:19" ht="15" thickBot="1" x14ac:dyDescent="0.35">
      <c r="A2" s="192" t="s">
        <v>207</v>
      </c>
      <c r="B2" s="193"/>
    </row>
    <row r="3" spans="1:19" x14ac:dyDescent="0.3">
      <c r="A3" s="322" t="s">
        <v>139</v>
      </c>
      <c r="B3" s="323"/>
      <c r="C3" s="324" t="s">
        <v>128</v>
      </c>
      <c r="D3" s="325"/>
      <c r="E3" s="325"/>
      <c r="F3" s="326"/>
      <c r="G3" s="327" t="s">
        <v>129</v>
      </c>
      <c r="H3" s="328"/>
      <c r="I3" s="328"/>
      <c r="J3" s="329"/>
      <c r="K3" s="330" t="s">
        <v>138</v>
      </c>
      <c r="L3" s="331"/>
      <c r="M3" s="331"/>
      <c r="N3" s="331"/>
      <c r="O3" s="332"/>
      <c r="P3" s="328" t="s">
        <v>204</v>
      </c>
      <c r="Q3" s="328"/>
      <c r="R3" s="328"/>
      <c r="S3" s="329"/>
    </row>
    <row r="4" spans="1:19" ht="15" thickBot="1" x14ac:dyDescent="0.35">
      <c r="A4" s="341">
        <v>2017</v>
      </c>
      <c r="B4" s="342"/>
      <c r="C4" s="343" t="s">
        <v>203</v>
      </c>
      <c r="D4" s="345" t="s">
        <v>82</v>
      </c>
      <c r="E4" s="345" t="s">
        <v>50</v>
      </c>
      <c r="F4" s="320" t="s">
        <v>43</v>
      </c>
      <c r="G4" s="335" t="s">
        <v>130</v>
      </c>
      <c r="H4" s="337" t="s">
        <v>134</v>
      </c>
      <c r="I4" s="337" t="s">
        <v>202</v>
      </c>
      <c r="J4" s="339" t="s">
        <v>131</v>
      </c>
      <c r="K4" s="317" t="s">
        <v>201</v>
      </c>
      <c r="L4" s="318"/>
      <c r="M4" s="318"/>
      <c r="N4" s="319"/>
      <c r="O4" s="320" t="s">
        <v>200</v>
      </c>
      <c r="P4" s="309" t="s">
        <v>199</v>
      </c>
      <c r="Q4" s="309" t="s">
        <v>141</v>
      </c>
      <c r="R4" s="311" t="s">
        <v>50</v>
      </c>
      <c r="S4" s="313" t="s">
        <v>140</v>
      </c>
    </row>
    <row r="5" spans="1:19" s="257" customFormat="1" ht="19.2" customHeight="1" x14ac:dyDescent="0.3">
      <c r="A5" s="315" t="s">
        <v>198</v>
      </c>
      <c r="B5" s="316"/>
      <c r="C5" s="344"/>
      <c r="D5" s="346"/>
      <c r="E5" s="346"/>
      <c r="F5" s="321"/>
      <c r="G5" s="336"/>
      <c r="H5" s="338"/>
      <c r="I5" s="338"/>
      <c r="J5" s="340"/>
      <c r="K5" s="260" t="s">
        <v>132</v>
      </c>
      <c r="L5" s="259" t="s">
        <v>133</v>
      </c>
      <c r="M5" s="259" t="s">
        <v>197</v>
      </c>
      <c r="N5" s="258" t="s">
        <v>3</v>
      </c>
      <c r="O5" s="321"/>
      <c r="P5" s="310"/>
      <c r="Q5" s="310"/>
      <c r="R5" s="312"/>
      <c r="S5" s="314"/>
    </row>
    <row r="6" spans="1:19" ht="15" thickBot="1" x14ac:dyDescent="0.35">
      <c r="A6" s="333" t="s">
        <v>127</v>
      </c>
      <c r="B6" s="334"/>
      <c r="C6" s="256">
        <f ca="1">SUM(Tabulka[01 uv_sk])/2</f>
        <v>13.641666666666664</v>
      </c>
      <c r="D6" s="254"/>
      <c r="E6" s="254"/>
      <c r="F6" s="253"/>
      <c r="G6" s="255">
        <f ca="1">SUM(Tabulka[05 h_vram])/2</f>
        <v>24267</v>
      </c>
      <c r="H6" s="254">
        <f ca="1">SUM(Tabulka[06 h_naduv])/2</f>
        <v>6</v>
      </c>
      <c r="I6" s="254">
        <f ca="1">SUM(Tabulka[07 h_nadzk])/2</f>
        <v>5</v>
      </c>
      <c r="J6" s="253">
        <f ca="1">SUM(Tabulka[08 h_oon])/2</f>
        <v>0</v>
      </c>
      <c r="K6" s="255">
        <f ca="1">SUM(Tabulka[09 m_kl])/2</f>
        <v>0</v>
      </c>
      <c r="L6" s="254">
        <f ca="1">SUM(Tabulka[10 m_gr])/2</f>
        <v>0</v>
      </c>
      <c r="M6" s="254">
        <f ca="1">SUM(Tabulka[11 m_jo])/2</f>
        <v>370885</v>
      </c>
      <c r="N6" s="254">
        <f ca="1">SUM(Tabulka[12 m_oc])/2</f>
        <v>370885</v>
      </c>
      <c r="O6" s="253">
        <f ca="1">SUM(Tabulka[13 m_sk])/2</f>
        <v>6038027</v>
      </c>
      <c r="P6" s="252">
        <f ca="1">SUM(Tabulka[14_vzsk])/2</f>
        <v>36390</v>
      </c>
      <c r="Q6" s="252">
        <f ca="1">SUM(Tabulka[15_vzpl])/2</f>
        <v>0</v>
      </c>
      <c r="R6" s="251">
        <f ca="1">IF(Q6=0,0,P6/Q6)</f>
        <v>0</v>
      </c>
      <c r="S6" s="250">
        <f ca="1">Q6-P6</f>
        <v>-36390</v>
      </c>
    </row>
    <row r="7" spans="1:19" hidden="1" x14ac:dyDescent="0.3">
      <c r="A7" s="249" t="s">
        <v>196</v>
      </c>
      <c r="B7" s="248" t="s">
        <v>195</v>
      </c>
      <c r="C7" s="247" t="s">
        <v>194</v>
      </c>
      <c r="D7" s="246" t="s">
        <v>193</v>
      </c>
      <c r="E7" s="245" t="s">
        <v>192</v>
      </c>
      <c r="F7" s="244" t="s">
        <v>191</v>
      </c>
      <c r="G7" s="243" t="s">
        <v>190</v>
      </c>
      <c r="H7" s="241" t="s">
        <v>189</v>
      </c>
      <c r="I7" s="241" t="s">
        <v>188</v>
      </c>
      <c r="J7" s="240" t="s">
        <v>187</v>
      </c>
      <c r="K7" s="242" t="s">
        <v>186</v>
      </c>
      <c r="L7" s="241" t="s">
        <v>185</v>
      </c>
      <c r="M7" s="241" t="s">
        <v>184</v>
      </c>
      <c r="N7" s="240" t="s">
        <v>183</v>
      </c>
      <c r="O7" s="239" t="s">
        <v>182</v>
      </c>
      <c r="P7" s="238" t="s">
        <v>181</v>
      </c>
      <c r="Q7" s="237" t="s">
        <v>180</v>
      </c>
      <c r="R7" s="236" t="s">
        <v>179</v>
      </c>
      <c r="S7" s="235" t="s">
        <v>178</v>
      </c>
    </row>
    <row r="8" spans="1:19" x14ac:dyDescent="0.3">
      <c r="A8" s="232" t="s">
        <v>332</v>
      </c>
      <c r="B8" s="231"/>
      <c r="C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12.641666666666664</v>
      </c>
      <c r="D8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22383</v>
      </c>
      <c r="H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</v>
      </c>
      <c r="I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</v>
      </c>
      <c r="J8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357285</v>
      </c>
      <c r="N8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357285</v>
      </c>
      <c r="O8" s="22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5754743</v>
      </c>
      <c r="P8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36390</v>
      </c>
      <c r="Q8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8" s="234" t="str">
        <f ca="1">IF(Tabulka[[#This Row],[15_vzpl]]=0,"",Tabulka[[#This Row],[14_vzsk]]/Tabulka[[#This Row],[15_vzpl]])</f>
        <v/>
      </c>
      <c r="S8" s="233">
        <f ca="1">IF(Tabulka[[#This Row],[15_vzpl]]-Tabulka[[#This Row],[14_vzsk]]=0,"",Tabulka[[#This Row],[15_vzpl]]-Tabulka[[#This Row],[14_vzsk]])</f>
        <v>-36390</v>
      </c>
    </row>
    <row r="9" spans="1:19" x14ac:dyDescent="0.3">
      <c r="A9" s="232">
        <v>520</v>
      </c>
      <c r="B9" s="231" t="s">
        <v>347</v>
      </c>
      <c r="C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2.4000000000000004</v>
      </c>
      <c r="D9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4486</v>
      </c>
      <c r="H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</v>
      </c>
      <c r="I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</v>
      </c>
      <c r="J9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68304</v>
      </c>
      <c r="N9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68304</v>
      </c>
      <c r="O9" s="22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895142</v>
      </c>
      <c r="P9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9" s="234" t="str">
        <f ca="1">IF(Tabulka[[#This Row],[15_vzpl]]=0,"",Tabulka[[#This Row],[14_vzsk]]/Tabulka[[#This Row],[15_vzpl]])</f>
        <v/>
      </c>
      <c r="S9" s="233" t="str">
        <f ca="1">IF(Tabulka[[#This Row],[15_vzpl]]-Tabulka[[#This Row],[14_vzsk]]=0,"",Tabulka[[#This Row],[15_vzpl]]-Tabulka[[#This Row],[14_vzsk]])</f>
        <v/>
      </c>
    </row>
    <row r="10" spans="1:19" x14ac:dyDescent="0.3">
      <c r="A10" s="232">
        <v>521</v>
      </c>
      <c r="B10" s="231" t="s">
        <v>348</v>
      </c>
      <c r="C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8.0250000000000004</v>
      </c>
      <c r="D10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14319</v>
      </c>
      <c r="H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207907</v>
      </c>
      <c r="N10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207907</v>
      </c>
      <c r="O10" s="22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3723787</v>
      </c>
      <c r="P10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34" t="str">
        <f ca="1">IF(Tabulka[[#This Row],[15_vzpl]]=0,"",Tabulka[[#This Row],[14_vzsk]]/Tabulka[[#This Row],[15_vzpl]])</f>
        <v/>
      </c>
      <c r="S10" s="233" t="str">
        <f ca="1">IF(Tabulka[[#This Row],[15_vzpl]]-Tabulka[[#This Row],[14_vzsk]]=0,"",Tabulka[[#This Row],[15_vzpl]]-Tabulka[[#This Row],[14_vzsk]])</f>
        <v/>
      </c>
    </row>
    <row r="11" spans="1:19" x14ac:dyDescent="0.3">
      <c r="A11" s="232">
        <v>522</v>
      </c>
      <c r="B11" s="231" t="s">
        <v>349</v>
      </c>
      <c r="C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1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1844</v>
      </c>
      <c r="H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72486</v>
      </c>
      <c r="N11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72486</v>
      </c>
      <c r="O11" s="22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773174</v>
      </c>
      <c r="P11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34" t="str">
        <f ca="1">IF(Tabulka[[#This Row],[15_vzpl]]=0,"",Tabulka[[#This Row],[14_vzsk]]/Tabulka[[#This Row],[15_vzpl]])</f>
        <v/>
      </c>
      <c r="S11" s="233" t="str">
        <f ca="1">IF(Tabulka[[#This Row],[15_vzpl]]-Tabulka[[#This Row],[14_vzsk]]=0,"",Tabulka[[#This Row],[15_vzpl]]-Tabulka[[#This Row],[14_vzsk]])</f>
        <v/>
      </c>
    </row>
    <row r="12" spans="1:19" x14ac:dyDescent="0.3">
      <c r="A12" s="232">
        <v>526</v>
      </c>
      <c r="B12" s="231" t="s">
        <v>350</v>
      </c>
      <c r="C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2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2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2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36390</v>
      </c>
      <c r="Q12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34" t="str">
        <f ca="1">IF(Tabulka[[#This Row],[15_vzpl]]=0,"",Tabulka[[#This Row],[14_vzsk]]/Tabulka[[#This Row],[15_vzpl]])</f>
        <v/>
      </c>
      <c r="S12" s="233">
        <f ca="1">IF(Tabulka[[#This Row],[15_vzpl]]-Tabulka[[#This Row],[14_vzsk]]=0,"",Tabulka[[#This Row],[15_vzpl]]-Tabulka[[#This Row],[14_vzsk]])</f>
        <v>-36390</v>
      </c>
    </row>
    <row r="13" spans="1:19" x14ac:dyDescent="0.3">
      <c r="A13" s="232">
        <v>743</v>
      </c>
      <c r="B13" s="231" t="s">
        <v>351</v>
      </c>
      <c r="C13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1.2166666666666666</v>
      </c>
      <c r="D13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1734</v>
      </c>
      <c r="H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8588</v>
      </c>
      <c r="N13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8588</v>
      </c>
      <c r="O13" s="22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362640</v>
      </c>
      <c r="P13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34" t="str">
        <f ca="1">IF(Tabulka[[#This Row],[15_vzpl]]=0,"",Tabulka[[#This Row],[14_vzsk]]/Tabulka[[#This Row],[15_vzpl]])</f>
        <v/>
      </c>
      <c r="S13" s="233" t="str">
        <f ca="1">IF(Tabulka[[#This Row],[15_vzpl]]-Tabulka[[#This Row],[14_vzsk]]=0,"",Tabulka[[#This Row],[15_vzpl]]-Tabulka[[#This Row],[14_vzsk]])</f>
        <v/>
      </c>
    </row>
    <row r="14" spans="1:19" x14ac:dyDescent="0.3">
      <c r="A14" s="232" t="s">
        <v>333</v>
      </c>
      <c r="B14" s="231"/>
      <c r="C14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4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1884</v>
      </c>
      <c r="H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13600</v>
      </c>
      <c r="N14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13600</v>
      </c>
      <c r="O14" s="22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283284</v>
      </c>
      <c r="P14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34" t="str">
        <f ca="1">IF(Tabulka[[#This Row],[15_vzpl]]=0,"",Tabulka[[#This Row],[14_vzsk]]/Tabulka[[#This Row],[15_vzpl]])</f>
        <v/>
      </c>
      <c r="S14" s="233" t="str">
        <f ca="1">IF(Tabulka[[#This Row],[15_vzpl]]-Tabulka[[#This Row],[14_vzsk]]=0,"",Tabulka[[#This Row],[15_vzpl]]-Tabulka[[#This Row],[14_vzsk]])</f>
        <v/>
      </c>
    </row>
    <row r="15" spans="1:19" x14ac:dyDescent="0.3">
      <c r="A15" s="232">
        <v>30</v>
      </c>
      <c r="B15" s="231" t="s">
        <v>352</v>
      </c>
      <c r="C15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5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1884</v>
      </c>
      <c r="H15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13600</v>
      </c>
      <c r="N15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13600</v>
      </c>
      <c r="O15" s="22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283284</v>
      </c>
      <c r="P15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34" t="str">
        <f ca="1">IF(Tabulka[[#This Row],[15_vzpl]]=0,"",Tabulka[[#This Row],[14_vzsk]]/Tabulka[[#This Row],[15_vzpl]])</f>
        <v/>
      </c>
      <c r="S15" s="233" t="str">
        <f ca="1">IF(Tabulka[[#This Row],[15_vzpl]]-Tabulka[[#This Row],[14_vzsk]]=0,"",Tabulka[[#This Row],[15_vzpl]]-Tabulka[[#This Row],[14_vzsk]])</f>
        <v/>
      </c>
    </row>
    <row r="16" spans="1:19" x14ac:dyDescent="0.3">
      <c r="A16" t="s">
        <v>206</v>
      </c>
    </row>
    <row r="17" spans="1:1" x14ac:dyDescent="0.3">
      <c r="A17" s="85" t="s">
        <v>111</v>
      </c>
    </row>
    <row r="18" spans="1:1" x14ac:dyDescent="0.3">
      <c r="A18" s="86" t="s">
        <v>177</v>
      </c>
    </row>
    <row r="19" spans="1:1" x14ac:dyDescent="0.3">
      <c r="A19" s="224" t="s">
        <v>176</v>
      </c>
    </row>
    <row r="20" spans="1:1" x14ac:dyDescent="0.3">
      <c r="A20" s="195" t="s">
        <v>137</v>
      </c>
    </row>
    <row r="21" spans="1:1" x14ac:dyDescent="0.3">
      <c r="A21" s="197" t="s">
        <v>142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5">
    <cfRule type="cellIs" dxfId="4" priority="3" operator="lessThan">
      <formula>0</formula>
    </cfRule>
  </conditionalFormatting>
  <conditionalFormatting sqref="R6:R15">
    <cfRule type="cellIs" dxfId="3" priority="4" operator="greaterThan">
      <formula>1</formula>
    </cfRule>
  </conditionalFormatting>
  <conditionalFormatting sqref="A8:S15">
    <cfRule type="expression" dxfId="2" priority="2">
      <formula>$B8=""</formula>
    </cfRule>
  </conditionalFormatting>
  <conditionalFormatting sqref="P8:S15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101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346</v>
      </c>
    </row>
    <row r="2" spans="1:19" x14ac:dyDescent="0.3">
      <c r="A2" s="192" t="s">
        <v>207</v>
      </c>
    </row>
    <row r="3" spans="1:19" x14ac:dyDescent="0.3">
      <c r="A3" s="270" t="s">
        <v>114</v>
      </c>
      <c r="B3" s="269" t="s">
        <v>175</v>
      </c>
      <c r="C3" t="s">
        <v>205</v>
      </c>
      <c r="D3" t="s">
        <v>196</v>
      </c>
      <c r="E3" t="s">
        <v>194</v>
      </c>
      <c r="F3" t="s">
        <v>193</v>
      </c>
      <c r="G3" t="s">
        <v>192</v>
      </c>
      <c r="H3" t="s">
        <v>191</v>
      </c>
      <c r="I3" t="s">
        <v>190</v>
      </c>
      <c r="J3" t="s">
        <v>189</v>
      </c>
      <c r="K3" t="s">
        <v>188</v>
      </c>
      <c r="L3" t="s">
        <v>187</v>
      </c>
      <c r="M3" t="s">
        <v>186</v>
      </c>
      <c r="N3" t="s">
        <v>185</v>
      </c>
      <c r="O3" t="s">
        <v>184</v>
      </c>
      <c r="P3" t="s">
        <v>183</v>
      </c>
      <c r="Q3" t="s">
        <v>182</v>
      </c>
      <c r="R3" t="s">
        <v>181</v>
      </c>
      <c r="S3" t="s">
        <v>180</v>
      </c>
    </row>
    <row r="4" spans="1:19" x14ac:dyDescent="0.3">
      <c r="A4" s="268" t="s">
        <v>115</v>
      </c>
      <c r="B4" s="267">
        <v>1</v>
      </c>
      <c r="C4" s="262">
        <v>1</v>
      </c>
      <c r="D4" s="262" t="s">
        <v>332</v>
      </c>
      <c r="E4" s="261">
        <v>12.1</v>
      </c>
      <c r="F4" s="261"/>
      <c r="G4" s="261"/>
      <c r="H4" s="261"/>
      <c r="I4" s="261">
        <v>1683</v>
      </c>
      <c r="J4" s="261"/>
      <c r="K4" s="261"/>
      <c r="L4" s="261"/>
      <c r="M4" s="261"/>
      <c r="N4" s="261"/>
      <c r="O4" s="261">
        <v>15469</v>
      </c>
      <c r="P4" s="261">
        <v>15469</v>
      </c>
      <c r="Q4" s="261">
        <v>413776</v>
      </c>
      <c r="R4" s="261">
        <v>4840</v>
      </c>
      <c r="S4" s="261"/>
    </row>
    <row r="5" spans="1:19" x14ac:dyDescent="0.3">
      <c r="A5" s="266" t="s">
        <v>116</v>
      </c>
      <c r="B5" s="265">
        <v>2</v>
      </c>
      <c r="C5">
        <v>1</v>
      </c>
      <c r="D5">
        <v>520</v>
      </c>
      <c r="O5">
        <v>364</v>
      </c>
      <c r="P5">
        <v>364</v>
      </c>
    </row>
    <row r="6" spans="1:19" x14ac:dyDescent="0.3">
      <c r="A6" s="268" t="s">
        <v>117</v>
      </c>
      <c r="B6" s="267">
        <v>3</v>
      </c>
      <c r="C6">
        <v>1</v>
      </c>
      <c r="D6">
        <v>521</v>
      </c>
      <c r="E6">
        <v>7.5</v>
      </c>
      <c r="I6">
        <v>1129</v>
      </c>
      <c r="O6">
        <v>13734</v>
      </c>
      <c r="P6">
        <v>13734</v>
      </c>
      <c r="Q6">
        <v>278033</v>
      </c>
    </row>
    <row r="7" spans="1:19" x14ac:dyDescent="0.3">
      <c r="A7" s="266" t="s">
        <v>118</v>
      </c>
      <c r="B7" s="265">
        <v>4</v>
      </c>
      <c r="C7">
        <v>1</v>
      </c>
      <c r="D7">
        <v>522</v>
      </c>
      <c r="E7">
        <v>1</v>
      </c>
      <c r="I7">
        <v>176</v>
      </c>
      <c r="O7">
        <v>1371</v>
      </c>
      <c r="P7">
        <v>1371</v>
      </c>
      <c r="Q7">
        <v>59905</v>
      </c>
    </row>
    <row r="8" spans="1:19" x14ac:dyDescent="0.3">
      <c r="A8" s="268" t="s">
        <v>119</v>
      </c>
      <c r="B8" s="267">
        <v>5</v>
      </c>
      <c r="C8">
        <v>1</v>
      </c>
      <c r="D8">
        <v>526</v>
      </c>
      <c r="R8">
        <v>4840</v>
      </c>
    </row>
    <row r="9" spans="1:19" x14ac:dyDescent="0.3">
      <c r="A9" s="266" t="s">
        <v>120</v>
      </c>
      <c r="B9" s="265">
        <v>6</v>
      </c>
      <c r="C9">
        <v>1</v>
      </c>
      <c r="D9">
        <v>743</v>
      </c>
      <c r="E9">
        <v>3.6</v>
      </c>
      <c r="I9">
        <v>378</v>
      </c>
      <c r="Q9">
        <v>75838</v>
      </c>
    </row>
    <row r="10" spans="1:19" x14ac:dyDescent="0.3">
      <c r="A10" s="268" t="s">
        <v>121</v>
      </c>
      <c r="B10" s="267">
        <v>7</v>
      </c>
      <c r="C10">
        <v>1</v>
      </c>
      <c r="D10" t="s">
        <v>333</v>
      </c>
      <c r="E10">
        <v>1</v>
      </c>
      <c r="I10">
        <v>172</v>
      </c>
      <c r="Q10">
        <v>22421</v>
      </c>
    </row>
    <row r="11" spans="1:19" x14ac:dyDescent="0.3">
      <c r="A11" s="266" t="s">
        <v>122</v>
      </c>
      <c r="B11" s="265">
        <v>8</v>
      </c>
      <c r="C11">
        <v>1</v>
      </c>
      <c r="D11">
        <v>30</v>
      </c>
      <c r="E11">
        <v>1</v>
      </c>
      <c r="I11">
        <v>172</v>
      </c>
      <c r="Q11">
        <v>22421</v>
      </c>
    </row>
    <row r="12" spans="1:19" x14ac:dyDescent="0.3">
      <c r="A12" s="268" t="s">
        <v>123</v>
      </c>
      <c r="B12" s="267">
        <v>9</v>
      </c>
      <c r="C12" t="s">
        <v>334</v>
      </c>
      <c r="E12">
        <v>13.1</v>
      </c>
      <c r="I12">
        <v>1855</v>
      </c>
      <c r="O12">
        <v>15469</v>
      </c>
      <c r="P12">
        <v>15469</v>
      </c>
      <c r="Q12">
        <v>436197</v>
      </c>
      <c r="R12">
        <v>4840</v>
      </c>
    </row>
    <row r="13" spans="1:19" x14ac:dyDescent="0.3">
      <c r="A13" s="266" t="s">
        <v>124</v>
      </c>
      <c r="B13" s="265">
        <v>10</v>
      </c>
      <c r="C13">
        <v>2</v>
      </c>
      <c r="D13" t="s">
        <v>332</v>
      </c>
      <c r="E13">
        <v>11.6</v>
      </c>
      <c r="I13">
        <v>1496</v>
      </c>
      <c r="O13">
        <v>10744</v>
      </c>
      <c r="P13">
        <v>10744</v>
      </c>
      <c r="Q13">
        <v>410803</v>
      </c>
    </row>
    <row r="14" spans="1:19" x14ac:dyDescent="0.3">
      <c r="A14" s="268" t="s">
        <v>125</v>
      </c>
      <c r="B14" s="267">
        <v>11</v>
      </c>
      <c r="C14">
        <v>2</v>
      </c>
      <c r="D14">
        <v>521</v>
      </c>
      <c r="E14">
        <v>9.6</v>
      </c>
      <c r="I14">
        <v>1356</v>
      </c>
      <c r="O14">
        <v>10744</v>
      </c>
      <c r="P14">
        <v>10744</v>
      </c>
      <c r="Q14">
        <v>352362</v>
      </c>
    </row>
    <row r="15" spans="1:19" x14ac:dyDescent="0.3">
      <c r="A15" s="266" t="s">
        <v>126</v>
      </c>
      <c r="B15" s="265">
        <v>12</v>
      </c>
      <c r="C15">
        <v>2</v>
      </c>
      <c r="D15">
        <v>522</v>
      </c>
      <c r="E15">
        <v>1</v>
      </c>
      <c r="I15">
        <v>140</v>
      </c>
      <c r="Q15">
        <v>58441</v>
      </c>
    </row>
    <row r="16" spans="1:19" x14ac:dyDescent="0.3">
      <c r="A16" s="264" t="s">
        <v>114</v>
      </c>
      <c r="B16" s="263">
        <v>2017</v>
      </c>
      <c r="C16">
        <v>2</v>
      </c>
      <c r="D16">
        <v>743</v>
      </c>
      <c r="E16">
        <v>1</v>
      </c>
    </row>
    <row r="17" spans="3:17" x14ac:dyDescent="0.3">
      <c r="C17">
        <v>2</v>
      </c>
      <c r="D17" t="s">
        <v>333</v>
      </c>
      <c r="E17">
        <v>1</v>
      </c>
      <c r="I17">
        <v>160</v>
      </c>
      <c r="Q17">
        <v>22390</v>
      </c>
    </row>
    <row r="18" spans="3:17" x14ac:dyDescent="0.3">
      <c r="C18">
        <v>2</v>
      </c>
      <c r="D18">
        <v>30</v>
      </c>
      <c r="E18">
        <v>1</v>
      </c>
      <c r="I18">
        <v>160</v>
      </c>
      <c r="Q18">
        <v>22390</v>
      </c>
    </row>
    <row r="19" spans="3:17" x14ac:dyDescent="0.3">
      <c r="C19" t="s">
        <v>335</v>
      </c>
      <c r="E19">
        <v>12.6</v>
      </c>
      <c r="I19">
        <v>1656</v>
      </c>
      <c r="O19">
        <v>10744</v>
      </c>
      <c r="P19">
        <v>10744</v>
      </c>
      <c r="Q19">
        <v>433193</v>
      </c>
    </row>
    <row r="20" spans="3:17" x14ac:dyDescent="0.3">
      <c r="C20">
        <v>3</v>
      </c>
      <c r="D20" t="s">
        <v>332</v>
      </c>
      <c r="E20">
        <v>12.6</v>
      </c>
      <c r="I20">
        <v>2054</v>
      </c>
      <c r="O20">
        <v>10744</v>
      </c>
      <c r="P20">
        <v>10744</v>
      </c>
      <c r="Q20">
        <v>439775</v>
      </c>
    </row>
    <row r="21" spans="3:17" x14ac:dyDescent="0.3">
      <c r="C21">
        <v>3</v>
      </c>
      <c r="D21">
        <v>521</v>
      </c>
      <c r="E21">
        <v>10.6</v>
      </c>
      <c r="I21">
        <v>1838</v>
      </c>
      <c r="O21">
        <v>10744</v>
      </c>
      <c r="P21">
        <v>10744</v>
      </c>
      <c r="Q21">
        <v>376326</v>
      </c>
    </row>
    <row r="22" spans="3:17" x14ac:dyDescent="0.3">
      <c r="C22">
        <v>3</v>
      </c>
      <c r="D22">
        <v>522</v>
      </c>
      <c r="E22">
        <v>1</v>
      </c>
      <c r="I22">
        <v>176</v>
      </c>
      <c r="Q22">
        <v>58658</v>
      </c>
    </row>
    <row r="23" spans="3:17" x14ac:dyDescent="0.3">
      <c r="C23">
        <v>3</v>
      </c>
      <c r="D23">
        <v>743</v>
      </c>
      <c r="E23">
        <v>1</v>
      </c>
      <c r="I23">
        <v>40</v>
      </c>
      <c r="Q23">
        <v>4791</v>
      </c>
    </row>
    <row r="24" spans="3:17" x14ac:dyDescent="0.3">
      <c r="C24">
        <v>3</v>
      </c>
      <c r="D24" t="s">
        <v>333</v>
      </c>
      <c r="E24">
        <v>1</v>
      </c>
      <c r="I24">
        <v>184</v>
      </c>
      <c r="Q24">
        <v>22390</v>
      </c>
    </row>
    <row r="25" spans="3:17" x14ac:dyDescent="0.3">
      <c r="C25">
        <v>3</v>
      </c>
      <c r="D25">
        <v>30</v>
      </c>
      <c r="E25">
        <v>1</v>
      </c>
      <c r="I25">
        <v>184</v>
      </c>
      <c r="Q25">
        <v>22390</v>
      </c>
    </row>
    <row r="26" spans="3:17" x14ac:dyDescent="0.3">
      <c r="C26" t="s">
        <v>336</v>
      </c>
      <c r="E26">
        <v>13.6</v>
      </c>
      <c r="I26">
        <v>2238</v>
      </c>
      <c r="O26">
        <v>10744</v>
      </c>
      <c r="P26">
        <v>10744</v>
      </c>
      <c r="Q26">
        <v>462165</v>
      </c>
    </row>
    <row r="27" spans="3:17" x14ac:dyDescent="0.3">
      <c r="C27">
        <v>4</v>
      </c>
      <c r="D27" t="s">
        <v>332</v>
      </c>
      <c r="E27">
        <v>12.6</v>
      </c>
      <c r="I27">
        <v>1872</v>
      </c>
      <c r="Q27">
        <v>454867</v>
      </c>
    </row>
    <row r="28" spans="3:17" x14ac:dyDescent="0.3">
      <c r="C28">
        <v>4</v>
      </c>
      <c r="D28">
        <v>521</v>
      </c>
      <c r="E28">
        <v>10.6</v>
      </c>
      <c r="I28">
        <v>1584</v>
      </c>
      <c r="Q28">
        <v>362706</v>
      </c>
    </row>
    <row r="29" spans="3:17" x14ac:dyDescent="0.3">
      <c r="C29">
        <v>4</v>
      </c>
      <c r="D29">
        <v>522</v>
      </c>
      <c r="E29">
        <v>1</v>
      </c>
      <c r="I29">
        <v>144</v>
      </c>
      <c r="Q29">
        <v>58261</v>
      </c>
    </row>
    <row r="30" spans="3:17" x14ac:dyDescent="0.3">
      <c r="C30">
        <v>4</v>
      </c>
      <c r="D30">
        <v>743</v>
      </c>
      <c r="E30">
        <v>1</v>
      </c>
      <c r="I30">
        <v>144</v>
      </c>
      <c r="Q30">
        <v>33900</v>
      </c>
    </row>
    <row r="31" spans="3:17" x14ac:dyDescent="0.3">
      <c r="C31">
        <v>4</v>
      </c>
      <c r="D31" t="s">
        <v>333</v>
      </c>
      <c r="E31">
        <v>1</v>
      </c>
      <c r="I31">
        <v>152</v>
      </c>
      <c r="Q31">
        <v>22375</v>
      </c>
    </row>
    <row r="32" spans="3:17" x14ac:dyDescent="0.3">
      <c r="C32">
        <v>4</v>
      </c>
      <c r="D32">
        <v>30</v>
      </c>
      <c r="E32">
        <v>1</v>
      </c>
      <c r="I32">
        <v>152</v>
      </c>
      <c r="Q32">
        <v>22375</v>
      </c>
    </row>
    <row r="33" spans="3:17" x14ac:dyDescent="0.3">
      <c r="C33" t="s">
        <v>337</v>
      </c>
      <c r="E33">
        <v>13.6</v>
      </c>
      <c r="I33">
        <v>2024</v>
      </c>
      <c r="Q33">
        <v>477242</v>
      </c>
    </row>
    <row r="34" spans="3:17" x14ac:dyDescent="0.3">
      <c r="C34">
        <v>5</v>
      </c>
      <c r="D34" t="s">
        <v>332</v>
      </c>
      <c r="E34">
        <v>13.6</v>
      </c>
      <c r="I34">
        <v>2219</v>
      </c>
      <c r="Q34">
        <v>494903</v>
      </c>
    </row>
    <row r="35" spans="3:17" x14ac:dyDescent="0.3">
      <c r="C35">
        <v>5</v>
      </c>
      <c r="D35">
        <v>520</v>
      </c>
      <c r="E35">
        <v>3.6</v>
      </c>
      <c r="I35">
        <v>664</v>
      </c>
      <c r="Q35">
        <v>99062</v>
      </c>
    </row>
    <row r="36" spans="3:17" x14ac:dyDescent="0.3">
      <c r="C36">
        <v>5</v>
      </c>
      <c r="D36">
        <v>521</v>
      </c>
      <c r="E36">
        <v>8</v>
      </c>
      <c r="I36">
        <v>1211</v>
      </c>
      <c r="Q36">
        <v>302737</v>
      </c>
    </row>
    <row r="37" spans="3:17" x14ac:dyDescent="0.3">
      <c r="C37">
        <v>5</v>
      </c>
      <c r="D37">
        <v>522</v>
      </c>
      <c r="E37">
        <v>1</v>
      </c>
      <c r="I37">
        <v>172</v>
      </c>
      <c r="Q37">
        <v>58808</v>
      </c>
    </row>
    <row r="38" spans="3:17" x14ac:dyDescent="0.3">
      <c r="C38">
        <v>5</v>
      </c>
      <c r="D38">
        <v>743</v>
      </c>
      <c r="E38">
        <v>1</v>
      </c>
      <c r="I38">
        <v>172</v>
      </c>
      <c r="Q38">
        <v>34296</v>
      </c>
    </row>
    <row r="39" spans="3:17" x14ac:dyDescent="0.3">
      <c r="C39">
        <v>5</v>
      </c>
      <c r="D39" t="s">
        <v>333</v>
      </c>
      <c r="E39">
        <v>1</v>
      </c>
      <c r="I39">
        <v>176</v>
      </c>
      <c r="Q39">
        <v>22521</v>
      </c>
    </row>
    <row r="40" spans="3:17" x14ac:dyDescent="0.3">
      <c r="C40">
        <v>5</v>
      </c>
      <c r="D40">
        <v>30</v>
      </c>
      <c r="E40">
        <v>1</v>
      </c>
      <c r="I40">
        <v>176</v>
      </c>
      <c r="Q40">
        <v>22521</v>
      </c>
    </row>
    <row r="41" spans="3:17" x14ac:dyDescent="0.3">
      <c r="C41" t="s">
        <v>338</v>
      </c>
      <c r="E41">
        <v>14.6</v>
      </c>
      <c r="I41">
        <v>2395</v>
      </c>
      <c r="Q41">
        <v>517424</v>
      </c>
    </row>
    <row r="42" spans="3:17" x14ac:dyDescent="0.3">
      <c r="C42">
        <v>6</v>
      </c>
      <c r="D42" t="s">
        <v>332</v>
      </c>
      <c r="E42">
        <v>12.6</v>
      </c>
      <c r="I42">
        <v>1951</v>
      </c>
      <c r="Q42">
        <v>460217</v>
      </c>
    </row>
    <row r="43" spans="3:17" x14ac:dyDescent="0.3">
      <c r="C43">
        <v>6</v>
      </c>
      <c r="D43">
        <v>520</v>
      </c>
      <c r="E43">
        <v>3.6</v>
      </c>
      <c r="I43">
        <v>570</v>
      </c>
      <c r="Q43">
        <v>99645</v>
      </c>
    </row>
    <row r="44" spans="3:17" x14ac:dyDescent="0.3">
      <c r="C44">
        <v>6</v>
      </c>
      <c r="D44">
        <v>521</v>
      </c>
      <c r="E44">
        <v>7</v>
      </c>
      <c r="I44">
        <v>1109</v>
      </c>
      <c r="Q44">
        <v>271429</v>
      </c>
    </row>
    <row r="45" spans="3:17" x14ac:dyDescent="0.3">
      <c r="C45">
        <v>6</v>
      </c>
      <c r="D45">
        <v>522</v>
      </c>
      <c r="E45">
        <v>1</v>
      </c>
      <c r="I45">
        <v>156</v>
      </c>
      <c r="Q45">
        <v>58946</v>
      </c>
    </row>
    <row r="46" spans="3:17" x14ac:dyDescent="0.3">
      <c r="C46">
        <v>6</v>
      </c>
      <c r="D46">
        <v>743</v>
      </c>
      <c r="E46">
        <v>1</v>
      </c>
      <c r="I46">
        <v>116</v>
      </c>
      <c r="Q46">
        <v>30197</v>
      </c>
    </row>
    <row r="47" spans="3:17" x14ac:dyDescent="0.3">
      <c r="C47">
        <v>6</v>
      </c>
      <c r="D47" t="s">
        <v>333</v>
      </c>
      <c r="E47">
        <v>1</v>
      </c>
      <c r="I47">
        <v>160</v>
      </c>
      <c r="Q47">
        <v>22563</v>
      </c>
    </row>
    <row r="48" spans="3:17" x14ac:dyDescent="0.3">
      <c r="C48">
        <v>6</v>
      </c>
      <c r="D48">
        <v>30</v>
      </c>
      <c r="E48">
        <v>1</v>
      </c>
      <c r="I48">
        <v>160</v>
      </c>
      <c r="Q48">
        <v>22563</v>
      </c>
    </row>
    <row r="49" spans="3:18" x14ac:dyDescent="0.3">
      <c r="C49" t="s">
        <v>339</v>
      </c>
      <c r="E49">
        <v>13.6</v>
      </c>
      <c r="I49">
        <v>2111</v>
      </c>
      <c r="Q49">
        <v>482780</v>
      </c>
    </row>
    <row r="50" spans="3:18" x14ac:dyDescent="0.3">
      <c r="C50">
        <v>7</v>
      </c>
      <c r="D50" t="s">
        <v>332</v>
      </c>
      <c r="E50">
        <v>12.6</v>
      </c>
      <c r="I50">
        <v>1627</v>
      </c>
      <c r="O50">
        <v>151265</v>
      </c>
      <c r="P50">
        <v>151265</v>
      </c>
      <c r="Q50">
        <v>597571</v>
      </c>
    </row>
    <row r="51" spans="3:18" x14ac:dyDescent="0.3">
      <c r="C51">
        <v>7</v>
      </c>
      <c r="D51">
        <v>520</v>
      </c>
      <c r="E51">
        <v>3.6</v>
      </c>
      <c r="I51">
        <v>516</v>
      </c>
      <c r="O51">
        <v>31265</v>
      </c>
      <c r="P51">
        <v>31265</v>
      </c>
      <c r="Q51">
        <v>129966</v>
      </c>
    </row>
    <row r="52" spans="3:18" x14ac:dyDescent="0.3">
      <c r="C52">
        <v>7</v>
      </c>
      <c r="D52">
        <v>521</v>
      </c>
      <c r="E52">
        <v>7</v>
      </c>
      <c r="I52">
        <v>879</v>
      </c>
      <c r="O52">
        <v>80950</v>
      </c>
      <c r="P52">
        <v>80950</v>
      </c>
      <c r="Q52">
        <v>342094</v>
      </c>
    </row>
    <row r="53" spans="3:18" x14ac:dyDescent="0.3">
      <c r="C53">
        <v>7</v>
      </c>
      <c r="D53">
        <v>522</v>
      </c>
      <c r="E53">
        <v>1</v>
      </c>
      <c r="I53">
        <v>104</v>
      </c>
      <c r="O53">
        <v>35000</v>
      </c>
      <c r="P53">
        <v>35000</v>
      </c>
      <c r="Q53">
        <v>92658</v>
      </c>
    </row>
    <row r="54" spans="3:18" x14ac:dyDescent="0.3">
      <c r="C54">
        <v>7</v>
      </c>
      <c r="D54">
        <v>743</v>
      </c>
      <c r="E54">
        <v>1</v>
      </c>
      <c r="I54">
        <v>128</v>
      </c>
      <c r="O54">
        <v>4050</v>
      </c>
      <c r="P54">
        <v>4050</v>
      </c>
      <c r="Q54">
        <v>32853</v>
      </c>
    </row>
    <row r="55" spans="3:18" x14ac:dyDescent="0.3">
      <c r="C55">
        <v>7</v>
      </c>
      <c r="D55" t="s">
        <v>333</v>
      </c>
      <c r="E55">
        <v>1</v>
      </c>
      <c r="I55">
        <v>112</v>
      </c>
      <c r="O55">
        <v>6800</v>
      </c>
      <c r="P55">
        <v>6800</v>
      </c>
      <c r="Q55">
        <v>29123</v>
      </c>
    </row>
    <row r="56" spans="3:18" x14ac:dyDescent="0.3">
      <c r="C56">
        <v>7</v>
      </c>
      <c r="D56">
        <v>30</v>
      </c>
      <c r="E56">
        <v>1</v>
      </c>
      <c r="I56">
        <v>112</v>
      </c>
      <c r="O56">
        <v>6800</v>
      </c>
      <c r="P56">
        <v>6800</v>
      </c>
      <c r="Q56">
        <v>29123</v>
      </c>
    </row>
    <row r="57" spans="3:18" x14ac:dyDescent="0.3">
      <c r="C57" t="s">
        <v>340</v>
      </c>
      <c r="E57">
        <v>13.6</v>
      </c>
      <c r="I57">
        <v>1739</v>
      </c>
      <c r="O57">
        <v>158065</v>
      </c>
      <c r="P57">
        <v>158065</v>
      </c>
      <c r="Q57">
        <v>626694</v>
      </c>
    </row>
    <row r="58" spans="3:18" x14ac:dyDescent="0.3">
      <c r="C58">
        <v>8</v>
      </c>
      <c r="D58" t="s">
        <v>332</v>
      </c>
      <c r="E58">
        <v>13.1</v>
      </c>
      <c r="I58">
        <v>1702</v>
      </c>
      <c r="O58">
        <v>5000</v>
      </c>
      <c r="P58">
        <v>5000</v>
      </c>
      <c r="Q58">
        <v>469536</v>
      </c>
      <c r="R58">
        <v>6900</v>
      </c>
    </row>
    <row r="59" spans="3:18" x14ac:dyDescent="0.3">
      <c r="C59">
        <v>8</v>
      </c>
      <c r="D59">
        <v>520</v>
      </c>
      <c r="E59">
        <v>3.6</v>
      </c>
      <c r="I59">
        <v>518</v>
      </c>
      <c r="Q59">
        <v>106162</v>
      </c>
    </row>
    <row r="60" spans="3:18" x14ac:dyDescent="0.3">
      <c r="C60">
        <v>8</v>
      </c>
      <c r="D60">
        <v>521</v>
      </c>
      <c r="E60">
        <v>7.5</v>
      </c>
      <c r="I60">
        <v>888</v>
      </c>
      <c r="O60">
        <v>5000</v>
      </c>
      <c r="P60">
        <v>5000</v>
      </c>
      <c r="Q60">
        <v>274707</v>
      </c>
    </row>
    <row r="61" spans="3:18" x14ac:dyDescent="0.3">
      <c r="C61">
        <v>8</v>
      </c>
      <c r="D61">
        <v>522</v>
      </c>
      <c r="E61">
        <v>1</v>
      </c>
      <c r="I61">
        <v>176</v>
      </c>
      <c r="Q61">
        <v>58347</v>
      </c>
    </row>
    <row r="62" spans="3:18" x14ac:dyDescent="0.3">
      <c r="C62">
        <v>8</v>
      </c>
      <c r="D62">
        <v>526</v>
      </c>
      <c r="R62">
        <v>6900</v>
      </c>
    </row>
    <row r="63" spans="3:18" x14ac:dyDescent="0.3">
      <c r="C63">
        <v>8</v>
      </c>
      <c r="D63">
        <v>743</v>
      </c>
      <c r="E63">
        <v>1</v>
      </c>
      <c r="I63">
        <v>120</v>
      </c>
      <c r="Q63">
        <v>30320</v>
      </c>
    </row>
    <row r="64" spans="3:18" x14ac:dyDescent="0.3">
      <c r="C64">
        <v>8</v>
      </c>
      <c r="D64" t="s">
        <v>333</v>
      </c>
      <c r="E64">
        <v>1</v>
      </c>
      <c r="I64">
        <v>136</v>
      </c>
      <c r="Q64">
        <v>22890</v>
      </c>
    </row>
    <row r="65" spans="3:18" x14ac:dyDescent="0.3">
      <c r="C65">
        <v>8</v>
      </c>
      <c r="D65">
        <v>30</v>
      </c>
      <c r="E65">
        <v>1</v>
      </c>
      <c r="I65">
        <v>136</v>
      </c>
      <c r="Q65">
        <v>22890</v>
      </c>
    </row>
    <row r="66" spans="3:18" x14ac:dyDescent="0.3">
      <c r="C66" t="s">
        <v>341</v>
      </c>
      <c r="E66">
        <v>14.1</v>
      </c>
      <c r="I66">
        <v>1838</v>
      </c>
      <c r="O66">
        <v>5000</v>
      </c>
      <c r="P66">
        <v>5000</v>
      </c>
      <c r="Q66">
        <v>492426</v>
      </c>
      <c r="R66">
        <v>6900</v>
      </c>
    </row>
    <row r="67" spans="3:18" x14ac:dyDescent="0.3">
      <c r="C67">
        <v>9</v>
      </c>
      <c r="D67" t="s">
        <v>332</v>
      </c>
      <c r="E67">
        <v>13.1</v>
      </c>
      <c r="I67">
        <v>1860</v>
      </c>
      <c r="O67">
        <v>5553</v>
      </c>
      <c r="P67">
        <v>5553</v>
      </c>
      <c r="Q67">
        <v>473596</v>
      </c>
      <c r="R67">
        <v>9000</v>
      </c>
    </row>
    <row r="68" spans="3:18" x14ac:dyDescent="0.3">
      <c r="C68">
        <v>9</v>
      </c>
      <c r="D68">
        <v>520</v>
      </c>
      <c r="E68">
        <v>3.6</v>
      </c>
      <c r="I68">
        <v>528</v>
      </c>
      <c r="O68">
        <v>331</v>
      </c>
      <c r="P68">
        <v>331</v>
      </c>
      <c r="Q68">
        <v>104346</v>
      </c>
    </row>
    <row r="69" spans="3:18" x14ac:dyDescent="0.3">
      <c r="C69">
        <v>9</v>
      </c>
      <c r="D69">
        <v>521</v>
      </c>
      <c r="E69">
        <v>7.5</v>
      </c>
      <c r="I69">
        <v>1064</v>
      </c>
      <c r="O69">
        <v>4107</v>
      </c>
      <c r="P69">
        <v>4107</v>
      </c>
      <c r="Q69">
        <v>282568</v>
      </c>
    </row>
    <row r="70" spans="3:18" x14ac:dyDescent="0.3">
      <c r="C70">
        <v>9</v>
      </c>
      <c r="D70">
        <v>522</v>
      </c>
      <c r="E70">
        <v>1</v>
      </c>
      <c r="I70">
        <v>104</v>
      </c>
      <c r="O70">
        <v>1115</v>
      </c>
      <c r="P70">
        <v>1115</v>
      </c>
      <c r="Q70">
        <v>58773</v>
      </c>
    </row>
    <row r="71" spans="3:18" x14ac:dyDescent="0.3">
      <c r="C71">
        <v>9</v>
      </c>
      <c r="D71">
        <v>526</v>
      </c>
      <c r="R71">
        <v>9000</v>
      </c>
    </row>
    <row r="72" spans="3:18" x14ac:dyDescent="0.3">
      <c r="C72">
        <v>9</v>
      </c>
      <c r="D72">
        <v>743</v>
      </c>
      <c r="E72">
        <v>1</v>
      </c>
      <c r="I72">
        <v>164</v>
      </c>
      <c r="Q72">
        <v>27909</v>
      </c>
    </row>
    <row r="73" spans="3:18" x14ac:dyDescent="0.3">
      <c r="C73">
        <v>9</v>
      </c>
      <c r="D73" t="s">
        <v>333</v>
      </c>
      <c r="E73">
        <v>1</v>
      </c>
      <c r="I73">
        <v>152</v>
      </c>
      <c r="Q73">
        <v>22372</v>
      </c>
    </row>
    <row r="74" spans="3:18" x14ac:dyDescent="0.3">
      <c r="C74">
        <v>9</v>
      </c>
      <c r="D74">
        <v>30</v>
      </c>
      <c r="E74">
        <v>1</v>
      </c>
      <c r="I74">
        <v>152</v>
      </c>
      <c r="Q74">
        <v>22372</v>
      </c>
    </row>
    <row r="75" spans="3:18" x14ac:dyDescent="0.3">
      <c r="C75" t="s">
        <v>342</v>
      </c>
      <c r="E75">
        <v>14.1</v>
      </c>
      <c r="I75">
        <v>2012</v>
      </c>
      <c r="O75">
        <v>5553</v>
      </c>
      <c r="P75">
        <v>5553</v>
      </c>
      <c r="Q75">
        <v>495968</v>
      </c>
      <c r="R75">
        <v>9000</v>
      </c>
    </row>
    <row r="76" spans="3:18" x14ac:dyDescent="0.3">
      <c r="C76">
        <v>10</v>
      </c>
      <c r="D76" t="s">
        <v>332</v>
      </c>
      <c r="E76">
        <v>12.6</v>
      </c>
      <c r="I76">
        <v>2093</v>
      </c>
      <c r="Q76">
        <v>460002</v>
      </c>
      <c r="R76">
        <v>2200</v>
      </c>
    </row>
    <row r="77" spans="3:18" x14ac:dyDescent="0.3">
      <c r="C77">
        <v>10</v>
      </c>
      <c r="D77">
        <v>520</v>
      </c>
      <c r="E77">
        <v>3.6</v>
      </c>
      <c r="I77">
        <v>612</v>
      </c>
      <c r="Q77">
        <v>106186</v>
      </c>
    </row>
    <row r="78" spans="3:18" x14ac:dyDescent="0.3">
      <c r="C78">
        <v>10</v>
      </c>
      <c r="D78">
        <v>521</v>
      </c>
      <c r="E78">
        <v>7</v>
      </c>
      <c r="I78">
        <v>1137</v>
      </c>
      <c r="Q78">
        <v>267755</v>
      </c>
    </row>
    <row r="79" spans="3:18" x14ac:dyDescent="0.3">
      <c r="C79">
        <v>10</v>
      </c>
      <c r="D79">
        <v>522</v>
      </c>
      <c r="E79">
        <v>1</v>
      </c>
      <c r="I79">
        <v>176</v>
      </c>
      <c r="Q79">
        <v>58170</v>
      </c>
    </row>
    <row r="80" spans="3:18" x14ac:dyDescent="0.3">
      <c r="C80">
        <v>10</v>
      </c>
      <c r="D80">
        <v>526</v>
      </c>
      <c r="R80">
        <v>2200</v>
      </c>
    </row>
    <row r="81" spans="3:18" x14ac:dyDescent="0.3">
      <c r="C81">
        <v>10</v>
      </c>
      <c r="D81">
        <v>743</v>
      </c>
      <c r="E81">
        <v>1</v>
      </c>
      <c r="I81">
        <v>168</v>
      </c>
      <c r="Q81">
        <v>27891</v>
      </c>
    </row>
    <row r="82" spans="3:18" x14ac:dyDescent="0.3">
      <c r="C82">
        <v>10</v>
      </c>
      <c r="D82" t="s">
        <v>333</v>
      </c>
      <c r="E82">
        <v>1</v>
      </c>
      <c r="I82">
        <v>168</v>
      </c>
      <c r="Q82">
        <v>22483</v>
      </c>
    </row>
    <row r="83" spans="3:18" x14ac:dyDescent="0.3">
      <c r="C83">
        <v>10</v>
      </c>
      <c r="D83">
        <v>30</v>
      </c>
      <c r="E83">
        <v>1</v>
      </c>
      <c r="I83">
        <v>168</v>
      </c>
      <c r="Q83">
        <v>22483</v>
      </c>
    </row>
    <row r="84" spans="3:18" x14ac:dyDescent="0.3">
      <c r="C84" t="s">
        <v>343</v>
      </c>
      <c r="E84">
        <v>13.6</v>
      </c>
      <c r="I84">
        <v>2261</v>
      </c>
      <c r="Q84">
        <v>482485</v>
      </c>
      <c r="R84">
        <v>2200</v>
      </c>
    </row>
    <row r="85" spans="3:18" x14ac:dyDescent="0.3">
      <c r="C85">
        <v>11</v>
      </c>
      <c r="D85" t="s">
        <v>332</v>
      </c>
      <c r="E85">
        <v>12.6</v>
      </c>
      <c r="I85">
        <v>2157</v>
      </c>
      <c r="O85">
        <v>122760</v>
      </c>
      <c r="P85">
        <v>122760</v>
      </c>
      <c r="Q85">
        <v>579015</v>
      </c>
      <c r="R85">
        <v>13450</v>
      </c>
    </row>
    <row r="86" spans="3:18" x14ac:dyDescent="0.3">
      <c r="C86">
        <v>11</v>
      </c>
      <c r="D86">
        <v>520</v>
      </c>
      <c r="E86">
        <v>3.6</v>
      </c>
      <c r="I86">
        <v>638</v>
      </c>
      <c r="O86">
        <v>36344</v>
      </c>
      <c r="P86">
        <v>36344</v>
      </c>
      <c r="Q86">
        <v>141656</v>
      </c>
    </row>
    <row r="87" spans="3:18" x14ac:dyDescent="0.3">
      <c r="C87">
        <v>11</v>
      </c>
      <c r="D87">
        <v>521</v>
      </c>
      <c r="E87">
        <v>7</v>
      </c>
      <c r="I87">
        <v>1191</v>
      </c>
      <c r="O87">
        <v>81878</v>
      </c>
      <c r="P87">
        <v>81878</v>
      </c>
      <c r="Q87">
        <v>346670</v>
      </c>
    </row>
    <row r="88" spans="3:18" x14ac:dyDescent="0.3">
      <c r="C88">
        <v>11</v>
      </c>
      <c r="D88">
        <v>522</v>
      </c>
      <c r="E88">
        <v>1</v>
      </c>
      <c r="I88">
        <v>160</v>
      </c>
      <c r="Q88">
        <v>58832</v>
      </c>
    </row>
    <row r="89" spans="3:18" x14ac:dyDescent="0.3">
      <c r="C89">
        <v>11</v>
      </c>
      <c r="D89">
        <v>526</v>
      </c>
      <c r="R89">
        <v>13450</v>
      </c>
    </row>
    <row r="90" spans="3:18" x14ac:dyDescent="0.3">
      <c r="C90">
        <v>11</v>
      </c>
      <c r="D90">
        <v>743</v>
      </c>
      <c r="E90">
        <v>1</v>
      </c>
      <c r="I90">
        <v>168</v>
      </c>
      <c r="O90">
        <v>4538</v>
      </c>
      <c r="P90">
        <v>4538</v>
      </c>
      <c r="Q90">
        <v>31857</v>
      </c>
    </row>
    <row r="91" spans="3:18" x14ac:dyDescent="0.3">
      <c r="C91">
        <v>11</v>
      </c>
      <c r="D91" t="s">
        <v>333</v>
      </c>
      <c r="E91">
        <v>1</v>
      </c>
      <c r="I91">
        <v>176</v>
      </c>
      <c r="O91">
        <v>6800</v>
      </c>
      <c r="P91">
        <v>6800</v>
      </c>
      <c r="Q91">
        <v>29190</v>
      </c>
    </row>
    <row r="92" spans="3:18" x14ac:dyDescent="0.3">
      <c r="C92">
        <v>11</v>
      </c>
      <c r="D92">
        <v>30</v>
      </c>
      <c r="E92">
        <v>1</v>
      </c>
      <c r="I92">
        <v>176</v>
      </c>
      <c r="O92">
        <v>6800</v>
      </c>
      <c r="P92">
        <v>6800</v>
      </c>
      <c r="Q92">
        <v>29190</v>
      </c>
    </row>
    <row r="93" spans="3:18" x14ac:dyDescent="0.3">
      <c r="C93" t="s">
        <v>344</v>
      </c>
      <c r="E93">
        <v>13.6</v>
      </c>
      <c r="I93">
        <v>2333</v>
      </c>
      <c r="O93">
        <v>129560</v>
      </c>
      <c r="P93">
        <v>129560</v>
      </c>
      <c r="Q93">
        <v>608205</v>
      </c>
      <c r="R93">
        <v>13450</v>
      </c>
    </row>
    <row r="94" spans="3:18" x14ac:dyDescent="0.3">
      <c r="C94">
        <v>12</v>
      </c>
      <c r="D94" t="s">
        <v>332</v>
      </c>
      <c r="E94">
        <v>12.6</v>
      </c>
      <c r="I94">
        <v>1669</v>
      </c>
      <c r="J94">
        <v>6</v>
      </c>
      <c r="K94">
        <v>5</v>
      </c>
      <c r="O94">
        <v>35750</v>
      </c>
      <c r="P94">
        <v>35750</v>
      </c>
      <c r="Q94">
        <v>500682</v>
      </c>
    </row>
    <row r="95" spans="3:18" x14ac:dyDescent="0.3">
      <c r="C95">
        <v>12</v>
      </c>
      <c r="D95">
        <v>520</v>
      </c>
      <c r="E95">
        <v>3.6</v>
      </c>
      <c r="I95">
        <v>440</v>
      </c>
      <c r="J95">
        <v>6</v>
      </c>
      <c r="K95">
        <v>5</v>
      </c>
      <c r="Q95">
        <v>108119</v>
      </c>
    </row>
    <row r="96" spans="3:18" x14ac:dyDescent="0.3">
      <c r="C96">
        <v>12</v>
      </c>
      <c r="D96">
        <v>521</v>
      </c>
      <c r="E96">
        <v>7</v>
      </c>
      <c r="I96">
        <v>933</v>
      </c>
      <c r="O96">
        <v>750</v>
      </c>
      <c r="P96">
        <v>750</v>
      </c>
      <c r="Q96">
        <v>266400</v>
      </c>
    </row>
    <row r="97" spans="3:17" x14ac:dyDescent="0.3">
      <c r="C97">
        <v>12</v>
      </c>
      <c r="D97">
        <v>522</v>
      </c>
      <c r="E97">
        <v>1</v>
      </c>
      <c r="I97">
        <v>160</v>
      </c>
      <c r="O97">
        <v>35000</v>
      </c>
      <c r="P97">
        <v>35000</v>
      </c>
      <c r="Q97">
        <v>93375</v>
      </c>
    </row>
    <row r="98" spans="3:17" x14ac:dyDescent="0.3">
      <c r="C98">
        <v>12</v>
      </c>
      <c r="D98">
        <v>743</v>
      </c>
      <c r="E98">
        <v>1</v>
      </c>
      <c r="I98">
        <v>136</v>
      </c>
      <c r="Q98">
        <v>32788</v>
      </c>
    </row>
    <row r="99" spans="3:17" x14ac:dyDescent="0.3">
      <c r="C99">
        <v>12</v>
      </c>
      <c r="D99" t="s">
        <v>333</v>
      </c>
      <c r="E99">
        <v>1</v>
      </c>
      <c r="I99">
        <v>136</v>
      </c>
      <c r="Q99">
        <v>22566</v>
      </c>
    </row>
    <row r="100" spans="3:17" x14ac:dyDescent="0.3">
      <c r="C100">
        <v>12</v>
      </c>
      <c r="D100">
        <v>30</v>
      </c>
      <c r="E100">
        <v>1</v>
      </c>
      <c r="I100">
        <v>136</v>
      </c>
      <c r="Q100">
        <v>22566</v>
      </c>
    </row>
    <row r="101" spans="3:17" x14ac:dyDescent="0.3">
      <c r="C101" t="s">
        <v>345</v>
      </c>
      <c r="E101">
        <v>13.6</v>
      </c>
      <c r="I101">
        <v>1805</v>
      </c>
      <c r="J101">
        <v>6</v>
      </c>
      <c r="K101">
        <v>5</v>
      </c>
      <c r="O101">
        <v>35750</v>
      </c>
      <c r="P101">
        <v>35750</v>
      </c>
      <c r="Q101">
        <v>523248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3</vt:i4>
      </vt:variant>
    </vt:vector>
  </HeadingPairs>
  <TitlesOfParts>
    <vt:vector size="18" baseType="lpstr">
      <vt:lpstr>Obsah</vt:lpstr>
      <vt:lpstr>Motivace</vt:lpstr>
      <vt:lpstr>HI</vt:lpstr>
      <vt:lpstr>HI Graf</vt:lpstr>
      <vt:lpstr>Man Tab</vt:lpstr>
      <vt:lpstr>HV</vt:lpstr>
      <vt:lpstr>Léky Žádanky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2018-01-31T13:24:23Z</dcterms:modified>
</cp:coreProperties>
</file>