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Osobní náklady" sheetId="431" r:id="rId8"/>
    <sheet name="ON Data" sheetId="432" state="hidden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'ON Data'!$B$3:$B$16</definedName>
    <definedName name="Obdobi" localSheetId="7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D9" i="431"/>
  <c r="D13" i="431"/>
  <c r="E9" i="431"/>
  <c r="E13" i="431"/>
  <c r="F9" i="431"/>
  <c r="F13" i="431"/>
  <c r="G9" i="431"/>
  <c r="G13" i="431"/>
  <c r="H9" i="431"/>
  <c r="H13" i="431"/>
  <c r="I9" i="431"/>
  <c r="I13" i="431"/>
  <c r="J9" i="431"/>
  <c r="J13" i="431"/>
  <c r="K9" i="431"/>
  <c r="K13" i="431"/>
  <c r="L9" i="431"/>
  <c r="L13" i="431"/>
  <c r="M9" i="431"/>
  <c r="M13" i="431"/>
  <c r="N9" i="431"/>
  <c r="N13" i="431"/>
  <c r="O9" i="431"/>
  <c r="O13" i="431"/>
  <c r="P9" i="431"/>
  <c r="P13" i="431"/>
  <c r="Q9" i="431"/>
  <c r="Q13" i="431"/>
  <c r="D16" i="431"/>
  <c r="E12" i="431"/>
  <c r="F16" i="431"/>
  <c r="H12" i="431"/>
  <c r="I16" i="431"/>
  <c r="J16" i="431"/>
  <c r="L12" i="431"/>
  <c r="N12" i="431"/>
  <c r="O16" i="431"/>
  <c r="P16" i="431"/>
  <c r="C10" i="431"/>
  <c r="C14" i="431"/>
  <c r="D10" i="431"/>
  <c r="D14" i="431"/>
  <c r="E10" i="431"/>
  <c r="E14" i="431"/>
  <c r="F10" i="431"/>
  <c r="F14" i="431"/>
  <c r="G10" i="431"/>
  <c r="G14" i="431"/>
  <c r="H10" i="431"/>
  <c r="H14" i="431"/>
  <c r="I10" i="431"/>
  <c r="I14" i="431"/>
  <c r="J10" i="431"/>
  <c r="J14" i="431"/>
  <c r="K10" i="431"/>
  <c r="K14" i="431"/>
  <c r="L10" i="431"/>
  <c r="L14" i="431"/>
  <c r="M10" i="431"/>
  <c r="M14" i="431"/>
  <c r="N10" i="431"/>
  <c r="N14" i="431"/>
  <c r="O10" i="431"/>
  <c r="O14" i="431"/>
  <c r="P10" i="431"/>
  <c r="P14" i="431"/>
  <c r="Q10" i="431"/>
  <c r="Q14" i="431"/>
  <c r="D12" i="431"/>
  <c r="F12" i="431"/>
  <c r="G16" i="431"/>
  <c r="I12" i="431"/>
  <c r="K12" i="431"/>
  <c r="M12" i="431"/>
  <c r="N16" i="431"/>
  <c r="Q12" i="431"/>
  <c r="C11" i="431"/>
  <c r="C15" i="431"/>
  <c r="D11" i="431"/>
  <c r="D15" i="431"/>
  <c r="E11" i="431"/>
  <c r="E15" i="431"/>
  <c r="F11" i="431"/>
  <c r="F15" i="431"/>
  <c r="G11" i="431"/>
  <c r="G15" i="431"/>
  <c r="H11" i="431"/>
  <c r="H15" i="431"/>
  <c r="I11" i="431"/>
  <c r="I15" i="431"/>
  <c r="J11" i="431"/>
  <c r="J15" i="431"/>
  <c r="K11" i="431"/>
  <c r="K15" i="431"/>
  <c r="L11" i="431"/>
  <c r="L15" i="431"/>
  <c r="M11" i="431"/>
  <c r="M15" i="431"/>
  <c r="N11" i="431"/>
  <c r="N15" i="431"/>
  <c r="O11" i="431"/>
  <c r="O15" i="431"/>
  <c r="P11" i="431"/>
  <c r="P15" i="431"/>
  <c r="Q11" i="431"/>
  <c r="Q15" i="431"/>
  <c r="C16" i="431"/>
  <c r="E16" i="431"/>
  <c r="G12" i="431"/>
  <c r="H16" i="431"/>
  <c r="J12" i="431"/>
  <c r="K16" i="431"/>
  <c r="M16" i="431"/>
  <c r="O12" i="431"/>
  <c r="P12" i="431"/>
  <c r="Q16" i="431"/>
  <c r="C12" i="431"/>
  <c r="L16" i="431"/>
  <c r="O8" i="431"/>
  <c r="I8" i="431"/>
  <c r="M8" i="431"/>
  <c r="Q8" i="431"/>
  <c r="L8" i="431"/>
  <c r="F8" i="431"/>
  <c r="J8" i="431"/>
  <c r="E8" i="431"/>
  <c r="K8" i="431"/>
  <c r="N8" i="431"/>
  <c r="G8" i="431"/>
  <c r="H8" i="431"/>
  <c r="D8" i="431"/>
  <c r="C8" i="431"/>
  <c r="P8" i="431"/>
  <c r="S16" i="431" l="1"/>
  <c r="R16" i="431"/>
  <c r="R15" i="431"/>
  <c r="S15" i="431"/>
  <c r="R11" i="431"/>
  <c r="S11" i="431"/>
  <c r="R12" i="431"/>
  <c r="S12" i="431"/>
  <c r="R14" i="431"/>
  <c r="S14" i="431"/>
  <c r="R10" i="431"/>
  <c r="S10" i="431"/>
  <c r="R13" i="431"/>
  <c r="S13" i="431"/>
  <c r="R9" i="431"/>
  <c r="S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8" i="414" l="1"/>
  <c r="E18" i="414" s="1"/>
  <c r="D17" i="414"/>
  <c r="A18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6" i="383" l="1"/>
  <c r="G3" i="429"/>
  <c r="F3" i="429"/>
  <c r="E3" i="429"/>
  <c r="D3" i="429"/>
  <c r="C3" i="429"/>
  <c r="B3" i="429"/>
  <c r="C11" i="340" l="1"/>
  <c r="A11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19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D4" i="414"/>
  <c r="D12" i="414"/>
  <c r="D15" i="414"/>
  <c r="C12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0" i="414"/>
  <c r="D20" i="414"/>
  <c r="I12" i="339" l="1"/>
  <c r="I13" i="339" s="1"/>
  <c r="F13" i="339"/>
  <c r="E13" i="339"/>
  <c r="E15" i="339" s="1"/>
  <c r="H12" i="339"/>
  <c r="G12" i="339"/>
  <c r="A4" i="383"/>
  <c r="A20" i="383"/>
  <c r="A19" i="383"/>
  <c r="A17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J13" i="339" l="1"/>
  <c r="B15" i="339"/>
  <c r="H13" i="339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<sst xmlns="http://schemas.openxmlformats.org/spreadsheetml/2006/main" count="1638" uniqueCount="457">
  <si>
    <t>NS</t>
  </si>
  <si>
    <t>Účet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</si>
  <si>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</si>
  <si>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</si>
  <si>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</si>
  <si>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</si>
  <si>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</si>
  <si>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</si>
  <si>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</si>
  <si>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</si>
  <si>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</si>
  <si>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</si>
  <si>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</si>
  <si>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</si>
  <si>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</si>
  <si>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</si>
  <si>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</si>
  <si>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</si>
  <si>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</si>
  <si>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</si>
  <si>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</si>
  <si>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</si>
  <si>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</si>
  <si>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</si>
  <si>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</si>
  <si>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</si>
  <si>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</si>
  <si>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</si>
  <si>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</si>
  <si>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</si>
  <si>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</si>
  <si>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</si>
  <si>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</si>
  <si>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</si>
  <si>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</si>
  <si>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</si>
  <si>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</si>
  <si>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</si>
  <si>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</si>
  <si>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</si>
  <si>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</si>
  <si>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</si>
  <si>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</si>
  <si>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</si>
  <si>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</si>
  <si>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</si>
  <si>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</si>
  <si>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</si>
  <si>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</si>
  <si>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</si>
  <si>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</si>
  <si>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</si>
  <si>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</si>
  <si>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</si>
  <si>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</si>
  <si>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</si>
  <si>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</si>
  <si>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</si>
  <si>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</si>
  <si>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</si>
  <si>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</si>
  <si>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</si>
  <si>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</si>
  <si>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</si>
  <si>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</si>
  <si>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</si>
  <si>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</si>
  <si>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</si>
  <si>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</si>
  <si>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</si>
  <si>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</si>
  <si>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</si>
  <si>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</si>
  <si>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</si>
  <si>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</si>
  <si>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</si>
  <si>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</si>
  <si>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</si>
  <si>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</si>
  <si>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</si>
  <si>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</si>
  <si>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</si>
  <si>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</si>
  <si>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</si>
  <si>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</si>
  <si>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</si>
  <si>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</si>
  <si>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</si>
  <si>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</si>
  <si>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</si>
  <si>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</si>
  <si>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</si>
  <si>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</si>
  <si>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</si>
  <si>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</si>
  <si>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</si>
  <si>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</si>
  <si>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</si>
  <si>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</si>
  <si>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</si>
  <si>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</si>
  <si>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</si>
  <si>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</si>
  <si>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</si>
  <si>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</si>
  <si>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</si>
  <si>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</si>
  <si>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</si>
  <si>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</si>
  <si>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</si>
  <si>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</si>
  <si>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</si>
  <si>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</si>
  <si>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</si>
  <si>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</si>
  <si>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</si>
  <si>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</si>
  <si>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</si>
  <si>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</si>
  <si>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</si>
  <si>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</si>
  <si>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</si>
  <si>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</si>
  <si>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</si>
  <si>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</si>
  <si>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</si>
  <si>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</si>
  <si>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</si>
  <si>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</si>
  <si>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</si>
  <si>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</si>
  <si>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</si>
  <si>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</si>
  <si>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</si>
  <si>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</si>
  <si>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</si>
  <si>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</si>
  <si>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</si>
  <si>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</si>
  <si>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</si>
  <si>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</si>
  <si>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</si>
  <si>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</si>
  <si>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</si>
  <si>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</si>
  <si>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</si>
  <si>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</si>
  <si>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</si>
  <si>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</si>
  <si>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</si>
  <si>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</si>
  <si>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</si>
  <si>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</si>
  <si>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</si>
  <si>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</si>
  <si>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</si>
  <si>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</si>
  <si>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</si>
  <si>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</si>
  <si>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</si>
  <si>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</si>
  <si>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</si>
  <si>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</si>
  <si>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</si>
  <si>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</si>
  <si>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</si>
  <si>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</si>
  <si>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</si>
  <si>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</si>
  <si>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</si>
  <si>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</si>
  <si>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</si>
  <si>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</si>
  <si>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</si>
  <si>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</si>
  <si>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</si>
  <si>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</si>
  <si>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</si>
  <si>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</si>
  <si>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</si>
  <si>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</si>
  <si>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</si>
  <si>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</si>
  <si>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</si>
  <si>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</si>
  <si>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</si>
  <si>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</si>
  <si>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</si>
  <si>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</si>
  <si>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</si>
  <si>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</si>
  <si>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</si>
  <si>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</si>
  <si>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</si>
  <si>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</si>
  <si>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</si>
  <si>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</si>
  <si>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</si>
  <si>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</si>
  <si>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</si>
  <si>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</si>
  <si>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</si>
  <si>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</si>
  <si>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</si>
  <si>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</si>
  <si>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</si>
  <si>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</si>
  <si>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</si>
  <si>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</si>
  <si>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</si>
  <si>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</si>
  <si>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</si>
  <si>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</si>
  <si>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</si>
  <si>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</si>
  <si>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</si>
  <si>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50115050     obvazový materiál (Z502)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</si>
  <si>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</si>
  <si>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</si>
  <si>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</si>
  <si>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</si>
  <si>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</si>
  <si>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</si>
  <si>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38,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</si>
  <si>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</si>
  <si>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</si>
  <si>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</si>
  <si>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</si>
  <si>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</si>
  <si>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</si>
  <si>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</si>
  <si>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</si>
  <si>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</si>
  <si>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</si>
  <si>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</si>
  <si>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</si>
  <si>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</si>
  <si>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</si>
  <si>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</si>
  <si>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</si>
  <si>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</si>
  <si>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</si>
  <si>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</si>
  <si>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</si>
  <si>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</si>
  <si>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</si>
  <si>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</si>
  <si>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</si>
  <si>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</si>
  <si>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</si>
  <si>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51806007     praní prádla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</si>
  <si>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</si>
  <si>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</si>
  <si>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</si>
  <si>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</si>
  <si>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</si>
  <si>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</si>
  <si>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</si>
  <si>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</si>
  <si>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</si>
  <si>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</si>
  <si>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</si>
  <si>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</si>
  <si>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</si>
  <si>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</si>
  <si>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</si>
  <si>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</si>
  <si>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</si>
  <si>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</si>
  <si>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</si>
  <si>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</si>
  <si>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</si>
  <si>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</si>
  <si>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</si>
  <si>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</si>
  <si>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</si>
  <si>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</si>
  <si>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</si>
  <si>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</si>
  <si>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</si>
  <si>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</si>
  <si>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</si>
  <si>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</si>
  <si>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</si>
  <si>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</si>
  <si>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</si>
  <si>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</si>
  <si>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</si>
  <si>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</si>
  <si>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</si>
  <si>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</si>
  <si>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</si>
  <si>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</si>
  <si>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</si>
  <si>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</si>
  <si>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</si>
  <si>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</si>
  <si>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</si>
  <si>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</si>
  <si>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</si>
  <si>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</si>
  <si>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</si>
  <si>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</si>
  <si>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</si>
  <si>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</si>
  <si>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</si>
  <si>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</si>
  <si>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</si>
  <si>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</si>
  <si>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</si>
  <si>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</si>
  <si>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</si>
  <si>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</si>
  <si>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</si>
  <si>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</si>
  <si>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</si>
  <si>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</si>
  <si>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</si>
  <si>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</si>
  <si>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</si>
  <si>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</si>
  <si>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</si>
  <si>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</si>
  <si>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</si>
  <si>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</si>
  <si>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</si>
  <si>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</si>
  <si>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</si>
  <si>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</si>
  <si>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</si>
  <si>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</si>
  <si>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</si>
  <si>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OKPSY: Oddělení klinické psychologie</t>
  </si>
  <si>
    <t/>
  </si>
  <si>
    <t>50113001 - léky - paušál (LEK)</t>
  </si>
  <si>
    <t>OKPSY: Oddělení klinické psychologie Celkem</t>
  </si>
  <si>
    <t>SumaKL</t>
  </si>
  <si>
    <t>3921</t>
  </si>
  <si>
    <t>OKPSY: ambulance - odborná poradna</t>
  </si>
  <si>
    <t>OKPSY: ambulance - odborná poradna Celkem</t>
  </si>
  <si>
    <t>SumaNS</t>
  </si>
  <si>
    <t>mezeraNS</t>
  </si>
  <si>
    <t>2 VŠ NLZP</t>
  </si>
  <si>
    <t>4 THP</t>
  </si>
  <si>
    <t>1 Celkem</t>
  </si>
  <si>
    <t>2 Celkem</t>
  </si>
  <si>
    <t>3 Celkem</t>
  </si>
  <si>
    <t>3 NLZP</t>
  </si>
  <si>
    <t>4 Celkem</t>
  </si>
  <si>
    <t>ON Data</t>
  </si>
  <si>
    <t>kliničtí psychologové</t>
  </si>
  <si>
    <t>kliničtí psychologové spec.</t>
  </si>
  <si>
    <t>kliničtí psychologové spec. a zvl.odb.</t>
  </si>
  <si>
    <t>odborní pracovníci v lab. metodách</t>
  </si>
  <si>
    <t>všeobecné sestry bez dohl.</t>
  </si>
  <si>
    <t>THP</t>
  </si>
  <si>
    <t>Specializovaná ambulantní péče</t>
  </si>
  <si>
    <t>901 - Pracoviště klinické psychologie</t>
  </si>
  <si>
    <t>Zdravotní výkony vykázané na pracovišti v rámci ambulantní péče *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</si>
  <si>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</si>
  <si>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</si>
  <si>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</si>
  <si>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</si>
  <si>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Dařílková Naděžda</t>
  </si>
  <si>
    <t>Dlabačová Marie</t>
  </si>
  <si>
    <t>Hniličková Karolína</t>
  </si>
  <si>
    <t>Hubáčková Lia</t>
  </si>
  <si>
    <t>Kolářová Jana</t>
  </si>
  <si>
    <t>Kreiselová Silvie</t>
  </si>
  <si>
    <t>Kubíček Zdenek</t>
  </si>
  <si>
    <t>Otipková Denisa</t>
  </si>
  <si>
    <t>Pijáčková Marie</t>
  </si>
  <si>
    <t>Škrobánková Alexandra</t>
  </si>
  <si>
    <t>Šmídová Magdaléna</t>
  </si>
  <si>
    <t>Štecková Tereza</t>
  </si>
  <si>
    <t>Večerková Markéta</t>
  </si>
  <si>
    <t>Vojáková Vendula</t>
  </si>
  <si>
    <t>Zdravotní výkony vykázané na pracovišti v rámci ambulantní péče dle lékařů *</t>
  </si>
  <si>
    <t>06</t>
  </si>
  <si>
    <t>901</t>
  </si>
  <si>
    <t>V</t>
  </si>
  <si>
    <t>35050</t>
  </si>
  <si>
    <t xml:space="preserve">TELEFONICKÁ KONZULTACE PSYCHIATRA NEBO KLINICKÉHO </t>
  </si>
  <si>
    <t>35520</t>
  </si>
  <si>
    <t>PSYCHOTERAPIE INDIVIDUÁLNÍ SYSTEMATICKÁ, PROVÁDĚNÁ</t>
  </si>
  <si>
    <t>35610</t>
  </si>
  <si>
    <t xml:space="preserve">PSYCHOTERAPIE SKUPINOVÁ, TYP I., PRO SKUPINU MAX. </t>
  </si>
  <si>
    <t>35650</t>
  </si>
  <si>
    <t>RODINNÁ SYSTEMATICKÁ PSYCHOTERAPIE Á 30 MINUT</t>
  </si>
  <si>
    <t>37115</t>
  </si>
  <si>
    <t>KRIZOVÁ INTERVENCE(Á 30 MINUT)</t>
  </si>
  <si>
    <t>09543</t>
  </si>
  <si>
    <t>Signalni kod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</si>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</sst>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1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0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0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4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61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6" fontId="39" fillId="2" borderId="67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6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6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5" xfId="0" applyFont="1" applyFill="1" applyBorder="1" applyAlignment="1">
      <alignment horizontal="center"/>
    </xf>
    <xf numFmtId="0" fontId="39" fillId="4" borderId="84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1" xfId="0" applyFont="1" applyFill="1" applyBorder="1" applyAlignment="1">
      <alignment horizontal="center"/>
    </xf>
    <xf numFmtId="0" fontId="58" fillId="2" borderId="70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0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3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5" xfId="0" applyNumberFormat="1" applyFont="1" applyFill="1" applyBorder="1" applyAlignment="1">
      <alignment horizontal="center" vertical="top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4" xfId="0" applyFont="1" applyFill="1" applyBorder="1" applyAlignment="1">
      <alignment horizontal="left"/>
    </xf>
    <xf numFmtId="169" fontId="58" fillId="4" borderId="65" xfId="0" applyNumberFormat="1" applyFont="1" applyFill="1" applyBorder="1"/>
    <xf numFmtId="9" fontId="58" fillId="4" borderId="65" xfId="0" applyNumberFormat="1" applyFont="1" applyFill="1" applyBorder="1"/>
    <xf numFmtId="9" fontId="58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8" fillId="0" borderId="67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0" fontId="32" fillId="0" borderId="64" xfId="0" applyFont="1" applyFill="1" applyBorder="1"/>
    <xf numFmtId="3" fontId="32" fillId="0" borderId="65" xfId="0" applyNumberFormat="1" applyFont="1" applyFill="1" applyBorder="1"/>
    <xf numFmtId="169" fontId="32" fillId="0" borderId="65" xfId="0" applyNumberFormat="1" applyFont="1" applyFill="1" applyBorder="1"/>
    <xf numFmtId="169" fontId="32" fillId="0" borderId="66" xfId="0" applyNumberFormat="1" applyFont="1" applyFill="1" applyBorder="1"/>
    <xf numFmtId="0" fontId="32" fillId="0" borderId="72" xfId="0" applyFont="1" applyFill="1" applyBorder="1"/>
    <xf numFmtId="3" fontId="32" fillId="0" borderId="73" xfId="0" applyNumberFormat="1" applyFont="1" applyFill="1" applyBorder="1"/>
    <xf numFmtId="169" fontId="32" fillId="0" borderId="73" xfId="0" applyNumberFormat="1" applyFont="1" applyFill="1" applyBorder="1"/>
    <xf numFmtId="169" fontId="32" fillId="0" borderId="74" xfId="0" applyNumberFormat="1" applyFont="1" applyFill="1" applyBorder="1"/>
    <xf numFmtId="0" fontId="32" fillId="0" borderId="67" xfId="0" applyFont="1" applyFill="1" applyBorder="1"/>
    <xf numFmtId="3" fontId="32" fillId="0" borderId="68" xfId="0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5" xfId="0" applyFont="1" applyFill="1" applyBorder="1"/>
    <xf numFmtId="9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8" xfId="0" applyFont="1" applyFill="1" applyBorder="1"/>
    <xf numFmtId="9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6" xfId="0" applyNumberFormat="1" applyFont="1" applyFill="1" applyBorder="1"/>
    <xf numFmtId="9" fontId="32" fillId="0" borderId="74" xfId="0" applyNumberFormat="1" applyFont="1" applyFill="1" applyBorder="1"/>
    <xf numFmtId="9" fontId="32" fillId="0" borderId="69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7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9"/>
      <tableStyleElement type="headerRow" dxfId="68"/>
      <tableStyleElement type="totalRow" dxfId="67"/>
      <tableStyleElement type="firstColumn" dxfId="66"/>
      <tableStyleElement type="lastColumn" dxfId="65"/>
      <tableStyleElement type="firstRowStripe" dxfId="64"/>
      <tableStyleElement type="firstColumnStripe" dxfId="63"/>
    </tableStyle>
    <tableStyle name="TableStyleMedium2 2" pivot="0" count="7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0.67299120330414874</c:v>
                </c:pt>
                <c:pt idx="1">
                  <c:v>0.63421583155575056</c:v>
                </c:pt>
                <c:pt idx="2">
                  <c:v>0.61852250022167732</c:v>
                </c:pt>
                <c:pt idx="3">
                  <c:v>0.62966612051828241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0.6292597550928235</c:v>
                </c:pt>
                <c:pt idx="1">
                  <c:v>0.6292597550928235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6" totalsRowShown="0" headerRowDxfId="55" tableBorderDxfId="54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3"/>
    <tableColumn id="2" name="popis" dataDxfId="52"/>
    <tableColumn id="3" name="01 uv_sk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36">
      <calculatedColumnFormula>IF(Tabulka[[#This Row],[15_vzpl]]=0,"",Tabulka[[#This Row],[14_vzsk]]/Tabulka[[#This Row],[15_vzpl]])</calculatedColumnFormula>
    </tableColumn>
    <tableColumn id="20" name="17_vzroz" dataDxfId="3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37" totalsRowShown="0">
  <autoFilter ref="C3:S3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102.21875" style="101" bestFit="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275" t="s">
        <v>83</v>
      </c>
      <c r="B1" s="275"/>
    </row>
    <row r="2" spans="1:3" ht="14.4" customHeight="1" thickBot="1" x14ac:dyDescent="0.35">
      <c r="A2" s="192" t="s">
        <v>206</v>
      </c>
      <c r="B2" s="41"/>
    </row>
    <row r="3" spans="1:3" ht="14.4" customHeight="1" thickBot="1" x14ac:dyDescent="0.35">
      <c r="A3" s="271" t="s">
        <v>102</v>
      </c>
      <c r="B3" s="272"/>
    </row>
    <row r="4" spans="1:3" ht="14.4" customHeight="1" x14ac:dyDescent="0.3">
      <c r="A4" s="113" t="str">
        <f t="shared" ref="A4:A8" si="0">HYPERLINK("#'"&amp;C4&amp;"'!A1",C4)</f>
        <v>Motivace</v>
      </c>
      <c r="B4" s="63" t="s">
        <v>91</v>
      </c>
      <c r="C4" s="42" t="s">
        <v>92</v>
      </c>
    </row>
    <row r="5" spans="1:3" ht="14.4" customHeight="1" x14ac:dyDescent="0.3">
      <c r="A5" s="114" t="str">
        <f t="shared" si="0"/>
        <v>HI</v>
      </c>
      <c r="B5" s="64" t="s">
        <v>100</v>
      </c>
      <c r="C5" s="42" t="s">
        <v>86</v>
      </c>
    </row>
    <row r="6" spans="1:3" ht="14.4" customHeight="1" x14ac:dyDescent="0.3">
      <c r="A6" s="115" t="str">
        <f t="shared" si="0"/>
        <v>HI Graf</v>
      </c>
      <c r="B6" s="65" t="s">
        <v>79</v>
      </c>
      <c r="C6" s="42" t="s">
        <v>87</v>
      </c>
    </row>
    <row r="7" spans="1:3" ht="14.4" customHeight="1" x14ac:dyDescent="0.3">
      <c r="A7" s="115" t="str">
        <f t="shared" si="0"/>
        <v>Man Tab</v>
      </c>
      <c r="B7" s="65" t="s">
        <v>208</v>
      </c>
      <c r="C7" s="42" t="s">
        <v>88</v>
      </c>
    </row>
    <row r="8" spans="1:3" ht="14.4" customHeight="1" thickBot="1" x14ac:dyDescent="0.35">
      <c r="A8" s="116" t="str">
        <f t="shared" si="0"/>
        <v>HV</v>
      </c>
      <c r="B8" s="66" t="s">
        <v>37</v>
      </c>
      <c r="C8" s="42" t="s">
        <v>42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73" t="s">
        <v>84</v>
      </c>
      <c r="B10" s="272"/>
    </row>
    <row r="11" spans="1:3" ht="14.4" customHeight="1" x14ac:dyDescent="0.3">
      <c r="A11" s="117" t="str">
        <f t="shared" ref="A11" si="1">HYPERLINK("#'"&amp;C11&amp;"'!A1",C11)</f>
        <v>Léky Žádanky</v>
      </c>
      <c r="B11" s="64" t="s">
        <v>101</v>
      </c>
      <c r="C11" s="42" t="s">
        <v>89</v>
      </c>
    </row>
    <row r="12" spans="1:3" ht="14.4" customHeight="1" thickBot="1" x14ac:dyDescent="0.35">
      <c r="A12" s="117" t="str">
        <f t="shared" ref="A12" si="2">HYPERLINK("#'"&amp;C12&amp;"'!A1",C12)</f>
        <v>Osobní náklady</v>
      </c>
      <c r="B12" s="65" t="s">
        <v>81</v>
      </c>
      <c r="C12" s="42" t="s">
        <v>90</v>
      </c>
    </row>
    <row r="13" spans="1:3" ht="14.4" customHeight="1" thickBot="1" x14ac:dyDescent="0.35">
      <c r="A13" s="68"/>
      <c r="B13" s="68"/>
    </row>
    <row r="14" spans="1:3" ht="14.4" customHeight="1" thickBot="1" x14ac:dyDescent="0.35">
      <c r="A14" s="274" t="s">
        <v>85</v>
      </c>
      <c r="B14" s="272"/>
    </row>
    <row r="15" spans="1:3" ht="14.4" customHeight="1" x14ac:dyDescent="0.3">
      <c r="A15" s="118" t="str">
        <f t="shared" ref="A15:A20" si="3">HYPERLINK("#'"&amp;C15&amp;"'!A1",C15)</f>
        <v>ZV Vykáz.-A</v>
      </c>
      <c r="B15" s="64" t="s">
        <v>358</v>
      </c>
      <c r="C15" s="42" t="s">
        <v>93</v>
      </c>
    </row>
    <row r="16" spans="1:3" ht="14.4" customHeight="1" x14ac:dyDescent="0.3">
      <c r="A16" s="115" t="str">
        <f t="shared" ref="A16" si="4">HYPERLINK("#'"&amp;C16&amp;"'!A1",C16)</f>
        <v>ZV Vykáz.-A Lékaři</v>
      </c>
      <c r="B16" s="65" t="s">
        <v>377</v>
      </c>
      <c r="C16" s="42" t="s">
        <v>146</v>
      </c>
    </row>
    <row r="17" spans="1:3" ht="14.4" customHeight="1" x14ac:dyDescent="0.3">
      <c r="A17" s="115" t="str">
        <f t="shared" si="3"/>
        <v>ZV Vykáz.-A Detail</v>
      </c>
      <c r="B17" s="65" t="s">
        <v>405</v>
      </c>
      <c r="C17" s="42" t="s">
        <v>94</v>
      </c>
    </row>
    <row r="18" spans="1:3" ht="14.4" customHeight="1" x14ac:dyDescent="0.3">
      <c r="A18" s="215" t="str">
        <f>HYPERLINK("#'"&amp;C18&amp;"'!A1",C18)</f>
        <v>ZV Vykáz.-A Det.Lék.</v>
      </c>
      <c r="B18" s="65" t="s">
        <v>406</v>
      </c>
      <c r="C18" s="42" t="s">
        <v>150</v>
      </c>
    </row>
    <row r="19" spans="1:3" ht="14.4" customHeight="1" x14ac:dyDescent="0.3">
      <c r="A19" s="115" t="str">
        <f t="shared" si="3"/>
        <v>ZV Vykáz.-H</v>
      </c>
      <c r="B19" s="65" t="s">
        <v>97</v>
      </c>
      <c r="C19" s="42" t="s">
        <v>95</v>
      </c>
    </row>
    <row r="20" spans="1:3" ht="14.4" customHeight="1" x14ac:dyDescent="0.3">
      <c r="A20" s="115" t="str">
        <f t="shared" si="3"/>
        <v>ZV Vykáz.-H Detail</v>
      </c>
      <c r="B20" s="65" t="s">
        <v>456</v>
      </c>
      <c r="C20" s="42" t="s">
        <v>96</v>
      </c>
    </row>
  </sheetData>
  <mergeCells count="4">
    <mergeCell ref="A3:B3"/>
    <mergeCell ref="A10:B10"/>
    <mergeCell ref="A14:B1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1" customWidth="1" collapsed="1"/>
    <col min="2" max="2" width="7.77734375" style="78" hidden="1" customWidth="1" outlineLevel="1"/>
    <col min="3" max="4" width="5.44140625" style="101" hidden="1" customWidth="1"/>
    <col min="5" max="5" width="7.77734375" style="78" customWidth="1"/>
    <col min="6" max="6" width="7.77734375" style="78" hidden="1" customWidth="1"/>
    <col min="7" max="7" width="5.44140625" style="101" hidden="1" customWidth="1"/>
    <col min="8" max="8" width="7.77734375" style="78" customWidth="1" collapsed="1"/>
    <col min="9" max="9" width="7.77734375" style="179" hidden="1" customWidth="1" outlineLevel="1"/>
    <col min="10" max="10" width="7.77734375" style="179" customWidth="1" collapsed="1"/>
    <col min="11" max="12" width="7.77734375" style="78" hidden="1" customWidth="1"/>
    <col min="13" max="13" width="5.44140625" style="101" hidden="1" customWidth="1"/>
    <col min="14" max="14" width="7.77734375" style="78" customWidth="1"/>
    <col min="15" max="15" width="7.77734375" style="78" hidden="1" customWidth="1"/>
    <col min="16" max="16" width="5.44140625" style="101" hidden="1" customWidth="1"/>
    <col min="17" max="17" width="7.77734375" style="78" customWidth="1" collapsed="1"/>
    <col min="18" max="18" width="7.77734375" style="179" hidden="1" customWidth="1" outlineLevel="1"/>
    <col min="19" max="19" width="7.77734375" style="179" customWidth="1" collapsed="1"/>
    <col min="20" max="21" width="7.77734375" style="78" hidden="1" customWidth="1"/>
    <col min="22" max="22" width="5" style="101" hidden="1" customWidth="1"/>
    <col min="23" max="23" width="7.77734375" style="78" customWidth="1"/>
    <col min="24" max="24" width="7.77734375" style="78" hidden="1" customWidth="1"/>
    <col min="25" max="25" width="5" style="101" hidden="1" customWidth="1"/>
    <col min="26" max="26" width="7.77734375" style="78" customWidth="1" collapsed="1"/>
    <col min="27" max="27" width="7.77734375" style="179" hidden="1" customWidth="1" outlineLevel="1"/>
    <col min="28" max="28" width="7.77734375" style="179" customWidth="1" collapsed="1"/>
    <col min="29" max="16384" width="8.88671875" style="101"/>
  </cols>
  <sheetData>
    <row r="1" spans="1:28" ht="18.600000000000001" customHeight="1" thickBot="1" x14ac:dyDescent="0.4">
      <c r="A1" s="347" t="s">
        <v>358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</row>
    <row r="2" spans="1:28" ht="14.4" customHeight="1" thickBot="1" x14ac:dyDescent="0.35">
      <c r="A2" s="192" t="s">
        <v>206</v>
      </c>
      <c r="B2" s="83"/>
      <c r="C2" s="83"/>
      <c r="D2" s="83"/>
      <c r="E2" s="83"/>
      <c r="F2" s="83"/>
      <c r="G2" s="83"/>
      <c r="H2" s="83"/>
      <c r="I2" s="187"/>
      <c r="J2" s="187"/>
      <c r="K2" s="83"/>
      <c r="L2" s="83"/>
      <c r="M2" s="83"/>
      <c r="N2" s="83"/>
      <c r="O2" s="83"/>
      <c r="P2" s="83"/>
      <c r="Q2" s="83"/>
      <c r="R2" s="187"/>
      <c r="S2" s="187"/>
      <c r="T2" s="83"/>
      <c r="U2" s="83"/>
      <c r="V2" s="83"/>
      <c r="W2" s="83"/>
      <c r="X2" s="83"/>
      <c r="Y2" s="83"/>
      <c r="Z2" s="83"/>
      <c r="AA2" s="187"/>
      <c r="AB2" s="187"/>
    </row>
    <row r="3" spans="1:28" ht="14.4" customHeight="1" thickBot="1" x14ac:dyDescent="0.35">
      <c r="A3" s="180" t="s">
        <v>98</v>
      </c>
      <c r="B3" s="181">
        <f>SUBTOTAL(9,B6:B1048576)/4</f>
        <v>1488793.3699999992</v>
      </c>
      <c r="C3" s="182">
        <f t="shared" ref="C3:Z3" si="0">SUBTOTAL(9,C6:C1048576)</f>
        <v>4</v>
      </c>
      <c r="D3" s="182"/>
      <c r="E3" s="182">
        <f>SUBTOTAL(9,E6:E1048576)/4</f>
        <v>1810286.3299999998</v>
      </c>
      <c r="F3" s="182"/>
      <c r="G3" s="182">
        <f t="shared" si="0"/>
        <v>4</v>
      </c>
      <c r="H3" s="182">
        <f>SUBTOTAL(9,H6:H1048576)/4</f>
        <v>1913557.3199999996</v>
      </c>
      <c r="I3" s="185">
        <f>IF(B3&lt;&gt;0,H3/B3,"")</f>
        <v>1.2853075239044089</v>
      </c>
      <c r="J3" s="183">
        <f>IF(E3&lt;&gt;0,H3/E3,"")</f>
        <v>1.0570467711591236</v>
      </c>
      <c r="K3" s="184">
        <f t="shared" si="0"/>
        <v>0</v>
      </c>
      <c r="L3" s="184"/>
      <c r="M3" s="182">
        <f t="shared" si="0"/>
        <v>0</v>
      </c>
      <c r="N3" s="182">
        <f t="shared" si="0"/>
        <v>0</v>
      </c>
      <c r="O3" s="182"/>
      <c r="P3" s="182">
        <f t="shared" si="0"/>
        <v>0</v>
      </c>
      <c r="Q3" s="182">
        <f t="shared" si="0"/>
        <v>0</v>
      </c>
      <c r="R3" s="185" t="str">
        <f>IF(K3&lt;&gt;0,Q3/K3,"")</f>
        <v/>
      </c>
      <c r="S3" s="185" t="str">
        <f>IF(N3&lt;&gt;0,Q3/N3,"")</f>
        <v/>
      </c>
      <c r="T3" s="181">
        <f t="shared" si="0"/>
        <v>0</v>
      </c>
      <c r="U3" s="184"/>
      <c r="V3" s="182">
        <f t="shared" si="0"/>
        <v>0</v>
      </c>
      <c r="W3" s="182">
        <f t="shared" si="0"/>
        <v>0</v>
      </c>
      <c r="X3" s="182"/>
      <c r="Y3" s="182">
        <f t="shared" si="0"/>
        <v>0</v>
      </c>
      <c r="Z3" s="182">
        <f t="shared" si="0"/>
        <v>0</v>
      </c>
      <c r="AA3" s="185" t="str">
        <f>IF(T3&lt;&gt;0,Z3/T3,"")</f>
        <v/>
      </c>
      <c r="AB3" s="183" t="str">
        <f>IF(W3&lt;&gt;0,Z3/W3,"")</f>
        <v/>
      </c>
    </row>
    <row r="4" spans="1:28" ht="14.4" customHeight="1" x14ac:dyDescent="0.3">
      <c r="A4" s="348" t="s">
        <v>147</v>
      </c>
      <c r="B4" s="349" t="s">
        <v>74</v>
      </c>
      <c r="C4" s="350"/>
      <c r="D4" s="351"/>
      <c r="E4" s="350"/>
      <c r="F4" s="351"/>
      <c r="G4" s="350"/>
      <c r="H4" s="350"/>
      <c r="I4" s="351"/>
      <c r="J4" s="352"/>
      <c r="K4" s="349" t="s">
        <v>75</v>
      </c>
      <c r="L4" s="351"/>
      <c r="M4" s="350"/>
      <c r="N4" s="350"/>
      <c r="O4" s="351"/>
      <c r="P4" s="350"/>
      <c r="Q4" s="350"/>
      <c r="R4" s="351"/>
      <c r="S4" s="352"/>
      <c r="T4" s="349" t="s">
        <v>76</v>
      </c>
      <c r="U4" s="351"/>
      <c r="V4" s="350"/>
      <c r="W4" s="350"/>
      <c r="X4" s="351"/>
      <c r="Y4" s="350"/>
      <c r="Z4" s="350"/>
      <c r="AA4" s="351"/>
      <c r="AB4" s="352"/>
    </row>
    <row r="5" spans="1:28" ht="14.4" customHeight="1" thickBot="1" x14ac:dyDescent="0.35">
      <c r="A5" s="401"/>
      <c r="B5" s="402">
        <v>2015</v>
      </c>
      <c r="C5" s="403"/>
      <c r="D5" s="403"/>
      <c r="E5" s="403">
        <v>2018</v>
      </c>
      <c r="F5" s="403"/>
      <c r="G5" s="403"/>
      <c r="H5" s="403">
        <v>2019</v>
      </c>
      <c r="I5" s="404" t="s">
        <v>148</v>
      </c>
      <c r="J5" s="405" t="s">
        <v>2</v>
      </c>
      <c r="K5" s="402">
        <v>2015</v>
      </c>
      <c r="L5" s="403"/>
      <c r="M5" s="403"/>
      <c r="N5" s="403">
        <v>2018</v>
      </c>
      <c r="O5" s="403"/>
      <c r="P5" s="403"/>
      <c r="Q5" s="403">
        <v>2019</v>
      </c>
      <c r="R5" s="404" t="s">
        <v>148</v>
      </c>
      <c r="S5" s="405" t="s">
        <v>2</v>
      </c>
      <c r="T5" s="402">
        <v>2015</v>
      </c>
      <c r="U5" s="403"/>
      <c r="V5" s="403"/>
      <c r="W5" s="403">
        <v>2018</v>
      </c>
      <c r="X5" s="403"/>
      <c r="Y5" s="403"/>
      <c r="Z5" s="403">
        <v>2019</v>
      </c>
      <c r="AA5" s="404" t="s">
        <v>148</v>
      </c>
      <c r="AB5" s="405" t="s">
        <v>2</v>
      </c>
    </row>
    <row r="6" spans="1:28" ht="14.4" customHeight="1" x14ac:dyDescent="0.3">
      <c r="A6" s="406" t="s">
        <v>356</v>
      </c>
      <c r="B6" s="407">
        <v>1488793.3699999992</v>
      </c>
      <c r="C6" s="408">
        <v>1</v>
      </c>
      <c r="D6" s="408">
        <v>0.82240767403905635</v>
      </c>
      <c r="E6" s="407">
        <v>1810286.3299999996</v>
      </c>
      <c r="F6" s="408">
        <v>1.2159419611063962</v>
      </c>
      <c r="G6" s="408">
        <v>1</v>
      </c>
      <c r="H6" s="407">
        <v>1913557.3199999998</v>
      </c>
      <c r="I6" s="408">
        <v>1.2853075239044092</v>
      </c>
      <c r="J6" s="408">
        <v>1.0570467711591238</v>
      </c>
      <c r="K6" s="407"/>
      <c r="L6" s="408"/>
      <c r="M6" s="408"/>
      <c r="N6" s="407"/>
      <c r="O6" s="408"/>
      <c r="P6" s="408"/>
      <c r="Q6" s="407"/>
      <c r="R6" s="408"/>
      <c r="S6" s="408"/>
      <c r="T6" s="407"/>
      <c r="U6" s="408"/>
      <c r="V6" s="408"/>
      <c r="W6" s="407"/>
      <c r="X6" s="408"/>
      <c r="Y6" s="408"/>
      <c r="Z6" s="407"/>
      <c r="AA6" s="408"/>
      <c r="AB6" s="409"/>
    </row>
    <row r="7" spans="1:28" ht="14.4" customHeight="1" thickBot="1" x14ac:dyDescent="0.35">
      <c r="A7" s="413" t="s">
        <v>357</v>
      </c>
      <c r="B7" s="410">
        <v>1488793.3699999992</v>
      </c>
      <c r="C7" s="411">
        <v>1</v>
      </c>
      <c r="D7" s="411">
        <v>0.82240767403905635</v>
      </c>
      <c r="E7" s="410">
        <v>1810286.3299999996</v>
      </c>
      <c r="F7" s="411">
        <v>1.2159419611063962</v>
      </c>
      <c r="G7" s="411">
        <v>1</v>
      </c>
      <c r="H7" s="410">
        <v>1913557.3199999998</v>
      </c>
      <c r="I7" s="411">
        <v>1.2853075239044092</v>
      </c>
      <c r="J7" s="411">
        <v>1.0570467711591238</v>
      </c>
      <c r="K7" s="410"/>
      <c r="L7" s="411"/>
      <c r="M7" s="411"/>
      <c r="N7" s="410"/>
      <c r="O7" s="411"/>
      <c r="P7" s="411"/>
      <c r="Q7" s="410"/>
      <c r="R7" s="411"/>
      <c r="S7" s="411"/>
      <c r="T7" s="410"/>
      <c r="U7" s="411"/>
      <c r="V7" s="411"/>
      <c r="W7" s="410"/>
      <c r="X7" s="411"/>
      <c r="Y7" s="411"/>
      <c r="Z7" s="410"/>
      <c r="AA7" s="411"/>
      <c r="AB7" s="412"/>
    </row>
    <row r="8" spans="1:28" ht="14.4" customHeight="1" thickBot="1" x14ac:dyDescent="0.35"/>
    <row r="9" spans="1:28" ht="14.4" customHeight="1" x14ac:dyDescent="0.3">
      <c r="A9" s="406" t="s">
        <v>337</v>
      </c>
      <c r="B9" s="407">
        <v>1488793.3699999996</v>
      </c>
      <c r="C9" s="408">
        <v>1</v>
      </c>
      <c r="D9" s="408">
        <v>0.82240767403905646</v>
      </c>
      <c r="E9" s="407">
        <v>1810286.3299999998</v>
      </c>
      <c r="F9" s="408">
        <v>1.215941961106396</v>
      </c>
      <c r="G9" s="408">
        <v>1</v>
      </c>
      <c r="H9" s="407">
        <v>1913557.3199999996</v>
      </c>
      <c r="I9" s="408">
        <v>1.2853075239044087</v>
      </c>
      <c r="J9" s="409">
        <v>1.0570467711591236</v>
      </c>
    </row>
    <row r="10" spans="1:28" ht="14.4" customHeight="1" thickBot="1" x14ac:dyDescent="0.35">
      <c r="A10" s="413" t="s">
        <v>359</v>
      </c>
      <c r="B10" s="410">
        <v>1488793.3699999996</v>
      </c>
      <c r="C10" s="411">
        <v>1</v>
      </c>
      <c r="D10" s="411">
        <v>0.82240767403905646</v>
      </c>
      <c r="E10" s="410">
        <v>1810286.3299999998</v>
      </c>
      <c r="F10" s="411">
        <v>1.215941961106396</v>
      </c>
      <c r="G10" s="411">
        <v>1</v>
      </c>
      <c r="H10" s="410">
        <v>1913557.3199999996</v>
      </c>
      <c r="I10" s="411">
        <v>1.2853075239044087</v>
      </c>
      <c r="J10" s="412">
        <v>1.0570467711591236</v>
      </c>
    </row>
    <row r="11" spans="1:28" ht="14.4" customHeight="1" x14ac:dyDescent="0.3">
      <c r="A11" s="414" t="s">
        <v>183</v>
      </c>
    </row>
    <row r="12" spans="1:28" ht="14.4" customHeight="1" x14ac:dyDescent="0.3">
      <c r="A12" s="415" t="s">
        <v>360</v>
      </c>
    </row>
    <row r="13" spans="1:28" ht="14.4" customHeight="1" x14ac:dyDescent="0.3">
      <c r="A13" s="414" t="s">
        <v>361</v>
      </c>
    </row>
    <row r="14" spans="1:28" ht="14.4" customHeight="1" x14ac:dyDescent="0.3">
      <c r="A14" s="414" t="s">
        <v>362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1" bestFit="1" customWidth="1"/>
    <col min="2" max="2" width="7.77734375" style="176" hidden="1" customWidth="1" outlineLevel="1"/>
    <col min="3" max="3" width="7.77734375" style="176" customWidth="1" collapsed="1"/>
    <col min="4" max="4" width="7.77734375" style="176" customWidth="1"/>
    <col min="5" max="5" width="7.77734375" style="78" hidden="1" customWidth="1" outlineLevel="1"/>
    <col min="6" max="6" width="7.77734375" style="78" customWidth="1" collapsed="1"/>
    <col min="7" max="7" width="7.77734375" style="78" customWidth="1"/>
    <col min="8" max="16384" width="8.88671875" style="101"/>
  </cols>
  <sheetData>
    <row r="1" spans="1:7" ht="18.600000000000001" customHeight="1" thickBot="1" x14ac:dyDescent="0.4">
      <c r="A1" s="347" t="s">
        <v>377</v>
      </c>
      <c r="B1" s="275"/>
      <c r="C1" s="275"/>
      <c r="D1" s="275"/>
      <c r="E1" s="275"/>
      <c r="F1" s="275"/>
      <c r="G1" s="275"/>
    </row>
    <row r="2" spans="1:7" ht="14.4" customHeight="1" thickBot="1" x14ac:dyDescent="0.35">
      <c r="A2" s="192" t="s">
        <v>206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221" t="s">
        <v>98</v>
      </c>
      <c r="B3" s="207">
        <f t="shared" ref="B3:G3" si="0">SUBTOTAL(9,B6:B1048576)</f>
        <v>3968</v>
      </c>
      <c r="C3" s="208">
        <f t="shared" si="0"/>
        <v>4845</v>
      </c>
      <c r="D3" s="220">
        <f t="shared" si="0"/>
        <v>5142</v>
      </c>
      <c r="E3" s="184">
        <f t="shared" si="0"/>
        <v>1488793.37</v>
      </c>
      <c r="F3" s="182">
        <f t="shared" si="0"/>
        <v>1810286.3299999998</v>
      </c>
      <c r="G3" s="209">
        <f t="shared" si="0"/>
        <v>1913557.3199999998</v>
      </c>
    </row>
    <row r="4" spans="1:7" ht="14.4" customHeight="1" x14ac:dyDescent="0.3">
      <c r="A4" s="348" t="s">
        <v>99</v>
      </c>
      <c r="B4" s="353" t="s">
        <v>145</v>
      </c>
      <c r="C4" s="351"/>
      <c r="D4" s="354"/>
      <c r="E4" s="353" t="s">
        <v>74</v>
      </c>
      <c r="F4" s="351"/>
      <c r="G4" s="354"/>
    </row>
    <row r="5" spans="1:7" ht="14.4" customHeight="1" thickBot="1" x14ac:dyDescent="0.35">
      <c r="A5" s="401"/>
      <c r="B5" s="402">
        <v>2015</v>
      </c>
      <c r="C5" s="403">
        <v>2018</v>
      </c>
      <c r="D5" s="416">
        <v>2019</v>
      </c>
      <c r="E5" s="402">
        <v>2015</v>
      </c>
      <c r="F5" s="403">
        <v>2018</v>
      </c>
      <c r="G5" s="416">
        <v>2019</v>
      </c>
    </row>
    <row r="6" spans="1:7" ht="14.4" customHeight="1" x14ac:dyDescent="0.3">
      <c r="A6" s="429" t="s">
        <v>363</v>
      </c>
      <c r="B6" s="418">
        <v>193</v>
      </c>
      <c r="C6" s="418">
        <v>252</v>
      </c>
      <c r="D6" s="418">
        <v>198</v>
      </c>
      <c r="E6" s="419">
        <v>76409</v>
      </c>
      <c r="F6" s="419">
        <v>101468</v>
      </c>
      <c r="G6" s="420">
        <v>76142</v>
      </c>
    </row>
    <row r="7" spans="1:7" ht="14.4" customHeight="1" x14ac:dyDescent="0.3">
      <c r="A7" s="430" t="s">
        <v>364</v>
      </c>
      <c r="B7" s="422">
        <v>485</v>
      </c>
      <c r="C7" s="422">
        <v>383</v>
      </c>
      <c r="D7" s="422">
        <v>284</v>
      </c>
      <c r="E7" s="423">
        <v>166729.33000000002</v>
      </c>
      <c r="F7" s="423">
        <v>132273.66</v>
      </c>
      <c r="G7" s="424">
        <v>99400</v>
      </c>
    </row>
    <row r="8" spans="1:7" ht="14.4" customHeight="1" x14ac:dyDescent="0.3">
      <c r="A8" s="430" t="s">
        <v>365</v>
      </c>
      <c r="B8" s="422">
        <v>134</v>
      </c>
      <c r="C8" s="422">
        <v>711</v>
      </c>
      <c r="D8" s="422">
        <v>755</v>
      </c>
      <c r="E8" s="423">
        <v>60772</v>
      </c>
      <c r="F8" s="423">
        <v>263447</v>
      </c>
      <c r="G8" s="424">
        <v>273455</v>
      </c>
    </row>
    <row r="9" spans="1:7" ht="14.4" customHeight="1" x14ac:dyDescent="0.3">
      <c r="A9" s="430" t="s">
        <v>366</v>
      </c>
      <c r="B9" s="422">
        <v>677</v>
      </c>
      <c r="C9" s="422">
        <v>616</v>
      </c>
      <c r="D9" s="422">
        <v>625</v>
      </c>
      <c r="E9" s="423">
        <v>242563.65</v>
      </c>
      <c r="F9" s="423">
        <v>218959.64999999997</v>
      </c>
      <c r="G9" s="424">
        <v>225460.99</v>
      </c>
    </row>
    <row r="10" spans="1:7" ht="14.4" customHeight="1" x14ac:dyDescent="0.3">
      <c r="A10" s="430" t="s">
        <v>367</v>
      </c>
      <c r="B10" s="422">
        <v>438</v>
      </c>
      <c r="C10" s="422">
        <v>535</v>
      </c>
      <c r="D10" s="422">
        <v>535</v>
      </c>
      <c r="E10" s="423">
        <v>177492</v>
      </c>
      <c r="F10" s="423">
        <v>215020</v>
      </c>
      <c r="G10" s="424">
        <v>222162</v>
      </c>
    </row>
    <row r="11" spans="1:7" ht="14.4" customHeight="1" x14ac:dyDescent="0.3">
      <c r="A11" s="430" t="s">
        <v>368</v>
      </c>
      <c r="B11" s="422">
        <v>52</v>
      </c>
      <c r="C11" s="422"/>
      <c r="D11" s="422"/>
      <c r="E11" s="423">
        <v>18044</v>
      </c>
      <c r="F11" s="423"/>
      <c r="G11" s="424"/>
    </row>
    <row r="12" spans="1:7" ht="14.4" customHeight="1" x14ac:dyDescent="0.3">
      <c r="A12" s="430" t="s">
        <v>369</v>
      </c>
      <c r="B12" s="422">
        <v>130</v>
      </c>
      <c r="C12" s="422">
        <v>258</v>
      </c>
      <c r="D12" s="422">
        <v>200</v>
      </c>
      <c r="E12" s="423">
        <v>46554.67</v>
      </c>
      <c r="F12" s="423">
        <v>94433.34</v>
      </c>
      <c r="G12" s="424">
        <v>71982.67</v>
      </c>
    </row>
    <row r="13" spans="1:7" ht="14.4" customHeight="1" x14ac:dyDescent="0.3">
      <c r="A13" s="430" t="s">
        <v>370</v>
      </c>
      <c r="B13" s="422">
        <v>415</v>
      </c>
      <c r="C13" s="422">
        <v>451</v>
      </c>
      <c r="D13" s="422">
        <v>621</v>
      </c>
      <c r="E13" s="423">
        <v>128668.67</v>
      </c>
      <c r="F13" s="423">
        <v>148350.33000000002</v>
      </c>
      <c r="G13" s="424">
        <v>205147.33</v>
      </c>
    </row>
    <row r="14" spans="1:7" ht="14.4" customHeight="1" x14ac:dyDescent="0.3">
      <c r="A14" s="430" t="s">
        <v>371</v>
      </c>
      <c r="B14" s="422"/>
      <c r="C14" s="422"/>
      <c r="D14" s="422">
        <v>562</v>
      </c>
      <c r="E14" s="423"/>
      <c r="F14" s="423"/>
      <c r="G14" s="424">
        <v>207430.63999999998</v>
      </c>
    </row>
    <row r="15" spans="1:7" ht="14.4" customHeight="1" x14ac:dyDescent="0.3">
      <c r="A15" s="430" t="s">
        <v>372</v>
      </c>
      <c r="B15" s="422">
        <v>88</v>
      </c>
      <c r="C15" s="422">
        <v>151</v>
      </c>
      <c r="D15" s="422">
        <v>124</v>
      </c>
      <c r="E15" s="423">
        <v>31306.67</v>
      </c>
      <c r="F15" s="423">
        <v>53173.67</v>
      </c>
      <c r="G15" s="424">
        <v>42300</v>
      </c>
    </row>
    <row r="16" spans="1:7" ht="14.4" customHeight="1" x14ac:dyDescent="0.3">
      <c r="A16" s="430" t="s">
        <v>373</v>
      </c>
      <c r="B16" s="422">
        <v>450</v>
      </c>
      <c r="C16" s="422">
        <v>366</v>
      </c>
      <c r="D16" s="422">
        <v>254</v>
      </c>
      <c r="E16" s="423">
        <v>171724.69000000009</v>
      </c>
      <c r="F16" s="423">
        <v>143790.00000000003</v>
      </c>
      <c r="G16" s="424">
        <v>110512.68</v>
      </c>
    </row>
    <row r="17" spans="1:7" ht="14.4" customHeight="1" x14ac:dyDescent="0.3">
      <c r="A17" s="430" t="s">
        <v>374</v>
      </c>
      <c r="B17" s="422">
        <v>549</v>
      </c>
      <c r="C17" s="422">
        <v>603</v>
      </c>
      <c r="D17" s="422">
        <v>451</v>
      </c>
      <c r="E17" s="423">
        <v>209689.01</v>
      </c>
      <c r="F17" s="423">
        <v>229588.67</v>
      </c>
      <c r="G17" s="424">
        <v>177254.01</v>
      </c>
    </row>
    <row r="18" spans="1:7" ht="14.4" customHeight="1" x14ac:dyDescent="0.3">
      <c r="A18" s="430" t="s">
        <v>375</v>
      </c>
      <c r="B18" s="422">
        <v>177</v>
      </c>
      <c r="C18" s="422">
        <v>96</v>
      </c>
      <c r="D18" s="422"/>
      <c r="E18" s="423">
        <v>73749.679999999993</v>
      </c>
      <c r="F18" s="423">
        <v>42632.009999999995</v>
      </c>
      <c r="G18" s="424"/>
    </row>
    <row r="19" spans="1:7" ht="14.4" customHeight="1" thickBot="1" x14ac:dyDescent="0.35">
      <c r="A19" s="431" t="s">
        <v>376</v>
      </c>
      <c r="B19" s="426">
        <v>180</v>
      </c>
      <c r="C19" s="426">
        <v>423</v>
      </c>
      <c r="D19" s="426">
        <v>533</v>
      </c>
      <c r="E19" s="427">
        <v>85090</v>
      </c>
      <c r="F19" s="427">
        <v>167150</v>
      </c>
      <c r="G19" s="428">
        <v>202310</v>
      </c>
    </row>
    <row r="20" spans="1:7" ht="14.4" customHeight="1" x14ac:dyDescent="0.3">
      <c r="A20" s="414" t="s">
        <v>183</v>
      </c>
    </row>
    <row r="21" spans="1:7" ht="14.4" customHeight="1" x14ac:dyDescent="0.3">
      <c r="A21" s="415" t="s">
        <v>360</v>
      </c>
    </row>
    <row r="22" spans="1:7" ht="14.4" customHeight="1" x14ac:dyDescent="0.3">
      <c r="A22" s="414" t="s">
        <v>361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.109375" style="101" bestFit="1" customWidth="1"/>
    <col min="5" max="5" width="8" style="101" customWidth="1"/>
    <col min="6" max="6" width="50.88671875" style="101" bestFit="1" customWidth="1" collapsed="1"/>
    <col min="7" max="8" width="11.109375" style="176" hidden="1" customWidth="1" outlineLevel="1"/>
    <col min="9" max="10" width="9.33203125" style="101" hidden="1" customWidth="1"/>
    <col min="11" max="12" width="11.109375" style="176" customWidth="1"/>
    <col min="13" max="14" width="9.33203125" style="101" hidden="1" customWidth="1"/>
    <col min="15" max="16" width="11.109375" style="176" customWidth="1"/>
    <col min="17" max="17" width="11.109375" style="179" customWidth="1"/>
    <col min="18" max="18" width="11.109375" style="176" customWidth="1"/>
    <col min="19" max="16384" width="8.88671875" style="101"/>
  </cols>
  <sheetData>
    <row r="1" spans="1:18" ht="18.600000000000001" customHeight="1" thickBot="1" x14ac:dyDescent="0.4">
      <c r="A1" s="275" t="s">
        <v>405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</row>
    <row r="2" spans="1:18" ht="14.4" customHeight="1" thickBot="1" x14ac:dyDescent="0.35">
      <c r="A2" s="192" t="s">
        <v>206</v>
      </c>
      <c r="B2" s="166"/>
      <c r="C2" s="166"/>
      <c r="D2" s="83"/>
      <c r="E2" s="83"/>
      <c r="F2" s="83"/>
      <c r="G2" s="190"/>
      <c r="H2" s="190"/>
      <c r="I2" s="83"/>
      <c r="J2" s="83"/>
      <c r="K2" s="190"/>
      <c r="L2" s="190"/>
      <c r="M2" s="83"/>
      <c r="N2" s="83"/>
      <c r="O2" s="190"/>
      <c r="P2" s="190"/>
      <c r="Q2" s="187"/>
      <c r="R2" s="190"/>
    </row>
    <row r="3" spans="1:18" ht="14.4" customHeight="1" thickBot="1" x14ac:dyDescent="0.35">
      <c r="F3" s="62" t="s">
        <v>98</v>
      </c>
      <c r="G3" s="74">
        <f t="shared" ref="G3:P3" si="0">SUBTOTAL(9,G6:G1048576)</f>
        <v>3968</v>
      </c>
      <c r="H3" s="75">
        <f t="shared" si="0"/>
        <v>1488793.37</v>
      </c>
      <c r="I3" s="57"/>
      <c r="J3" s="57"/>
      <c r="K3" s="75">
        <f t="shared" si="0"/>
        <v>4845</v>
      </c>
      <c r="L3" s="75">
        <f t="shared" si="0"/>
        <v>1810286.33</v>
      </c>
      <c r="M3" s="57"/>
      <c r="N3" s="57"/>
      <c r="O3" s="75">
        <f t="shared" si="0"/>
        <v>5142</v>
      </c>
      <c r="P3" s="75">
        <f t="shared" si="0"/>
        <v>1913557.32</v>
      </c>
      <c r="Q3" s="58">
        <f>IF(L3=0,0,P3/L3)</f>
        <v>1.0570467711591238</v>
      </c>
      <c r="R3" s="76">
        <f>IF(O3=0,0,P3/O3)</f>
        <v>372.1426137689615</v>
      </c>
    </row>
    <row r="4" spans="1:18" ht="14.4" customHeight="1" x14ac:dyDescent="0.3">
      <c r="A4" s="355" t="s">
        <v>149</v>
      </c>
      <c r="B4" s="355" t="s">
        <v>70</v>
      </c>
      <c r="C4" s="363" t="s">
        <v>0</v>
      </c>
      <c r="D4" s="357" t="s">
        <v>71</v>
      </c>
      <c r="E4" s="362" t="s">
        <v>46</v>
      </c>
      <c r="F4" s="358" t="s">
        <v>45</v>
      </c>
      <c r="G4" s="359">
        <v>2015</v>
      </c>
      <c r="H4" s="360"/>
      <c r="I4" s="73"/>
      <c r="J4" s="73"/>
      <c r="K4" s="359">
        <v>2018</v>
      </c>
      <c r="L4" s="360"/>
      <c r="M4" s="73"/>
      <c r="N4" s="73"/>
      <c r="O4" s="359">
        <v>2019</v>
      </c>
      <c r="P4" s="360"/>
      <c r="Q4" s="361" t="s">
        <v>2</v>
      </c>
      <c r="R4" s="356" t="s">
        <v>73</v>
      </c>
    </row>
    <row r="5" spans="1:18" ht="14.4" customHeight="1" thickBot="1" x14ac:dyDescent="0.35">
      <c r="A5" s="432"/>
      <c r="B5" s="432"/>
      <c r="C5" s="433"/>
      <c r="D5" s="434"/>
      <c r="E5" s="435"/>
      <c r="F5" s="436"/>
      <c r="G5" s="437" t="s">
        <v>47</v>
      </c>
      <c r="H5" s="438" t="s">
        <v>4</v>
      </c>
      <c r="I5" s="439"/>
      <c r="J5" s="439"/>
      <c r="K5" s="437" t="s">
        <v>47</v>
      </c>
      <c r="L5" s="438" t="s">
        <v>4</v>
      </c>
      <c r="M5" s="439"/>
      <c r="N5" s="439"/>
      <c r="O5" s="437" t="s">
        <v>47</v>
      </c>
      <c r="P5" s="438" t="s">
        <v>4</v>
      </c>
      <c r="Q5" s="440"/>
      <c r="R5" s="441"/>
    </row>
    <row r="6" spans="1:18" ht="14.4" customHeight="1" x14ac:dyDescent="0.3">
      <c r="A6" s="417" t="s">
        <v>378</v>
      </c>
      <c r="B6" s="442" t="s">
        <v>379</v>
      </c>
      <c r="C6" s="442" t="s">
        <v>337</v>
      </c>
      <c r="D6" s="442" t="s">
        <v>380</v>
      </c>
      <c r="E6" s="442" t="s">
        <v>381</v>
      </c>
      <c r="F6" s="442" t="s">
        <v>382</v>
      </c>
      <c r="G6" s="418">
        <v>87</v>
      </c>
      <c r="H6" s="418">
        <v>6438</v>
      </c>
      <c r="I6" s="442">
        <v>1.4745762711864407</v>
      </c>
      <c r="J6" s="442">
        <v>74</v>
      </c>
      <c r="K6" s="418">
        <v>59</v>
      </c>
      <c r="L6" s="418">
        <v>4366</v>
      </c>
      <c r="M6" s="442">
        <v>1</v>
      </c>
      <c r="N6" s="442">
        <v>74</v>
      </c>
      <c r="O6" s="418">
        <v>66</v>
      </c>
      <c r="P6" s="418">
        <v>4950</v>
      </c>
      <c r="Q6" s="443">
        <v>1.1337608795235914</v>
      </c>
      <c r="R6" s="444">
        <v>75</v>
      </c>
    </row>
    <row r="7" spans="1:18" ht="14.4" customHeight="1" x14ac:dyDescent="0.3">
      <c r="A7" s="421" t="s">
        <v>378</v>
      </c>
      <c r="B7" s="445" t="s">
        <v>379</v>
      </c>
      <c r="C7" s="445" t="s">
        <v>337</v>
      </c>
      <c r="D7" s="445" t="s">
        <v>380</v>
      </c>
      <c r="E7" s="445" t="s">
        <v>383</v>
      </c>
      <c r="F7" s="445" t="s">
        <v>384</v>
      </c>
      <c r="G7" s="422">
        <v>2629</v>
      </c>
      <c r="H7" s="422">
        <v>912263</v>
      </c>
      <c r="I7" s="445">
        <v>0.86395004929346042</v>
      </c>
      <c r="J7" s="445">
        <v>347</v>
      </c>
      <c r="K7" s="422">
        <v>3043</v>
      </c>
      <c r="L7" s="422">
        <v>1055921</v>
      </c>
      <c r="M7" s="445">
        <v>1</v>
      </c>
      <c r="N7" s="445">
        <v>347</v>
      </c>
      <c r="O7" s="422">
        <v>3469</v>
      </c>
      <c r="P7" s="422">
        <v>1214150</v>
      </c>
      <c r="Q7" s="446">
        <v>1.1498492784971603</v>
      </c>
      <c r="R7" s="447">
        <v>350</v>
      </c>
    </row>
    <row r="8" spans="1:18" ht="14.4" customHeight="1" x14ac:dyDescent="0.3">
      <c r="A8" s="421" t="s">
        <v>378</v>
      </c>
      <c r="B8" s="445" t="s">
        <v>379</v>
      </c>
      <c r="C8" s="445" t="s">
        <v>337</v>
      </c>
      <c r="D8" s="445" t="s">
        <v>380</v>
      </c>
      <c r="E8" s="445" t="s">
        <v>385</v>
      </c>
      <c r="F8" s="445" t="s">
        <v>386</v>
      </c>
      <c r="G8" s="422"/>
      <c r="H8" s="422"/>
      <c r="I8" s="445"/>
      <c r="J8" s="445"/>
      <c r="K8" s="422"/>
      <c r="L8" s="422"/>
      <c r="M8" s="445"/>
      <c r="N8" s="445"/>
      <c r="O8" s="422">
        <v>39</v>
      </c>
      <c r="P8" s="422">
        <v>9087</v>
      </c>
      <c r="Q8" s="446"/>
      <c r="R8" s="447">
        <v>233</v>
      </c>
    </row>
    <row r="9" spans="1:18" ht="14.4" customHeight="1" x14ac:dyDescent="0.3">
      <c r="A9" s="421" t="s">
        <v>378</v>
      </c>
      <c r="B9" s="445" t="s">
        <v>379</v>
      </c>
      <c r="C9" s="445" t="s">
        <v>337</v>
      </c>
      <c r="D9" s="445" t="s">
        <v>380</v>
      </c>
      <c r="E9" s="445" t="s">
        <v>387</v>
      </c>
      <c r="F9" s="445" t="s">
        <v>388</v>
      </c>
      <c r="G9" s="422">
        <v>297</v>
      </c>
      <c r="H9" s="422">
        <v>103059</v>
      </c>
      <c r="I9" s="445">
        <v>0.45552147239263802</v>
      </c>
      <c r="J9" s="445">
        <v>347</v>
      </c>
      <c r="K9" s="422">
        <v>652</v>
      </c>
      <c r="L9" s="422">
        <v>226244</v>
      </c>
      <c r="M9" s="445">
        <v>1</v>
      </c>
      <c r="N9" s="445">
        <v>347</v>
      </c>
      <c r="O9" s="422">
        <v>651</v>
      </c>
      <c r="P9" s="422">
        <v>227850</v>
      </c>
      <c r="Q9" s="446">
        <v>1.0070985307897669</v>
      </c>
      <c r="R9" s="447">
        <v>350</v>
      </c>
    </row>
    <row r="10" spans="1:18" ht="14.4" customHeight="1" x14ac:dyDescent="0.3">
      <c r="A10" s="421" t="s">
        <v>378</v>
      </c>
      <c r="B10" s="445" t="s">
        <v>379</v>
      </c>
      <c r="C10" s="445" t="s">
        <v>337</v>
      </c>
      <c r="D10" s="445" t="s">
        <v>380</v>
      </c>
      <c r="E10" s="445" t="s">
        <v>389</v>
      </c>
      <c r="F10" s="445" t="s">
        <v>390</v>
      </c>
      <c r="G10" s="422">
        <v>22</v>
      </c>
      <c r="H10" s="422">
        <v>7634</v>
      </c>
      <c r="I10" s="445">
        <v>0.24175824175824176</v>
      </c>
      <c r="J10" s="445">
        <v>347</v>
      </c>
      <c r="K10" s="422">
        <v>91</v>
      </c>
      <c r="L10" s="422">
        <v>31577</v>
      </c>
      <c r="M10" s="445">
        <v>1</v>
      </c>
      <c r="N10" s="445">
        <v>347</v>
      </c>
      <c r="O10" s="422">
        <v>19</v>
      </c>
      <c r="P10" s="422">
        <v>6650</v>
      </c>
      <c r="Q10" s="446">
        <v>0.21059632010640655</v>
      </c>
      <c r="R10" s="447">
        <v>350</v>
      </c>
    </row>
    <row r="11" spans="1:18" ht="14.4" customHeight="1" x14ac:dyDescent="0.3">
      <c r="A11" s="421" t="s">
        <v>378</v>
      </c>
      <c r="B11" s="445" t="s">
        <v>379</v>
      </c>
      <c r="C11" s="445" t="s">
        <v>337</v>
      </c>
      <c r="D11" s="445" t="s">
        <v>380</v>
      </c>
      <c r="E11" s="445" t="s">
        <v>391</v>
      </c>
      <c r="F11" s="445" t="s">
        <v>392</v>
      </c>
      <c r="G11" s="422">
        <v>148</v>
      </c>
      <c r="H11" s="422">
        <v>4933.37</v>
      </c>
      <c r="I11" s="445">
        <v>1.0000081081135865</v>
      </c>
      <c r="J11" s="445">
        <v>33.333581081081078</v>
      </c>
      <c r="K11" s="422">
        <v>148</v>
      </c>
      <c r="L11" s="422">
        <v>4933.33</v>
      </c>
      <c r="M11" s="445">
        <v>1</v>
      </c>
      <c r="N11" s="445">
        <v>33.333310810810808</v>
      </c>
      <c r="O11" s="422">
        <v>133</v>
      </c>
      <c r="P11" s="422">
        <v>4433.3200000000006</v>
      </c>
      <c r="Q11" s="446">
        <v>0.8986465531395631</v>
      </c>
      <c r="R11" s="447">
        <v>33.333233082706769</v>
      </c>
    </row>
    <row r="12" spans="1:18" ht="14.4" customHeight="1" x14ac:dyDescent="0.3">
      <c r="A12" s="421" t="s">
        <v>378</v>
      </c>
      <c r="B12" s="445" t="s">
        <v>379</v>
      </c>
      <c r="C12" s="445" t="s">
        <v>337</v>
      </c>
      <c r="D12" s="445" t="s">
        <v>380</v>
      </c>
      <c r="E12" s="445" t="s">
        <v>393</v>
      </c>
      <c r="F12" s="445" t="s">
        <v>394</v>
      </c>
      <c r="G12" s="422">
        <v>423</v>
      </c>
      <c r="H12" s="422">
        <v>245340</v>
      </c>
      <c r="I12" s="445">
        <v>1.0504277236879287</v>
      </c>
      <c r="J12" s="445">
        <v>580</v>
      </c>
      <c r="K12" s="422">
        <v>402</v>
      </c>
      <c r="L12" s="422">
        <v>233562</v>
      </c>
      <c r="M12" s="445">
        <v>1</v>
      </c>
      <c r="N12" s="445">
        <v>581</v>
      </c>
      <c r="O12" s="422">
        <v>345</v>
      </c>
      <c r="P12" s="422">
        <v>202515</v>
      </c>
      <c r="Q12" s="446">
        <v>0.86707169830708763</v>
      </c>
      <c r="R12" s="447">
        <v>587</v>
      </c>
    </row>
    <row r="13" spans="1:18" ht="14.4" customHeight="1" x14ac:dyDescent="0.3">
      <c r="A13" s="421" t="s">
        <v>378</v>
      </c>
      <c r="B13" s="445" t="s">
        <v>379</v>
      </c>
      <c r="C13" s="445" t="s">
        <v>337</v>
      </c>
      <c r="D13" s="445" t="s">
        <v>380</v>
      </c>
      <c r="E13" s="445" t="s">
        <v>395</v>
      </c>
      <c r="F13" s="445" t="s">
        <v>396</v>
      </c>
      <c r="G13" s="422">
        <v>242</v>
      </c>
      <c r="H13" s="422">
        <v>140602</v>
      </c>
      <c r="I13" s="445">
        <v>1.1784594753164026</v>
      </c>
      <c r="J13" s="445">
        <v>581</v>
      </c>
      <c r="K13" s="422">
        <v>205</v>
      </c>
      <c r="L13" s="422">
        <v>119310</v>
      </c>
      <c r="M13" s="445">
        <v>1</v>
      </c>
      <c r="N13" s="445">
        <v>582</v>
      </c>
      <c r="O13" s="422">
        <v>195</v>
      </c>
      <c r="P13" s="422">
        <v>114660</v>
      </c>
      <c r="Q13" s="446">
        <v>0.96102589891878298</v>
      </c>
      <c r="R13" s="447">
        <v>588</v>
      </c>
    </row>
    <row r="14" spans="1:18" ht="14.4" customHeight="1" x14ac:dyDescent="0.3">
      <c r="A14" s="421" t="s">
        <v>378</v>
      </c>
      <c r="B14" s="445" t="s">
        <v>379</v>
      </c>
      <c r="C14" s="445" t="s">
        <v>337</v>
      </c>
      <c r="D14" s="445" t="s">
        <v>380</v>
      </c>
      <c r="E14" s="445" t="s">
        <v>397</v>
      </c>
      <c r="F14" s="445" t="s">
        <v>398</v>
      </c>
      <c r="G14" s="422">
        <v>4</v>
      </c>
      <c r="H14" s="422">
        <v>1164</v>
      </c>
      <c r="I14" s="445"/>
      <c r="J14" s="445">
        <v>291</v>
      </c>
      <c r="K14" s="422"/>
      <c r="L14" s="422"/>
      <c r="M14" s="445"/>
      <c r="N14" s="445"/>
      <c r="O14" s="422">
        <v>4</v>
      </c>
      <c r="P14" s="422">
        <v>1176</v>
      </c>
      <c r="Q14" s="446"/>
      <c r="R14" s="447">
        <v>294</v>
      </c>
    </row>
    <row r="15" spans="1:18" ht="14.4" customHeight="1" x14ac:dyDescent="0.3">
      <c r="A15" s="421" t="s">
        <v>378</v>
      </c>
      <c r="B15" s="445" t="s">
        <v>379</v>
      </c>
      <c r="C15" s="445" t="s">
        <v>337</v>
      </c>
      <c r="D15" s="445" t="s">
        <v>380</v>
      </c>
      <c r="E15" s="445" t="s">
        <v>399</v>
      </c>
      <c r="F15" s="445" t="s">
        <v>400</v>
      </c>
      <c r="G15" s="422">
        <v>80</v>
      </c>
      <c r="H15" s="422">
        <v>46480</v>
      </c>
      <c r="I15" s="445">
        <v>0.53961177672517879</v>
      </c>
      <c r="J15" s="445">
        <v>581</v>
      </c>
      <c r="K15" s="422">
        <v>148</v>
      </c>
      <c r="L15" s="422">
        <v>86136</v>
      </c>
      <c r="M15" s="445">
        <v>1</v>
      </c>
      <c r="N15" s="445">
        <v>582</v>
      </c>
      <c r="O15" s="422">
        <v>117</v>
      </c>
      <c r="P15" s="422">
        <v>68796</v>
      </c>
      <c r="Q15" s="446">
        <v>0.79869044302033998</v>
      </c>
      <c r="R15" s="447">
        <v>588</v>
      </c>
    </row>
    <row r="16" spans="1:18" ht="14.4" customHeight="1" x14ac:dyDescent="0.3">
      <c r="A16" s="421" t="s">
        <v>378</v>
      </c>
      <c r="B16" s="445" t="s">
        <v>379</v>
      </c>
      <c r="C16" s="445" t="s">
        <v>337</v>
      </c>
      <c r="D16" s="445" t="s">
        <v>380</v>
      </c>
      <c r="E16" s="445" t="s">
        <v>401</v>
      </c>
      <c r="F16" s="445" t="s">
        <v>402</v>
      </c>
      <c r="G16" s="422">
        <v>36</v>
      </c>
      <c r="H16" s="422">
        <v>20880</v>
      </c>
      <c r="I16" s="445">
        <v>0.52084112848911168</v>
      </c>
      <c r="J16" s="445">
        <v>580</v>
      </c>
      <c r="K16" s="422">
        <v>69</v>
      </c>
      <c r="L16" s="422">
        <v>40089</v>
      </c>
      <c r="M16" s="445">
        <v>1</v>
      </c>
      <c r="N16" s="445">
        <v>581</v>
      </c>
      <c r="O16" s="422">
        <v>98</v>
      </c>
      <c r="P16" s="422">
        <v>57526</v>
      </c>
      <c r="Q16" s="446">
        <v>1.4349572201850882</v>
      </c>
      <c r="R16" s="447">
        <v>587</v>
      </c>
    </row>
    <row r="17" spans="1:18" ht="14.4" customHeight="1" thickBot="1" x14ac:dyDescent="0.35">
      <c r="A17" s="425" t="s">
        <v>378</v>
      </c>
      <c r="B17" s="448" t="s">
        <v>379</v>
      </c>
      <c r="C17" s="448" t="s">
        <v>337</v>
      </c>
      <c r="D17" s="448" t="s">
        <v>380</v>
      </c>
      <c r="E17" s="448" t="s">
        <v>403</v>
      </c>
      <c r="F17" s="448" t="s">
        <v>404</v>
      </c>
      <c r="G17" s="426"/>
      <c r="H17" s="426"/>
      <c r="I17" s="448"/>
      <c r="J17" s="448"/>
      <c r="K17" s="426">
        <v>28</v>
      </c>
      <c r="L17" s="426">
        <v>8148</v>
      </c>
      <c r="M17" s="448">
        <v>1</v>
      </c>
      <c r="N17" s="448">
        <v>291</v>
      </c>
      <c r="O17" s="426">
        <v>6</v>
      </c>
      <c r="P17" s="426">
        <v>1764</v>
      </c>
      <c r="Q17" s="449">
        <v>0.21649484536082475</v>
      </c>
      <c r="R17" s="450">
        <v>294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7.77734375" style="101" customWidth="1"/>
    <col min="5" max="5" width="2.109375" style="101" bestFit="1" customWidth="1"/>
    <col min="6" max="6" width="8" style="101" customWidth="1"/>
    <col min="7" max="7" width="50.88671875" style="101" bestFit="1" customWidth="1" collapsed="1"/>
    <col min="8" max="9" width="11.109375" style="176" hidden="1" customWidth="1" outlineLevel="1"/>
    <col min="10" max="11" width="9.33203125" style="101" hidden="1" customWidth="1"/>
    <col min="12" max="13" width="11.109375" style="176" customWidth="1"/>
    <col min="14" max="15" width="9.33203125" style="101" hidden="1" customWidth="1"/>
    <col min="16" max="17" width="11.109375" style="176" customWidth="1"/>
    <col min="18" max="18" width="11.109375" style="179" customWidth="1"/>
    <col min="19" max="19" width="11.109375" style="176" customWidth="1"/>
    <col min="20" max="16384" width="8.88671875" style="101"/>
  </cols>
  <sheetData>
    <row r="1" spans="1:19" ht="18.600000000000001" customHeight="1" thickBot="1" x14ac:dyDescent="0.4">
      <c r="A1" s="275" t="s">
        <v>406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</row>
    <row r="2" spans="1:19" ht="14.4" customHeight="1" thickBot="1" x14ac:dyDescent="0.35">
      <c r="A2" s="192" t="s">
        <v>206</v>
      </c>
      <c r="B2" s="166"/>
      <c r="C2" s="166"/>
      <c r="D2" s="166"/>
      <c r="E2" s="83"/>
      <c r="F2" s="83"/>
      <c r="G2" s="83"/>
      <c r="H2" s="190"/>
      <c r="I2" s="190"/>
      <c r="J2" s="83"/>
      <c r="K2" s="83"/>
      <c r="L2" s="190"/>
      <c r="M2" s="190"/>
      <c r="N2" s="83"/>
      <c r="O2" s="83"/>
      <c r="P2" s="190"/>
      <c r="Q2" s="190"/>
      <c r="R2" s="187"/>
      <c r="S2" s="190"/>
    </row>
    <row r="3" spans="1:19" ht="14.4" customHeight="1" thickBot="1" x14ac:dyDescent="0.35">
      <c r="G3" s="62" t="s">
        <v>98</v>
      </c>
      <c r="H3" s="74">
        <f t="shared" ref="H3:Q3" si="0">SUBTOTAL(9,H6:H1048576)</f>
        <v>3968</v>
      </c>
      <c r="I3" s="75">
        <f t="shared" si="0"/>
        <v>1488793.37</v>
      </c>
      <c r="J3" s="57"/>
      <c r="K3" s="57"/>
      <c r="L3" s="75">
        <f t="shared" si="0"/>
        <v>4845</v>
      </c>
      <c r="M3" s="75">
        <f t="shared" si="0"/>
        <v>1810286.3299999998</v>
      </c>
      <c r="N3" s="57"/>
      <c r="O3" s="57"/>
      <c r="P3" s="75">
        <f t="shared" si="0"/>
        <v>5142</v>
      </c>
      <c r="Q3" s="75">
        <f t="shared" si="0"/>
        <v>1913557.3199999998</v>
      </c>
      <c r="R3" s="58">
        <f>IF(M3=0,0,Q3/M3)</f>
        <v>1.0570467711591238</v>
      </c>
      <c r="S3" s="76">
        <f>IF(P3=0,0,Q3/P3)</f>
        <v>372.14261376896144</v>
      </c>
    </row>
    <row r="4" spans="1:19" ht="14.4" customHeight="1" x14ac:dyDescent="0.3">
      <c r="A4" s="355" t="s">
        <v>149</v>
      </c>
      <c r="B4" s="355" t="s">
        <v>70</v>
      </c>
      <c r="C4" s="363" t="s">
        <v>0</v>
      </c>
      <c r="D4" s="214" t="s">
        <v>99</v>
      </c>
      <c r="E4" s="357" t="s">
        <v>71</v>
      </c>
      <c r="F4" s="362" t="s">
        <v>46</v>
      </c>
      <c r="G4" s="358" t="s">
        <v>45</v>
      </c>
      <c r="H4" s="359">
        <v>2015</v>
      </c>
      <c r="I4" s="360"/>
      <c r="J4" s="73"/>
      <c r="K4" s="73"/>
      <c r="L4" s="359">
        <v>2018</v>
      </c>
      <c r="M4" s="360"/>
      <c r="N4" s="73"/>
      <c r="O4" s="73"/>
      <c r="P4" s="359">
        <v>2019</v>
      </c>
      <c r="Q4" s="360"/>
      <c r="R4" s="361" t="s">
        <v>2</v>
      </c>
      <c r="S4" s="356" t="s">
        <v>73</v>
      </c>
    </row>
    <row r="5" spans="1:19" ht="14.4" customHeight="1" thickBot="1" x14ac:dyDescent="0.35">
      <c r="A5" s="432"/>
      <c r="B5" s="432"/>
      <c r="C5" s="433"/>
      <c r="D5" s="451"/>
      <c r="E5" s="434"/>
      <c r="F5" s="435"/>
      <c r="G5" s="436"/>
      <c r="H5" s="437" t="s">
        <v>47</v>
      </c>
      <c r="I5" s="438" t="s">
        <v>4</v>
      </c>
      <c r="J5" s="439"/>
      <c r="K5" s="439"/>
      <c r="L5" s="437" t="s">
        <v>47</v>
      </c>
      <c r="M5" s="438" t="s">
        <v>4</v>
      </c>
      <c r="N5" s="439"/>
      <c r="O5" s="439"/>
      <c r="P5" s="437" t="s">
        <v>47</v>
      </c>
      <c r="Q5" s="438" t="s">
        <v>4</v>
      </c>
      <c r="R5" s="440"/>
      <c r="S5" s="441"/>
    </row>
    <row r="6" spans="1:19" ht="14.4" customHeight="1" x14ac:dyDescent="0.3">
      <c r="A6" s="417" t="s">
        <v>378</v>
      </c>
      <c r="B6" s="442" t="s">
        <v>379</v>
      </c>
      <c r="C6" s="442" t="s">
        <v>337</v>
      </c>
      <c r="D6" s="442" t="s">
        <v>363</v>
      </c>
      <c r="E6" s="442" t="s">
        <v>380</v>
      </c>
      <c r="F6" s="442" t="s">
        <v>381</v>
      </c>
      <c r="G6" s="442" t="s">
        <v>382</v>
      </c>
      <c r="H6" s="418">
        <v>4</v>
      </c>
      <c r="I6" s="418">
        <v>296</v>
      </c>
      <c r="J6" s="442">
        <v>2</v>
      </c>
      <c r="K6" s="442">
        <v>74</v>
      </c>
      <c r="L6" s="418">
        <v>2</v>
      </c>
      <c r="M6" s="418">
        <v>148</v>
      </c>
      <c r="N6" s="442">
        <v>1</v>
      </c>
      <c r="O6" s="442">
        <v>74</v>
      </c>
      <c r="P6" s="418">
        <v>2</v>
      </c>
      <c r="Q6" s="418">
        <v>150</v>
      </c>
      <c r="R6" s="443">
        <v>1.0135135135135136</v>
      </c>
      <c r="S6" s="444">
        <v>75</v>
      </c>
    </row>
    <row r="7" spans="1:19" ht="14.4" customHeight="1" x14ac:dyDescent="0.3">
      <c r="A7" s="421" t="s">
        <v>378</v>
      </c>
      <c r="B7" s="445" t="s">
        <v>379</v>
      </c>
      <c r="C7" s="445" t="s">
        <v>337</v>
      </c>
      <c r="D7" s="445" t="s">
        <v>363</v>
      </c>
      <c r="E7" s="445" t="s">
        <v>380</v>
      </c>
      <c r="F7" s="445" t="s">
        <v>383</v>
      </c>
      <c r="G7" s="445" t="s">
        <v>384</v>
      </c>
      <c r="H7" s="422">
        <v>18</v>
      </c>
      <c r="I7" s="422">
        <v>6246</v>
      </c>
      <c r="J7" s="445">
        <v>0.5</v>
      </c>
      <c r="K7" s="445">
        <v>347</v>
      </c>
      <c r="L7" s="422">
        <v>36</v>
      </c>
      <c r="M7" s="422">
        <v>12492</v>
      </c>
      <c r="N7" s="445">
        <v>1</v>
      </c>
      <c r="O7" s="445">
        <v>347</v>
      </c>
      <c r="P7" s="422">
        <v>20</v>
      </c>
      <c r="Q7" s="422">
        <v>7000</v>
      </c>
      <c r="R7" s="446">
        <v>0.56035862952289461</v>
      </c>
      <c r="S7" s="447">
        <v>350</v>
      </c>
    </row>
    <row r="8" spans="1:19" ht="14.4" customHeight="1" x14ac:dyDescent="0.3">
      <c r="A8" s="421" t="s">
        <v>378</v>
      </c>
      <c r="B8" s="445" t="s">
        <v>379</v>
      </c>
      <c r="C8" s="445" t="s">
        <v>337</v>
      </c>
      <c r="D8" s="445" t="s">
        <v>363</v>
      </c>
      <c r="E8" s="445" t="s">
        <v>380</v>
      </c>
      <c r="F8" s="445" t="s">
        <v>387</v>
      </c>
      <c r="G8" s="445" t="s">
        <v>388</v>
      </c>
      <c r="H8" s="422">
        <v>126</v>
      </c>
      <c r="I8" s="422">
        <v>43722</v>
      </c>
      <c r="J8" s="445">
        <v>0.82894736842105265</v>
      </c>
      <c r="K8" s="445">
        <v>347</v>
      </c>
      <c r="L8" s="422">
        <v>152</v>
      </c>
      <c r="M8" s="422">
        <v>52744</v>
      </c>
      <c r="N8" s="445">
        <v>1</v>
      </c>
      <c r="O8" s="445">
        <v>347</v>
      </c>
      <c r="P8" s="422">
        <v>140</v>
      </c>
      <c r="Q8" s="422">
        <v>49000</v>
      </c>
      <c r="R8" s="446">
        <v>0.92901562263006221</v>
      </c>
      <c r="S8" s="447">
        <v>350</v>
      </c>
    </row>
    <row r="9" spans="1:19" ht="14.4" customHeight="1" x14ac:dyDescent="0.3">
      <c r="A9" s="421" t="s">
        <v>378</v>
      </c>
      <c r="B9" s="445" t="s">
        <v>379</v>
      </c>
      <c r="C9" s="445" t="s">
        <v>337</v>
      </c>
      <c r="D9" s="445" t="s">
        <v>363</v>
      </c>
      <c r="E9" s="445" t="s">
        <v>380</v>
      </c>
      <c r="F9" s="445" t="s">
        <v>395</v>
      </c>
      <c r="G9" s="445" t="s">
        <v>396</v>
      </c>
      <c r="H9" s="422">
        <v>45</v>
      </c>
      <c r="I9" s="422">
        <v>26145</v>
      </c>
      <c r="J9" s="445">
        <v>0.77452897262708853</v>
      </c>
      <c r="K9" s="445">
        <v>581</v>
      </c>
      <c r="L9" s="422">
        <v>58</v>
      </c>
      <c r="M9" s="422">
        <v>33756</v>
      </c>
      <c r="N9" s="445">
        <v>1</v>
      </c>
      <c r="O9" s="445">
        <v>582</v>
      </c>
      <c r="P9" s="422">
        <v>32</v>
      </c>
      <c r="Q9" s="422">
        <v>18816</v>
      </c>
      <c r="R9" s="446">
        <v>0.55741201564166365</v>
      </c>
      <c r="S9" s="447">
        <v>588</v>
      </c>
    </row>
    <row r="10" spans="1:19" ht="14.4" customHeight="1" x14ac:dyDescent="0.3">
      <c r="A10" s="421" t="s">
        <v>378</v>
      </c>
      <c r="B10" s="445" t="s">
        <v>379</v>
      </c>
      <c r="C10" s="445" t="s">
        <v>337</v>
      </c>
      <c r="D10" s="445" t="s">
        <v>363</v>
      </c>
      <c r="E10" s="445" t="s">
        <v>380</v>
      </c>
      <c r="F10" s="445" t="s">
        <v>397</v>
      </c>
      <c r="G10" s="445" t="s">
        <v>398</v>
      </c>
      <c r="H10" s="422"/>
      <c r="I10" s="422"/>
      <c r="J10" s="445"/>
      <c r="K10" s="445"/>
      <c r="L10" s="422"/>
      <c r="M10" s="422"/>
      <c r="N10" s="445"/>
      <c r="O10" s="445"/>
      <c r="P10" s="422">
        <v>4</v>
      </c>
      <c r="Q10" s="422">
        <v>1176</v>
      </c>
      <c r="R10" s="446"/>
      <c r="S10" s="447">
        <v>294</v>
      </c>
    </row>
    <row r="11" spans="1:19" ht="14.4" customHeight="1" x14ac:dyDescent="0.3">
      <c r="A11" s="421" t="s">
        <v>378</v>
      </c>
      <c r="B11" s="445" t="s">
        <v>379</v>
      </c>
      <c r="C11" s="445" t="s">
        <v>337</v>
      </c>
      <c r="D11" s="445" t="s">
        <v>363</v>
      </c>
      <c r="E11" s="445" t="s">
        <v>380</v>
      </c>
      <c r="F11" s="445" t="s">
        <v>399</v>
      </c>
      <c r="G11" s="445" t="s">
        <v>400</v>
      </c>
      <c r="H11" s="422"/>
      <c r="I11" s="422"/>
      <c r="J11" s="445"/>
      <c r="K11" s="445"/>
      <c r="L11" s="422">
        <v>4</v>
      </c>
      <c r="M11" s="422">
        <v>2328</v>
      </c>
      <c r="N11" s="445">
        <v>1</v>
      </c>
      <c r="O11" s="445">
        <v>582</v>
      </c>
      <c r="P11" s="422"/>
      <c r="Q11" s="422"/>
      <c r="R11" s="446"/>
      <c r="S11" s="447"/>
    </row>
    <row r="12" spans="1:19" ht="14.4" customHeight="1" x14ac:dyDescent="0.3">
      <c r="A12" s="421" t="s">
        <v>378</v>
      </c>
      <c r="B12" s="445" t="s">
        <v>379</v>
      </c>
      <c r="C12" s="445" t="s">
        <v>337</v>
      </c>
      <c r="D12" s="445" t="s">
        <v>364</v>
      </c>
      <c r="E12" s="445" t="s">
        <v>380</v>
      </c>
      <c r="F12" s="445" t="s">
        <v>381</v>
      </c>
      <c r="G12" s="445" t="s">
        <v>382</v>
      </c>
      <c r="H12" s="422">
        <v>8</v>
      </c>
      <c r="I12" s="422">
        <v>592</v>
      </c>
      <c r="J12" s="445">
        <v>1.3333333333333333</v>
      </c>
      <c r="K12" s="445">
        <v>74</v>
      </c>
      <c r="L12" s="422">
        <v>6</v>
      </c>
      <c r="M12" s="422">
        <v>444</v>
      </c>
      <c r="N12" s="445">
        <v>1</v>
      </c>
      <c r="O12" s="445">
        <v>74</v>
      </c>
      <c r="P12" s="422"/>
      <c r="Q12" s="422"/>
      <c r="R12" s="446"/>
      <c r="S12" s="447"/>
    </row>
    <row r="13" spans="1:19" ht="14.4" customHeight="1" x14ac:dyDescent="0.3">
      <c r="A13" s="421" t="s">
        <v>378</v>
      </c>
      <c r="B13" s="445" t="s">
        <v>379</v>
      </c>
      <c r="C13" s="445" t="s">
        <v>337</v>
      </c>
      <c r="D13" s="445" t="s">
        <v>364</v>
      </c>
      <c r="E13" s="445" t="s">
        <v>380</v>
      </c>
      <c r="F13" s="445" t="s">
        <v>383</v>
      </c>
      <c r="G13" s="445" t="s">
        <v>384</v>
      </c>
      <c r="H13" s="422">
        <v>468</v>
      </c>
      <c r="I13" s="422">
        <v>162396</v>
      </c>
      <c r="J13" s="445">
        <v>1.3604651162790697</v>
      </c>
      <c r="K13" s="445">
        <v>347</v>
      </c>
      <c r="L13" s="422">
        <v>344</v>
      </c>
      <c r="M13" s="422">
        <v>119368</v>
      </c>
      <c r="N13" s="445">
        <v>1</v>
      </c>
      <c r="O13" s="445">
        <v>347</v>
      </c>
      <c r="P13" s="422">
        <v>272</v>
      </c>
      <c r="Q13" s="422">
        <v>95200</v>
      </c>
      <c r="R13" s="446">
        <v>0.79753367736746872</v>
      </c>
      <c r="S13" s="447">
        <v>350</v>
      </c>
    </row>
    <row r="14" spans="1:19" ht="14.4" customHeight="1" x14ac:dyDescent="0.3">
      <c r="A14" s="421" t="s">
        <v>378</v>
      </c>
      <c r="B14" s="445" t="s">
        <v>379</v>
      </c>
      <c r="C14" s="445" t="s">
        <v>337</v>
      </c>
      <c r="D14" s="445" t="s">
        <v>364</v>
      </c>
      <c r="E14" s="445" t="s">
        <v>380</v>
      </c>
      <c r="F14" s="445" t="s">
        <v>387</v>
      </c>
      <c r="G14" s="445" t="s">
        <v>388</v>
      </c>
      <c r="H14" s="422"/>
      <c r="I14" s="422"/>
      <c r="J14" s="445"/>
      <c r="K14" s="445"/>
      <c r="L14" s="422">
        <v>8</v>
      </c>
      <c r="M14" s="422">
        <v>2776</v>
      </c>
      <c r="N14" s="445">
        <v>1</v>
      </c>
      <c r="O14" s="445">
        <v>347</v>
      </c>
      <c r="P14" s="422"/>
      <c r="Q14" s="422"/>
      <c r="R14" s="446"/>
      <c r="S14" s="447"/>
    </row>
    <row r="15" spans="1:19" ht="14.4" customHeight="1" x14ac:dyDescent="0.3">
      <c r="A15" s="421" t="s">
        <v>378</v>
      </c>
      <c r="B15" s="445" t="s">
        <v>379</v>
      </c>
      <c r="C15" s="445" t="s">
        <v>337</v>
      </c>
      <c r="D15" s="445" t="s">
        <v>364</v>
      </c>
      <c r="E15" s="445" t="s">
        <v>380</v>
      </c>
      <c r="F15" s="445" t="s">
        <v>389</v>
      </c>
      <c r="G15" s="445" t="s">
        <v>390</v>
      </c>
      <c r="H15" s="422">
        <v>4</v>
      </c>
      <c r="I15" s="422">
        <v>1388</v>
      </c>
      <c r="J15" s="445">
        <v>0.25</v>
      </c>
      <c r="K15" s="445">
        <v>347</v>
      </c>
      <c r="L15" s="422">
        <v>16</v>
      </c>
      <c r="M15" s="422">
        <v>5552</v>
      </c>
      <c r="N15" s="445">
        <v>1</v>
      </c>
      <c r="O15" s="445">
        <v>347</v>
      </c>
      <c r="P15" s="422">
        <v>12</v>
      </c>
      <c r="Q15" s="422">
        <v>4200</v>
      </c>
      <c r="R15" s="446">
        <v>0.75648414985590773</v>
      </c>
      <c r="S15" s="447">
        <v>350</v>
      </c>
    </row>
    <row r="16" spans="1:19" ht="14.4" customHeight="1" x14ac:dyDescent="0.3">
      <c r="A16" s="421" t="s">
        <v>378</v>
      </c>
      <c r="B16" s="445" t="s">
        <v>379</v>
      </c>
      <c r="C16" s="445" t="s">
        <v>337</v>
      </c>
      <c r="D16" s="445" t="s">
        <v>364</v>
      </c>
      <c r="E16" s="445" t="s">
        <v>380</v>
      </c>
      <c r="F16" s="445" t="s">
        <v>391</v>
      </c>
      <c r="G16" s="445" t="s">
        <v>392</v>
      </c>
      <c r="H16" s="422">
        <v>1</v>
      </c>
      <c r="I16" s="422">
        <v>33.33</v>
      </c>
      <c r="J16" s="445">
        <v>0.5</v>
      </c>
      <c r="K16" s="445">
        <v>33.33</v>
      </c>
      <c r="L16" s="422">
        <v>2</v>
      </c>
      <c r="M16" s="422">
        <v>66.66</v>
      </c>
      <c r="N16" s="445">
        <v>1</v>
      </c>
      <c r="O16" s="445">
        <v>33.33</v>
      </c>
      <c r="P16" s="422"/>
      <c r="Q16" s="422"/>
      <c r="R16" s="446"/>
      <c r="S16" s="447"/>
    </row>
    <row r="17" spans="1:19" ht="14.4" customHeight="1" x14ac:dyDescent="0.3">
      <c r="A17" s="421" t="s">
        <v>378</v>
      </c>
      <c r="B17" s="445" t="s">
        <v>379</v>
      </c>
      <c r="C17" s="445" t="s">
        <v>337</v>
      </c>
      <c r="D17" s="445" t="s">
        <v>364</v>
      </c>
      <c r="E17" s="445" t="s">
        <v>380</v>
      </c>
      <c r="F17" s="445" t="s">
        <v>393</v>
      </c>
      <c r="G17" s="445" t="s">
        <v>394</v>
      </c>
      <c r="H17" s="422">
        <v>4</v>
      </c>
      <c r="I17" s="422">
        <v>2320</v>
      </c>
      <c r="J17" s="445">
        <v>0.57044504548807473</v>
      </c>
      <c r="K17" s="445">
        <v>580</v>
      </c>
      <c r="L17" s="422">
        <v>7</v>
      </c>
      <c r="M17" s="422">
        <v>4067</v>
      </c>
      <c r="N17" s="445">
        <v>1</v>
      </c>
      <c r="O17" s="445">
        <v>581</v>
      </c>
      <c r="P17" s="422"/>
      <c r="Q17" s="422"/>
      <c r="R17" s="446"/>
      <c r="S17" s="447"/>
    </row>
    <row r="18" spans="1:19" ht="14.4" customHeight="1" x14ac:dyDescent="0.3">
      <c r="A18" s="421" t="s">
        <v>378</v>
      </c>
      <c r="B18" s="445" t="s">
        <v>379</v>
      </c>
      <c r="C18" s="445" t="s">
        <v>337</v>
      </c>
      <c r="D18" s="445" t="s">
        <v>366</v>
      </c>
      <c r="E18" s="445" t="s">
        <v>380</v>
      </c>
      <c r="F18" s="445" t="s">
        <v>381</v>
      </c>
      <c r="G18" s="445" t="s">
        <v>382</v>
      </c>
      <c r="H18" s="422">
        <v>2</v>
      </c>
      <c r="I18" s="422">
        <v>148</v>
      </c>
      <c r="J18" s="445"/>
      <c r="K18" s="445">
        <v>74</v>
      </c>
      <c r="L18" s="422"/>
      <c r="M18" s="422"/>
      <c r="N18" s="445"/>
      <c r="O18" s="445"/>
      <c r="P18" s="422">
        <v>4</v>
      </c>
      <c r="Q18" s="422">
        <v>300</v>
      </c>
      <c r="R18" s="446"/>
      <c r="S18" s="447">
        <v>75</v>
      </c>
    </row>
    <row r="19" spans="1:19" ht="14.4" customHeight="1" x14ac:dyDescent="0.3">
      <c r="A19" s="421" t="s">
        <v>378</v>
      </c>
      <c r="B19" s="445" t="s">
        <v>379</v>
      </c>
      <c r="C19" s="445" t="s">
        <v>337</v>
      </c>
      <c r="D19" s="445" t="s">
        <v>366</v>
      </c>
      <c r="E19" s="445" t="s">
        <v>380</v>
      </c>
      <c r="F19" s="445" t="s">
        <v>383</v>
      </c>
      <c r="G19" s="445" t="s">
        <v>384</v>
      </c>
      <c r="H19" s="422">
        <v>591</v>
      </c>
      <c r="I19" s="422">
        <v>205077</v>
      </c>
      <c r="J19" s="445">
        <v>1.0591397849462365</v>
      </c>
      <c r="K19" s="445">
        <v>347</v>
      </c>
      <c r="L19" s="422">
        <v>558</v>
      </c>
      <c r="M19" s="422">
        <v>193626</v>
      </c>
      <c r="N19" s="445">
        <v>1</v>
      </c>
      <c r="O19" s="445">
        <v>347</v>
      </c>
      <c r="P19" s="422">
        <v>553</v>
      </c>
      <c r="Q19" s="422">
        <v>193550</v>
      </c>
      <c r="R19" s="446">
        <v>0.9996074907295508</v>
      </c>
      <c r="S19" s="447">
        <v>350</v>
      </c>
    </row>
    <row r="20" spans="1:19" ht="14.4" customHeight="1" x14ac:dyDescent="0.3">
      <c r="A20" s="421" t="s">
        <v>378</v>
      </c>
      <c r="B20" s="445" t="s">
        <v>379</v>
      </c>
      <c r="C20" s="445" t="s">
        <v>337</v>
      </c>
      <c r="D20" s="445" t="s">
        <v>366</v>
      </c>
      <c r="E20" s="445" t="s">
        <v>380</v>
      </c>
      <c r="F20" s="445" t="s">
        <v>387</v>
      </c>
      <c r="G20" s="445" t="s">
        <v>388</v>
      </c>
      <c r="H20" s="422">
        <v>16</v>
      </c>
      <c r="I20" s="422">
        <v>5552</v>
      </c>
      <c r="J20" s="445">
        <v>1.6</v>
      </c>
      <c r="K20" s="445">
        <v>347</v>
      </c>
      <c r="L20" s="422">
        <v>10</v>
      </c>
      <c r="M20" s="422">
        <v>3470</v>
      </c>
      <c r="N20" s="445">
        <v>1</v>
      </c>
      <c r="O20" s="445">
        <v>347</v>
      </c>
      <c r="P20" s="422"/>
      <c r="Q20" s="422"/>
      <c r="R20" s="446"/>
      <c r="S20" s="447"/>
    </row>
    <row r="21" spans="1:19" ht="14.4" customHeight="1" x14ac:dyDescent="0.3">
      <c r="A21" s="421" t="s">
        <v>378</v>
      </c>
      <c r="B21" s="445" t="s">
        <v>379</v>
      </c>
      <c r="C21" s="445" t="s">
        <v>337</v>
      </c>
      <c r="D21" s="445" t="s">
        <v>366</v>
      </c>
      <c r="E21" s="445" t="s">
        <v>380</v>
      </c>
      <c r="F21" s="445" t="s">
        <v>391</v>
      </c>
      <c r="G21" s="445" t="s">
        <v>392</v>
      </c>
      <c r="H21" s="422">
        <v>14</v>
      </c>
      <c r="I21" s="422">
        <v>466.64999999999992</v>
      </c>
      <c r="J21" s="445">
        <v>1.2727396699849991</v>
      </c>
      <c r="K21" s="445">
        <v>33.332142857142848</v>
      </c>
      <c r="L21" s="422">
        <v>11</v>
      </c>
      <c r="M21" s="422">
        <v>366.65</v>
      </c>
      <c r="N21" s="445">
        <v>1</v>
      </c>
      <c r="O21" s="445">
        <v>33.331818181818178</v>
      </c>
      <c r="P21" s="422">
        <v>15</v>
      </c>
      <c r="Q21" s="422">
        <v>499.98999999999995</v>
      </c>
      <c r="R21" s="446">
        <v>1.363671075957998</v>
      </c>
      <c r="S21" s="447">
        <v>33.332666666666661</v>
      </c>
    </row>
    <row r="22" spans="1:19" ht="14.4" customHeight="1" x14ac:dyDescent="0.3">
      <c r="A22" s="421" t="s">
        <v>378</v>
      </c>
      <c r="B22" s="445" t="s">
        <v>379</v>
      </c>
      <c r="C22" s="445" t="s">
        <v>337</v>
      </c>
      <c r="D22" s="445" t="s">
        <v>366</v>
      </c>
      <c r="E22" s="445" t="s">
        <v>380</v>
      </c>
      <c r="F22" s="445" t="s">
        <v>393</v>
      </c>
      <c r="G22" s="445" t="s">
        <v>394</v>
      </c>
      <c r="H22" s="422">
        <v>46</v>
      </c>
      <c r="I22" s="422">
        <v>26680</v>
      </c>
      <c r="J22" s="445">
        <v>5.7401032702237522</v>
      </c>
      <c r="K22" s="445">
        <v>580</v>
      </c>
      <c r="L22" s="422">
        <v>8</v>
      </c>
      <c r="M22" s="422">
        <v>4648</v>
      </c>
      <c r="N22" s="445">
        <v>1</v>
      </c>
      <c r="O22" s="445">
        <v>581</v>
      </c>
      <c r="P22" s="422">
        <v>25</v>
      </c>
      <c r="Q22" s="422">
        <v>14675</v>
      </c>
      <c r="R22" s="446">
        <v>3.1572719449225475</v>
      </c>
      <c r="S22" s="447">
        <v>587</v>
      </c>
    </row>
    <row r="23" spans="1:19" ht="14.4" customHeight="1" x14ac:dyDescent="0.3">
      <c r="A23" s="421" t="s">
        <v>378</v>
      </c>
      <c r="B23" s="445" t="s">
        <v>379</v>
      </c>
      <c r="C23" s="445" t="s">
        <v>337</v>
      </c>
      <c r="D23" s="445" t="s">
        <v>366</v>
      </c>
      <c r="E23" s="445" t="s">
        <v>380</v>
      </c>
      <c r="F23" s="445" t="s">
        <v>401</v>
      </c>
      <c r="G23" s="445" t="s">
        <v>402</v>
      </c>
      <c r="H23" s="422">
        <v>8</v>
      </c>
      <c r="I23" s="422">
        <v>4640</v>
      </c>
      <c r="J23" s="445">
        <v>0.27538726333907054</v>
      </c>
      <c r="K23" s="445">
        <v>580</v>
      </c>
      <c r="L23" s="422">
        <v>29</v>
      </c>
      <c r="M23" s="422">
        <v>16849</v>
      </c>
      <c r="N23" s="445">
        <v>1</v>
      </c>
      <c r="O23" s="445">
        <v>581</v>
      </c>
      <c r="P23" s="422">
        <v>28</v>
      </c>
      <c r="Q23" s="422">
        <v>16436</v>
      </c>
      <c r="R23" s="446">
        <v>0.97548815953469048</v>
      </c>
      <c r="S23" s="447">
        <v>587</v>
      </c>
    </row>
    <row r="24" spans="1:19" ht="14.4" customHeight="1" x14ac:dyDescent="0.3">
      <c r="A24" s="421" t="s">
        <v>378</v>
      </c>
      <c r="B24" s="445" t="s">
        <v>379</v>
      </c>
      <c r="C24" s="445" t="s">
        <v>337</v>
      </c>
      <c r="D24" s="445" t="s">
        <v>367</v>
      </c>
      <c r="E24" s="445" t="s">
        <v>380</v>
      </c>
      <c r="F24" s="445" t="s">
        <v>381</v>
      </c>
      <c r="G24" s="445" t="s">
        <v>382</v>
      </c>
      <c r="H24" s="422">
        <v>6</v>
      </c>
      <c r="I24" s="422">
        <v>444</v>
      </c>
      <c r="J24" s="445"/>
      <c r="K24" s="445">
        <v>74</v>
      </c>
      <c r="L24" s="422"/>
      <c r="M24" s="422"/>
      <c r="N24" s="445"/>
      <c r="O24" s="445"/>
      <c r="P24" s="422">
        <v>2</v>
      </c>
      <c r="Q24" s="422">
        <v>150</v>
      </c>
      <c r="R24" s="446"/>
      <c r="S24" s="447">
        <v>75</v>
      </c>
    </row>
    <row r="25" spans="1:19" ht="14.4" customHeight="1" x14ac:dyDescent="0.3">
      <c r="A25" s="421" t="s">
        <v>378</v>
      </c>
      <c r="B25" s="445" t="s">
        <v>379</v>
      </c>
      <c r="C25" s="445" t="s">
        <v>337</v>
      </c>
      <c r="D25" s="445" t="s">
        <v>367</v>
      </c>
      <c r="E25" s="445" t="s">
        <v>380</v>
      </c>
      <c r="F25" s="445" t="s">
        <v>383</v>
      </c>
      <c r="G25" s="445" t="s">
        <v>384</v>
      </c>
      <c r="H25" s="422">
        <v>239</v>
      </c>
      <c r="I25" s="422">
        <v>82933</v>
      </c>
      <c r="J25" s="445">
        <v>0.89513108614232206</v>
      </c>
      <c r="K25" s="445">
        <v>347</v>
      </c>
      <c r="L25" s="422">
        <v>267</v>
      </c>
      <c r="M25" s="422">
        <v>92649</v>
      </c>
      <c r="N25" s="445">
        <v>1</v>
      </c>
      <c r="O25" s="445">
        <v>347</v>
      </c>
      <c r="P25" s="422">
        <v>233</v>
      </c>
      <c r="Q25" s="422">
        <v>81550</v>
      </c>
      <c r="R25" s="446">
        <v>0.88020377985731091</v>
      </c>
      <c r="S25" s="447">
        <v>350</v>
      </c>
    </row>
    <row r="26" spans="1:19" ht="14.4" customHeight="1" x14ac:dyDescent="0.3">
      <c r="A26" s="421" t="s">
        <v>378</v>
      </c>
      <c r="B26" s="445" t="s">
        <v>379</v>
      </c>
      <c r="C26" s="445" t="s">
        <v>337</v>
      </c>
      <c r="D26" s="445" t="s">
        <v>367</v>
      </c>
      <c r="E26" s="445" t="s">
        <v>380</v>
      </c>
      <c r="F26" s="445" t="s">
        <v>387</v>
      </c>
      <c r="G26" s="445" t="s">
        <v>388</v>
      </c>
      <c r="H26" s="422">
        <v>67</v>
      </c>
      <c r="I26" s="422">
        <v>23249</v>
      </c>
      <c r="J26" s="445">
        <v>0.59292035398230092</v>
      </c>
      <c r="K26" s="445">
        <v>347</v>
      </c>
      <c r="L26" s="422">
        <v>113</v>
      </c>
      <c r="M26" s="422">
        <v>39211</v>
      </c>
      <c r="N26" s="445">
        <v>1</v>
      </c>
      <c r="O26" s="445">
        <v>347</v>
      </c>
      <c r="P26" s="422">
        <v>151</v>
      </c>
      <c r="Q26" s="422">
        <v>52850</v>
      </c>
      <c r="R26" s="446">
        <v>1.347836066409936</v>
      </c>
      <c r="S26" s="447">
        <v>350</v>
      </c>
    </row>
    <row r="27" spans="1:19" ht="14.4" customHeight="1" x14ac:dyDescent="0.3">
      <c r="A27" s="421" t="s">
        <v>378</v>
      </c>
      <c r="B27" s="445" t="s">
        <v>379</v>
      </c>
      <c r="C27" s="445" t="s">
        <v>337</v>
      </c>
      <c r="D27" s="445" t="s">
        <v>367</v>
      </c>
      <c r="E27" s="445" t="s">
        <v>380</v>
      </c>
      <c r="F27" s="445" t="s">
        <v>389</v>
      </c>
      <c r="G27" s="445" t="s">
        <v>390</v>
      </c>
      <c r="H27" s="422">
        <v>10</v>
      </c>
      <c r="I27" s="422">
        <v>3470</v>
      </c>
      <c r="J27" s="445">
        <v>0.33333333333333331</v>
      </c>
      <c r="K27" s="445">
        <v>347</v>
      </c>
      <c r="L27" s="422">
        <v>30</v>
      </c>
      <c r="M27" s="422">
        <v>10410</v>
      </c>
      <c r="N27" s="445">
        <v>1</v>
      </c>
      <c r="O27" s="445">
        <v>347</v>
      </c>
      <c r="P27" s="422"/>
      <c r="Q27" s="422"/>
      <c r="R27" s="446"/>
      <c r="S27" s="447"/>
    </row>
    <row r="28" spans="1:19" ht="14.4" customHeight="1" x14ac:dyDescent="0.3">
      <c r="A28" s="421" t="s">
        <v>378</v>
      </c>
      <c r="B28" s="445" t="s">
        <v>379</v>
      </c>
      <c r="C28" s="445" t="s">
        <v>337</v>
      </c>
      <c r="D28" s="445" t="s">
        <v>367</v>
      </c>
      <c r="E28" s="445" t="s">
        <v>380</v>
      </c>
      <c r="F28" s="445" t="s">
        <v>395</v>
      </c>
      <c r="G28" s="445" t="s">
        <v>396</v>
      </c>
      <c r="H28" s="422">
        <v>44</v>
      </c>
      <c r="I28" s="422">
        <v>25564</v>
      </c>
      <c r="J28" s="445">
        <v>0.6972126765941199</v>
      </c>
      <c r="K28" s="445">
        <v>581</v>
      </c>
      <c r="L28" s="422">
        <v>63</v>
      </c>
      <c r="M28" s="422">
        <v>36666</v>
      </c>
      <c r="N28" s="445">
        <v>1</v>
      </c>
      <c r="O28" s="445">
        <v>582</v>
      </c>
      <c r="P28" s="422">
        <v>81</v>
      </c>
      <c r="Q28" s="422">
        <v>47628</v>
      </c>
      <c r="R28" s="446">
        <v>1.2989690721649485</v>
      </c>
      <c r="S28" s="447">
        <v>588</v>
      </c>
    </row>
    <row r="29" spans="1:19" ht="14.4" customHeight="1" x14ac:dyDescent="0.3">
      <c r="A29" s="421" t="s">
        <v>378</v>
      </c>
      <c r="B29" s="445" t="s">
        <v>379</v>
      </c>
      <c r="C29" s="445" t="s">
        <v>337</v>
      </c>
      <c r="D29" s="445" t="s">
        <v>367</v>
      </c>
      <c r="E29" s="445" t="s">
        <v>380</v>
      </c>
      <c r="F29" s="445" t="s">
        <v>399</v>
      </c>
      <c r="G29" s="445" t="s">
        <v>400</v>
      </c>
      <c r="H29" s="422">
        <v>72</v>
      </c>
      <c r="I29" s="422">
        <v>41832</v>
      </c>
      <c r="J29" s="445">
        <v>1.1592949783837712</v>
      </c>
      <c r="K29" s="445">
        <v>581</v>
      </c>
      <c r="L29" s="422">
        <v>62</v>
      </c>
      <c r="M29" s="422">
        <v>36084</v>
      </c>
      <c r="N29" s="445">
        <v>1</v>
      </c>
      <c r="O29" s="445">
        <v>582</v>
      </c>
      <c r="P29" s="422">
        <v>68</v>
      </c>
      <c r="Q29" s="422">
        <v>39984</v>
      </c>
      <c r="R29" s="446">
        <v>1.1080811439973395</v>
      </c>
      <c r="S29" s="447">
        <v>588</v>
      </c>
    </row>
    <row r="30" spans="1:19" ht="14.4" customHeight="1" x14ac:dyDescent="0.3">
      <c r="A30" s="421" t="s">
        <v>378</v>
      </c>
      <c r="B30" s="445" t="s">
        <v>379</v>
      </c>
      <c r="C30" s="445" t="s">
        <v>337</v>
      </c>
      <c r="D30" s="445" t="s">
        <v>368</v>
      </c>
      <c r="E30" s="445" t="s">
        <v>380</v>
      </c>
      <c r="F30" s="445" t="s">
        <v>383</v>
      </c>
      <c r="G30" s="445" t="s">
        <v>384</v>
      </c>
      <c r="H30" s="422">
        <v>52</v>
      </c>
      <c r="I30" s="422">
        <v>18044</v>
      </c>
      <c r="J30" s="445"/>
      <c r="K30" s="445">
        <v>347</v>
      </c>
      <c r="L30" s="422"/>
      <c r="M30" s="422"/>
      <c r="N30" s="445"/>
      <c r="O30" s="445"/>
      <c r="P30" s="422"/>
      <c r="Q30" s="422"/>
      <c r="R30" s="446"/>
      <c r="S30" s="447"/>
    </row>
    <row r="31" spans="1:19" ht="14.4" customHeight="1" x14ac:dyDescent="0.3">
      <c r="A31" s="421" t="s">
        <v>378</v>
      </c>
      <c r="B31" s="445" t="s">
        <v>379</v>
      </c>
      <c r="C31" s="445" t="s">
        <v>337</v>
      </c>
      <c r="D31" s="445" t="s">
        <v>369</v>
      </c>
      <c r="E31" s="445" t="s">
        <v>380</v>
      </c>
      <c r="F31" s="445" t="s">
        <v>381</v>
      </c>
      <c r="G31" s="445" t="s">
        <v>382</v>
      </c>
      <c r="H31" s="422">
        <v>6</v>
      </c>
      <c r="I31" s="422">
        <v>444</v>
      </c>
      <c r="J31" s="445">
        <v>0.6</v>
      </c>
      <c r="K31" s="445">
        <v>74</v>
      </c>
      <c r="L31" s="422">
        <v>10</v>
      </c>
      <c r="M31" s="422">
        <v>740</v>
      </c>
      <c r="N31" s="445">
        <v>1</v>
      </c>
      <c r="O31" s="445">
        <v>74</v>
      </c>
      <c r="P31" s="422">
        <v>6</v>
      </c>
      <c r="Q31" s="422">
        <v>450</v>
      </c>
      <c r="R31" s="446">
        <v>0.60810810810810811</v>
      </c>
      <c r="S31" s="447">
        <v>75</v>
      </c>
    </row>
    <row r="32" spans="1:19" ht="14.4" customHeight="1" x14ac:dyDescent="0.3">
      <c r="A32" s="421" t="s">
        <v>378</v>
      </c>
      <c r="B32" s="445" t="s">
        <v>379</v>
      </c>
      <c r="C32" s="445" t="s">
        <v>337</v>
      </c>
      <c r="D32" s="445" t="s">
        <v>369</v>
      </c>
      <c r="E32" s="445" t="s">
        <v>380</v>
      </c>
      <c r="F32" s="445" t="s">
        <v>383</v>
      </c>
      <c r="G32" s="445" t="s">
        <v>384</v>
      </c>
      <c r="H32" s="422">
        <v>84</v>
      </c>
      <c r="I32" s="422">
        <v>29148</v>
      </c>
      <c r="J32" s="445">
        <v>0.41176470588235292</v>
      </c>
      <c r="K32" s="445">
        <v>347</v>
      </c>
      <c r="L32" s="422">
        <v>204</v>
      </c>
      <c r="M32" s="422">
        <v>70788</v>
      </c>
      <c r="N32" s="445">
        <v>1</v>
      </c>
      <c r="O32" s="445">
        <v>347</v>
      </c>
      <c r="P32" s="422">
        <v>174</v>
      </c>
      <c r="Q32" s="422">
        <v>60900</v>
      </c>
      <c r="R32" s="446">
        <v>0.86031530767926767</v>
      </c>
      <c r="S32" s="447">
        <v>350</v>
      </c>
    </row>
    <row r="33" spans="1:19" ht="14.4" customHeight="1" x14ac:dyDescent="0.3">
      <c r="A33" s="421" t="s">
        <v>378</v>
      </c>
      <c r="B33" s="445" t="s">
        <v>379</v>
      </c>
      <c r="C33" s="445" t="s">
        <v>337</v>
      </c>
      <c r="D33" s="445" t="s">
        <v>369</v>
      </c>
      <c r="E33" s="445" t="s">
        <v>380</v>
      </c>
      <c r="F33" s="445" t="s">
        <v>387</v>
      </c>
      <c r="G33" s="445" t="s">
        <v>388</v>
      </c>
      <c r="H33" s="422">
        <v>8</v>
      </c>
      <c r="I33" s="422">
        <v>2776</v>
      </c>
      <c r="J33" s="445">
        <v>4</v>
      </c>
      <c r="K33" s="445">
        <v>347</v>
      </c>
      <c r="L33" s="422">
        <v>2</v>
      </c>
      <c r="M33" s="422">
        <v>694</v>
      </c>
      <c r="N33" s="445">
        <v>1</v>
      </c>
      <c r="O33" s="445">
        <v>347</v>
      </c>
      <c r="P33" s="422"/>
      <c r="Q33" s="422"/>
      <c r="R33" s="446"/>
      <c r="S33" s="447"/>
    </row>
    <row r="34" spans="1:19" ht="14.4" customHeight="1" x14ac:dyDescent="0.3">
      <c r="A34" s="421" t="s">
        <v>378</v>
      </c>
      <c r="B34" s="445" t="s">
        <v>379</v>
      </c>
      <c r="C34" s="445" t="s">
        <v>337</v>
      </c>
      <c r="D34" s="445" t="s">
        <v>369</v>
      </c>
      <c r="E34" s="445" t="s">
        <v>380</v>
      </c>
      <c r="F34" s="445" t="s">
        <v>391</v>
      </c>
      <c r="G34" s="445" t="s">
        <v>392</v>
      </c>
      <c r="H34" s="422">
        <v>8</v>
      </c>
      <c r="I34" s="422">
        <v>266.67</v>
      </c>
      <c r="J34" s="445">
        <v>1.9999250037498126</v>
      </c>
      <c r="K34" s="445">
        <v>33.333750000000002</v>
      </c>
      <c r="L34" s="422">
        <v>4</v>
      </c>
      <c r="M34" s="422">
        <v>133.34</v>
      </c>
      <c r="N34" s="445">
        <v>1</v>
      </c>
      <c r="O34" s="445">
        <v>33.335000000000001</v>
      </c>
      <c r="P34" s="422">
        <v>2</v>
      </c>
      <c r="Q34" s="422">
        <v>66.67</v>
      </c>
      <c r="R34" s="446">
        <v>0.5</v>
      </c>
      <c r="S34" s="447">
        <v>33.335000000000001</v>
      </c>
    </row>
    <row r="35" spans="1:19" ht="14.4" customHeight="1" x14ac:dyDescent="0.3">
      <c r="A35" s="421" t="s">
        <v>378</v>
      </c>
      <c r="B35" s="445" t="s">
        <v>379</v>
      </c>
      <c r="C35" s="445" t="s">
        <v>337</v>
      </c>
      <c r="D35" s="445" t="s">
        <v>369</v>
      </c>
      <c r="E35" s="445" t="s">
        <v>380</v>
      </c>
      <c r="F35" s="445" t="s">
        <v>393</v>
      </c>
      <c r="G35" s="445" t="s">
        <v>394</v>
      </c>
      <c r="H35" s="422">
        <v>24</v>
      </c>
      <c r="I35" s="422">
        <v>13920</v>
      </c>
      <c r="J35" s="445">
        <v>0.63049189238155634</v>
      </c>
      <c r="K35" s="445">
        <v>580</v>
      </c>
      <c r="L35" s="422">
        <v>38</v>
      </c>
      <c r="M35" s="422">
        <v>22078</v>
      </c>
      <c r="N35" s="445">
        <v>1</v>
      </c>
      <c r="O35" s="445">
        <v>581</v>
      </c>
      <c r="P35" s="422">
        <v>18</v>
      </c>
      <c r="Q35" s="422">
        <v>10566</v>
      </c>
      <c r="R35" s="446">
        <v>0.4785759579672072</v>
      </c>
      <c r="S35" s="447">
        <v>587</v>
      </c>
    </row>
    <row r="36" spans="1:19" ht="14.4" customHeight="1" x14ac:dyDescent="0.3">
      <c r="A36" s="421" t="s">
        <v>378</v>
      </c>
      <c r="B36" s="445" t="s">
        <v>379</v>
      </c>
      <c r="C36" s="445" t="s">
        <v>337</v>
      </c>
      <c r="D36" s="445" t="s">
        <v>370</v>
      </c>
      <c r="E36" s="445" t="s">
        <v>380</v>
      </c>
      <c r="F36" s="445" t="s">
        <v>381</v>
      </c>
      <c r="G36" s="445" t="s">
        <v>382</v>
      </c>
      <c r="H36" s="422">
        <v>59</v>
      </c>
      <c r="I36" s="422">
        <v>4366</v>
      </c>
      <c r="J36" s="445">
        <v>1.7352941176470589</v>
      </c>
      <c r="K36" s="445">
        <v>74</v>
      </c>
      <c r="L36" s="422">
        <v>34</v>
      </c>
      <c r="M36" s="422">
        <v>2516</v>
      </c>
      <c r="N36" s="445">
        <v>1</v>
      </c>
      <c r="O36" s="445">
        <v>74</v>
      </c>
      <c r="P36" s="422">
        <v>42</v>
      </c>
      <c r="Q36" s="422">
        <v>3150</v>
      </c>
      <c r="R36" s="446">
        <v>1.251987281399046</v>
      </c>
      <c r="S36" s="447">
        <v>75</v>
      </c>
    </row>
    <row r="37" spans="1:19" ht="14.4" customHeight="1" x14ac:dyDescent="0.3">
      <c r="A37" s="421" t="s">
        <v>378</v>
      </c>
      <c r="B37" s="445" t="s">
        <v>379</v>
      </c>
      <c r="C37" s="445" t="s">
        <v>337</v>
      </c>
      <c r="D37" s="445" t="s">
        <v>370</v>
      </c>
      <c r="E37" s="445" t="s">
        <v>380</v>
      </c>
      <c r="F37" s="445" t="s">
        <v>383</v>
      </c>
      <c r="G37" s="445" t="s">
        <v>384</v>
      </c>
      <c r="H37" s="422">
        <v>324</v>
      </c>
      <c r="I37" s="422">
        <v>112428</v>
      </c>
      <c r="J37" s="445">
        <v>1.08</v>
      </c>
      <c r="K37" s="445">
        <v>347</v>
      </c>
      <c r="L37" s="422">
        <v>300</v>
      </c>
      <c r="M37" s="422">
        <v>104100</v>
      </c>
      <c r="N37" s="445">
        <v>1</v>
      </c>
      <c r="O37" s="445">
        <v>347</v>
      </c>
      <c r="P37" s="422">
        <v>568</v>
      </c>
      <c r="Q37" s="422">
        <v>198800</v>
      </c>
      <c r="R37" s="446">
        <v>1.909702209414025</v>
      </c>
      <c r="S37" s="447">
        <v>350</v>
      </c>
    </row>
    <row r="38" spans="1:19" ht="14.4" customHeight="1" x14ac:dyDescent="0.3">
      <c r="A38" s="421" t="s">
        <v>378</v>
      </c>
      <c r="B38" s="445" t="s">
        <v>379</v>
      </c>
      <c r="C38" s="445" t="s">
        <v>337</v>
      </c>
      <c r="D38" s="445" t="s">
        <v>370</v>
      </c>
      <c r="E38" s="445" t="s">
        <v>380</v>
      </c>
      <c r="F38" s="445" t="s">
        <v>387</v>
      </c>
      <c r="G38" s="445" t="s">
        <v>388</v>
      </c>
      <c r="H38" s="422">
        <v>20</v>
      </c>
      <c r="I38" s="422">
        <v>6940</v>
      </c>
      <c r="J38" s="445">
        <v>2.5</v>
      </c>
      <c r="K38" s="445">
        <v>347</v>
      </c>
      <c r="L38" s="422">
        <v>8</v>
      </c>
      <c r="M38" s="422">
        <v>2776</v>
      </c>
      <c r="N38" s="445">
        <v>1</v>
      </c>
      <c r="O38" s="445">
        <v>347</v>
      </c>
      <c r="P38" s="422">
        <v>4</v>
      </c>
      <c r="Q38" s="422">
        <v>1400</v>
      </c>
      <c r="R38" s="446">
        <v>0.50432276657060515</v>
      </c>
      <c r="S38" s="447">
        <v>350</v>
      </c>
    </row>
    <row r="39" spans="1:19" ht="14.4" customHeight="1" x14ac:dyDescent="0.3">
      <c r="A39" s="421" t="s">
        <v>378</v>
      </c>
      <c r="B39" s="445" t="s">
        <v>379</v>
      </c>
      <c r="C39" s="445" t="s">
        <v>337</v>
      </c>
      <c r="D39" s="445" t="s">
        <v>370</v>
      </c>
      <c r="E39" s="445" t="s">
        <v>380</v>
      </c>
      <c r="F39" s="445" t="s">
        <v>389</v>
      </c>
      <c r="G39" s="445" t="s">
        <v>390</v>
      </c>
      <c r="H39" s="422">
        <v>4</v>
      </c>
      <c r="I39" s="422">
        <v>1388</v>
      </c>
      <c r="J39" s="445">
        <v>0.125</v>
      </c>
      <c r="K39" s="445">
        <v>347</v>
      </c>
      <c r="L39" s="422">
        <v>32</v>
      </c>
      <c r="M39" s="422">
        <v>11104</v>
      </c>
      <c r="N39" s="445">
        <v>1</v>
      </c>
      <c r="O39" s="445">
        <v>347</v>
      </c>
      <c r="P39" s="422"/>
      <c r="Q39" s="422"/>
      <c r="R39" s="446"/>
      <c r="S39" s="447"/>
    </row>
    <row r="40" spans="1:19" ht="14.4" customHeight="1" x14ac:dyDescent="0.3">
      <c r="A40" s="421" t="s">
        <v>378</v>
      </c>
      <c r="B40" s="445" t="s">
        <v>379</v>
      </c>
      <c r="C40" s="445" t="s">
        <v>337</v>
      </c>
      <c r="D40" s="445" t="s">
        <v>370</v>
      </c>
      <c r="E40" s="445" t="s">
        <v>380</v>
      </c>
      <c r="F40" s="445" t="s">
        <v>391</v>
      </c>
      <c r="G40" s="445" t="s">
        <v>392</v>
      </c>
      <c r="H40" s="422">
        <v>2</v>
      </c>
      <c r="I40" s="422">
        <v>66.67</v>
      </c>
      <c r="J40" s="445">
        <v>0.12500703129394561</v>
      </c>
      <c r="K40" s="445">
        <v>33.335000000000001</v>
      </c>
      <c r="L40" s="422">
        <v>16</v>
      </c>
      <c r="M40" s="422">
        <v>533.32999999999993</v>
      </c>
      <c r="N40" s="445">
        <v>1</v>
      </c>
      <c r="O40" s="445">
        <v>33.333124999999995</v>
      </c>
      <c r="P40" s="422">
        <v>1</v>
      </c>
      <c r="Q40" s="422">
        <v>33.33</v>
      </c>
      <c r="R40" s="446">
        <v>6.2494140588378683E-2</v>
      </c>
      <c r="S40" s="447">
        <v>33.33</v>
      </c>
    </row>
    <row r="41" spans="1:19" ht="14.4" customHeight="1" x14ac:dyDescent="0.3">
      <c r="A41" s="421" t="s">
        <v>378</v>
      </c>
      <c r="B41" s="445" t="s">
        <v>379</v>
      </c>
      <c r="C41" s="445" t="s">
        <v>337</v>
      </c>
      <c r="D41" s="445" t="s">
        <v>370</v>
      </c>
      <c r="E41" s="445" t="s">
        <v>380</v>
      </c>
      <c r="F41" s="445" t="s">
        <v>393</v>
      </c>
      <c r="G41" s="445" t="s">
        <v>394</v>
      </c>
      <c r="H41" s="422"/>
      <c r="I41" s="422"/>
      <c r="J41" s="445"/>
      <c r="K41" s="445"/>
      <c r="L41" s="422">
        <v>33</v>
      </c>
      <c r="M41" s="422">
        <v>19173</v>
      </c>
      <c r="N41" s="445">
        <v>1</v>
      </c>
      <c r="O41" s="445">
        <v>581</v>
      </c>
      <c r="P41" s="422"/>
      <c r="Q41" s="422"/>
      <c r="R41" s="446"/>
      <c r="S41" s="447"/>
    </row>
    <row r="42" spans="1:19" ht="14.4" customHeight="1" x14ac:dyDescent="0.3">
      <c r="A42" s="421" t="s">
        <v>378</v>
      </c>
      <c r="B42" s="445" t="s">
        <v>379</v>
      </c>
      <c r="C42" s="445" t="s">
        <v>337</v>
      </c>
      <c r="D42" s="445" t="s">
        <v>370</v>
      </c>
      <c r="E42" s="445" t="s">
        <v>380</v>
      </c>
      <c r="F42" s="445" t="s">
        <v>401</v>
      </c>
      <c r="G42" s="445" t="s">
        <v>402</v>
      </c>
      <c r="H42" s="422">
        <v>6</v>
      </c>
      <c r="I42" s="422">
        <v>3480</v>
      </c>
      <c r="J42" s="445"/>
      <c r="K42" s="445">
        <v>580</v>
      </c>
      <c r="L42" s="422"/>
      <c r="M42" s="422"/>
      <c r="N42" s="445"/>
      <c r="O42" s="445"/>
      <c r="P42" s="422"/>
      <c r="Q42" s="422"/>
      <c r="R42" s="446"/>
      <c r="S42" s="447"/>
    </row>
    <row r="43" spans="1:19" ht="14.4" customHeight="1" x14ac:dyDescent="0.3">
      <c r="A43" s="421" t="s">
        <v>378</v>
      </c>
      <c r="B43" s="445" t="s">
        <v>379</v>
      </c>
      <c r="C43" s="445" t="s">
        <v>337</v>
      </c>
      <c r="D43" s="445" t="s">
        <v>370</v>
      </c>
      <c r="E43" s="445" t="s">
        <v>380</v>
      </c>
      <c r="F43" s="445" t="s">
        <v>403</v>
      </c>
      <c r="G43" s="445" t="s">
        <v>404</v>
      </c>
      <c r="H43" s="422"/>
      <c r="I43" s="422"/>
      <c r="J43" s="445"/>
      <c r="K43" s="445"/>
      <c r="L43" s="422">
        <v>28</v>
      </c>
      <c r="M43" s="422">
        <v>8148</v>
      </c>
      <c r="N43" s="445">
        <v>1</v>
      </c>
      <c r="O43" s="445">
        <v>291</v>
      </c>
      <c r="P43" s="422">
        <v>6</v>
      </c>
      <c r="Q43" s="422">
        <v>1764</v>
      </c>
      <c r="R43" s="446">
        <v>0.21649484536082475</v>
      </c>
      <c r="S43" s="447">
        <v>294</v>
      </c>
    </row>
    <row r="44" spans="1:19" ht="14.4" customHeight="1" x14ac:dyDescent="0.3">
      <c r="A44" s="421" t="s">
        <v>378</v>
      </c>
      <c r="B44" s="445" t="s">
        <v>379</v>
      </c>
      <c r="C44" s="445" t="s">
        <v>337</v>
      </c>
      <c r="D44" s="445" t="s">
        <v>372</v>
      </c>
      <c r="E44" s="445" t="s">
        <v>380</v>
      </c>
      <c r="F44" s="445" t="s">
        <v>381</v>
      </c>
      <c r="G44" s="445" t="s">
        <v>382</v>
      </c>
      <c r="H44" s="422"/>
      <c r="I44" s="422"/>
      <c r="J44" s="445"/>
      <c r="K44" s="445"/>
      <c r="L44" s="422"/>
      <c r="M44" s="422"/>
      <c r="N44" s="445"/>
      <c r="O44" s="445"/>
      <c r="P44" s="422">
        <v>4</v>
      </c>
      <c r="Q44" s="422">
        <v>300</v>
      </c>
      <c r="R44" s="446"/>
      <c r="S44" s="447">
        <v>75</v>
      </c>
    </row>
    <row r="45" spans="1:19" ht="14.4" customHeight="1" x14ac:dyDescent="0.3">
      <c r="A45" s="421" t="s">
        <v>378</v>
      </c>
      <c r="B45" s="445" t="s">
        <v>379</v>
      </c>
      <c r="C45" s="445" t="s">
        <v>337</v>
      </c>
      <c r="D45" s="445" t="s">
        <v>372</v>
      </c>
      <c r="E45" s="445" t="s">
        <v>380</v>
      </c>
      <c r="F45" s="445" t="s">
        <v>383</v>
      </c>
      <c r="G45" s="445" t="s">
        <v>384</v>
      </c>
      <c r="H45" s="422">
        <v>76</v>
      </c>
      <c r="I45" s="422">
        <v>26372</v>
      </c>
      <c r="J45" s="445">
        <v>0.55882352941176472</v>
      </c>
      <c r="K45" s="445">
        <v>347</v>
      </c>
      <c r="L45" s="422">
        <v>136</v>
      </c>
      <c r="M45" s="422">
        <v>47192</v>
      </c>
      <c r="N45" s="445">
        <v>1</v>
      </c>
      <c r="O45" s="445">
        <v>347</v>
      </c>
      <c r="P45" s="422">
        <v>120</v>
      </c>
      <c r="Q45" s="422">
        <v>42000</v>
      </c>
      <c r="R45" s="446">
        <v>0.88998135277165624</v>
      </c>
      <c r="S45" s="447">
        <v>350</v>
      </c>
    </row>
    <row r="46" spans="1:19" ht="14.4" customHeight="1" x14ac:dyDescent="0.3">
      <c r="A46" s="421" t="s">
        <v>378</v>
      </c>
      <c r="B46" s="445" t="s">
        <v>379</v>
      </c>
      <c r="C46" s="445" t="s">
        <v>337</v>
      </c>
      <c r="D46" s="445" t="s">
        <v>372</v>
      </c>
      <c r="E46" s="445" t="s">
        <v>380</v>
      </c>
      <c r="F46" s="445" t="s">
        <v>389</v>
      </c>
      <c r="G46" s="445" t="s">
        <v>390</v>
      </c>
      <c r="H46" s="422">
        <v>4</v>
      </c>
      <c r="I46" s="422">
        <v>1388</v>
      </c>
      <c r="J46" s="445">
        <v>0.5714285714285714</v>
      </c>
      <c r="K46" s="445">
        <v>347</v>
      </c>
      <c r="L46" s="422">
        <v>7</v>
      </c>
      <c r="M46" s="422">
        <v>2429</v>
      </c>
      <c r="N46" s="445">
        <v>1</v>
      </c>
      <c r="O46" s="445">
        <v>347</v>
      </c>
      <c r="P46" s="422"/>
      <c r="Q46" s="422"/>
      <c r="R46" s="446"/>
      <c r="S46" s="447"/>
    </row>
    <row r="47" spans="1:19" ht="14.4" customHeight="1" x14ac:dyDescent="0.3">
      <c r="A47" s="421" t="s">
        <v>378</v>
      </c>
      <c r="B47" s="445" t="s">
        <v>379</v>
      </c>
      <c r="C47" s="445" t="s">
        <v>337</v>
      </c>
      <c r="D47" s="445" t="s">
        <v>372</v>
      </c>
      <c r="E47" s="445" t="s">
        <v>380</v>
      </c>
      <c r="F47" s="445" t="s">
        <v>391</v>
      </c>
      <c r="G47" s="445" t="s">
        <v>392</v>
      </c>
      <c r="H47" s="422">
        <v>2</v>
      </c>
      <c r="I47" s="422">
        <v>66.67</v>
      </c>
      <c r="J47" s="445">
        <v>1</v>
      </c>
      <c r="K47" s="445">
        <v>33.335000000000001</v>
      </c>
      <c r="L47" s="422">
        <v>2</v>
      </c>
      <c r="M47" s="422">
        <v>66.67</v>
      </c>
      <c r="N47" s="445">
        <v>1</v>
      </c>
      <c r="O47" s="445">
        <v>33.335000000000001</v>
      </c>
      <c r="P47" s="422"/>
      <c r="Q47" s="422"/>
      <c r="R47" s="446"/>
      <c r="S47" s="447"/>
    </row>
    <row r="48" spans="1:19" ht="14.4" customHeight="1" x14ac:dyDescent="0.3">
      <c r="A48" s="421" t="s">
        <v>378</v>
      </c>
      <c r="B48" s="445" t="s">
        <v>379</v>
      </c>
      <c r="C48" s="445" t="s">
        <v>337</v>
      </c>
      <c r="D48" s="445" t="s">
        <v>372</v>
      </c>
      <c r="E48" s="445" t="s">
        <v>380</v>
      </c>
      <c r="F48" s="445" t="s">
        <v>393</v>
      </c>
      <c r="G48" s="445" t="s">
        <v>394</v>
      </c>
      <c r="H48" s="422">
        <v>6</v>
      </c>
      <c r="I48" s="422">
        <v>3480</v>
      </c>
      <c r="J48" s="445">
        <v>0.99827882960413084</v>
      </c>
      <c r="K48" s="445">
        <v>580</v>
      </c>
      <c r="L48" s="422">
        <v>6</v>
      </c>
      <c r="M48" s="422">
        <v>3486</v>
      </c>
      <c r="N48" s="445">
        <v>1</v>
      </c>
      <c r="O48" s="445">
        <v>581</v>
      </c>
      <c r="P48" s="422"/>
      <c r="Q48" s="422"/>
      <c r="R48" s="446"/>
      <c r="S48" s="447"/>
    </row>
    <row r="49" spans="1:19" ht="14.4" customHeight="1" x14ac:dyDescent="0.3">
      <c r="A49" s="421" t="s">
        <v>378</v>
      </c>
      <c r="B49" s="445" t="s">
        <v>379</v>
      </c>
      <c r="C49" s="445" t="s">
        <v>337</v>
      </c>
      <c r="D49" s="445" t="s">
        <v>373</v>
      </c>
      <c r="E49" s="445" t="s">
        <v>380</v>
      </c>
      <c r="F49" s="445" t="s">
        <v>383</v>
      </c>
      <c r="G49" s="445" t="s">
        <v>384</v>
      </c>
      <c r="H49" s="422">
        <v>294</v>
      </c>
      <c r="I49" s="422">
        <v>102018</v>
      </c>
      <c r="J49" s="445">
        <v>1.4</v>
      </c>
      <c r="K49" s="445">
        <v>347</v>
      </c>
      <c r="L49" s="422">
        <v>210</v>
      </c>
      <c r="M49" s="422">
        <v>72870</v>
      </c>
      <c r="N49" s="445">
        <v>1</v>
      </c>
      <c r="O49" s="445">
        <v>347</v>
      </c>
      <c r="P49" s="422">
        <v>46</v>
      </c>
      <c r="Q49" s="422">
        <v>16100</v>
      </c>
      <c r="R49" s="446">
        <v>0.22094140249759847</v>
      </c>
      <c r="S49" s="447">
        <v>350</v>
      </c>
    </row>
    <row r="50" spans="1:19" ht="14.4" customHeight="1" x14ac:dyDescent="0.3">
      <c r="A50" s="421" t="s">
        <v>378</v>
      </c>
      <c r="B50" s="445" t="s">
        <v>379</v>
      </c>
      <c r="C50" s="445" t="s">
        <v>337</v>
      </c>
      <c r="D50" s="445" t="s">
        <v>373</v>
      </c>
      <c r="E50" s="445" t="s">
        <v>380</v>
      </c>
      <c r="F50" s="445" t="s">
        <v>391</v>
      </c>
      <c r="G50" s="445" t="s">
        <v>392</v>
      </c>
      <c r="H50" s="422">
        <v>38</v>
      </c>
      <c r="I50" s="422">
        <v>1266.69</v>
      </c>
      <c r="J50" s="445">
        <v>1.0555750000000002</v>
      </c>
      <c r="K50" s="445">
        <v>33.333947368421057</v>
      </c>
      <c r="L50" s="422">
        <v>36</v>
      </c>
      <c r="M50" s="422">
        <v>1200</v>
      </c>
      <c r="N50" s="445">
        <v>1</v>
      </c>
      <c r="O50" s="445">
        <v>33.333333333333336</v>
      </c>
      <c r="P50" s="422">
        <v>50</v>
      </c>
      <c r="Q50" s="422">
        <v>1666.6800000000003</v>
      </c>
      <c r="R50" s="446">
        <v>1.3889000000000002</v>
      </c>
      <c r="S50" s="447">
        <v>33.333600000000004</v>
      </c>
    </row>
    <row r="51" spans="1:19" ht="14.4" customHeight="1" x14ac:dyDescent="0.3">
      <c r="A51" s="421" t="s">
        <v>378</v>
      </c>
      <c r="B51" s="445" t="s">
        <v>379</v>
      </c>
      <c r="C51" s="445" t="s">
        <v>337</v>
      </c>
      <c r="D51" s="445" t="s">
        <v>373</v>
      </c>
      <c r="E51" s="445" t="s">
        <v>380</v>
      </c>
      <c r="F51" s="445" t="s">
        <v>393</v>
      </c>
      <c r="G51" s="445" t="s">
        <v>394</v>
      </c>
      <c r="H51" s="422">
        <v>102</v>
      </c>
      <c r="I51" s="422">
        <v>59160</v>
      </c>
      <c r="J51" s="445">
        <v>1.2728055077452667</v>
      </c>
      <c r="K51" s="445">
        <v>580</v>
      </c>
      <c r="L51" s="422">
        <v>80</v>
      </c>
      <c r="M51" s="422">
        <v>46480</v>
      </c>
      <c r="N51" s="445">
        <v>1</v>
      </c>
      <c r="O51" s="445">
        <v>581</v>
      </c>
      <c r="P51" s="422">
        <v>126</v>
      </c>
      <c r="Q51" s="422">
        <v>73962</v>
      </c>
      <c r="R51" s="446">
        <v>1.5912650602409639</v>
      </c>
      <c r="S51" s="447">
        <v>587</v>
      </c>
    </row>
    <row r="52" spans="1:19" ht="14.4" customHeight="1" x14ac:dyDescent="0.3">
      <c r="A52" s="421" t="s">
        <v>378</v>
      </c>
      <c r="B52" s="445" t="s">
        <v>379</v>
      </c>
      <c r="C52" s="445" t="s">
        <v>337</v>
      </c>
      <c r="D52" s="445" t="s">
        <v>373</v>
      </c>
      <c r="E52" s="445" t="s">
        <v>380</v>
      </c>
      <c r="F52" s="445" t="s">
        <v>401</v>
      </c>
      <c r="G52" s="445" t="s">
        <v>402</v>
      </c>
      <c r="H52" s="422">
        <v>16</v>
      </c>
      <c r="I52" s="422">
        <v>9280</v>
      </c>
      <c r="J52" s="445">
        <v>0.3993115318416523</v>
      </c>
      <c r="K52" s="445">
        <v>580</v>
      </c>
      <c r="L52" s="422">
        <v>40</v>
      </c>
      <c r="M52" s="422">
        <v>23240</v>
      </c>
      <c r="N52" s="445">
        <v>1</v>
      </c>
      <c r="O52" s="445">
        <v>581</v>
      </c>
      <c r="P52" s="422">
        <v>32</v>
      </c>
      <c r="Q52" s="422">
        <v>18784</v>
      </c>
      <c r="R52" s="446">
        <v>0.80826161790017215</v>
      </c>
      <c r="S52" s="447">
        <v>587</v>
      </c>
    </row>
    <row r="53" spans="1:19" ht="14.4" customHeight="1" x14ac:dyDescent="0.3">
      <c r="A53" s="421" t="s">
        <v>378</v>
      </c>
      <c r="B53" s="445" t="s">
        <v>379</v>
      </c>
      <c r="C53" s="445" t="s">
        <v>337</v>
      </c>
      <c r="D53" s="445" t="s">
        <v>374</v>
      </c>
      <c r="E53" s="445" t="s">
        <v>380</v>
      </c>
      <c r="F53" s="445" t="s">
        <v>383</v>
      </c>
      <c r="G53" s="445" t="s">
        <v>384</v>
      </c>
      <c r="H53" s="422">
        <v>347</v>
      </c>
      <c r="I53" s="422">
        <v>120409</v>
      </c>
      <c r="J53" s="445">
        <v>0.88520408163265307</v>
      </c>
      <c r="K53" s="445">
        <v>347</v>
      </c>
      <c r="L53" s="422">
        <v>392</v>
      </c>
      <c r="M53" s="422">
        <v>136024</v>
      </c>
      <c r="N53" s="445">
        <v>1</v>
      </c>
      <c r="O53" s="445">
        <v>347</v>
      </c>
      <c r="P53" s="422">
        <v>264</v>
      </c>
      <c r="Q53" s="422">
        <v>92400</v>
      </c>
      <c r="R53" s="446">
        <v>0.67929188966652942</v>
      </c>
      <c r="S53" s="447">
        <v>350</v>
      </c>
    </row>
    <row r="54" spans="1:19" ht="14.4" customHeight="1" x14ac:dyDescent="0.3">
      <c r="A54" s="421" t="s">
        <v>378</v>
      </c>
      <c r="B54" s="445" t="s">
        <v>379</v>
      </c>
      <c r="C54" s="445" t="s">
        <v>337</v>
      </c>
      <c r="D54" s="445" t="s">
        <v>374</v>
      </c>
      <c r="E54" s="445" t="s">
        <v>380</v>
      </c>
      <c r="F54" s="445" t="s">
        <v>391</v>
      </c>
      <c r="G54" s="445" t="s">
        <v>392</v>
      </c>
      <c r="H54" s="422">
        <v>51</v>
      </c>
      <c r="I54" s="422">
        <v>1700.01</v>
      </c>
      <c r="J54" s="445">
        <v>0.96226799572076271</v>
      </c>
      <c r="K54" s="445">
        <v>33.333529411764708</v>
      </c>
      <c r="L54" s="422">
        <v>53</v>
      </c>
      <c r="M54" s="422">
        <v>1766.67</v>
      </c>
      <c r="N54" s="445">
        <v>1</v>
      </c>
      <c r="O54" s="445">
        <v>33.333396226415097</v>
      </c>
      <c r="P54" s="422">
        <v>45</v>
      </c>
      <c r="Q54" s="422">
        <v>1500.01</v>
      </c>
      <c r="R54" s="446">
        <v>0.849060662149694</v>
      </c>
      <c r="S54" s="447">
        <v>33.333555555555556</v>
      </c>
    </row>
    <row r="55" spans="1:19" ht="14.4" customHeight="1" x14ac:dyDescent="0.3">
      <c r="A55" s="421" t="s">
        <v>378</v>
      </c>
      <c r="B55" s="445" t="s">
        <v>379</v>
      </c>
      <c r="C55" s="445" t="s">
        <v>337</v>
      </c>
      <c r="D55" s="445" t="s">
        <v>374</v>
      </c>
      <c r="E55" s="445" t="s">
        <v>380</v>
      </c>
      <c r="F55" s="445" t="s">
        <v>393</v>
      </c>
      <c r="G55" s="445" t="s">
        <v>394</v>
      </c>
      <c r="H55" s="422">
        <v>145</v>
      </c>
      <c r="I55" s="422">
        <v>84100</v>
      </c>
      <c r="J55" s="445">
        <v>0.9161419638772087</v>
      </c>
      <c r="K55" s="445">
        <v>580</v>
      </c>
      <c r="L55" s="422">
        <v>158</v>
      </c>
      <c r="M55" s="422">
        <v>91798</v>
      </c>
      <c r="N55" s="445">
        <v>1</v>
      </c>
      <c r="O55" s="445">
        <v>581</v>
      </c>
      <c r="P55" s="422">
        <v>142</v>
      </c>
      <c r="Q55" s="422">
        <v>83354</v>
      </c>
      <c r="R55" s="446">
        <v>0.90801542517266176</v>
      </c>
      <c r="S55" s="447">
        <v>587</v>
      </c>
    </row>
    <row r="56" spans="1:19" ht="14.4" customHeight="1" x14ac:dyDescent="0.3">
      <c r="A56" s="421" t="s">
        <v>378</v>
      </c>
      <c r="B56" s="445" t="s">
        <v>379</v>
      </c>
      <c r="C56" s="445" t="s">
        <v>337</v>
      </c>
      <c r="D56" s="445" t="s">
        <v>374</v>
      </c>
      <c r="E56" s="445" t="s">
        <v>380</v>
      </c>
      <c r="F56" s="445" t="s">
        <v>401</v>
      </c>
      <c r="G56" s="445" t="s">
        <v>402</v>
      </c>
      <c r="H56" s="422">
        <v>6</v>
      </c>
      <c r="I56" s="422">
        <v>3480</v>
      </c>
      <c r="J56" s="445"/>
      <c r="K56" s="445">
        <v>580</v>
      </c>
      <c r="L56" s="422"/>
      <c r="M56" s="422"/>
      <c r="N56" s="445"/>
      <c r="O56" s="445"/>
      <c r="P56" s="422"/>
      <c r="Q56" s="422"/>
      <c r="R56" s="446"/>
      <c r="S56" s="447"/>
    </row>
    <row r="57" spans="1:19" ht="14.4" customHeight="1" x14ac:dyDescent="0.3">
      <c r="A57" s="421" t="s">
        <v>378</v>
      </c>
      <c r="B57" s="445" t="s">
        <v>379</v>
      </c>
      <c r="C57" s="445" t="s">
        <v>337</v>
      </c>
      <c r="D57" s="445" t="s">
        <v>375</v>
      </c>
      <c r="E57" s="445" t="s">
        <v>380</v>
      </c>
      <c r="F57" s="445" t="s">
        <v>383</v>
      </c>
      <c r="G57" s="445" t="s">
        <v>384</v>
      </c>
      <c r="H57" s="422">
        <v>49</v>
      </c>
      <c r="I57" s="422">
        <v>17003</v>
      </c>
      <c r="J57" s="445"/>
      <c r="K57" s="445">
        <v>347</v>
      </c>
      <c r="L57" s="422"/>
      <c r="M57" s="422"/>
      <c r="N57" s="445"/>
      <c r="O57" s="445"/>
      <c r="P57" s="422"/>
      <c r="Q57" s="422"/>
      <c r="R57" s="446"/>
      <c r="S57" s="447"/>
    </row>
    <row r="58" spans="1:19" ht="14.4" customHeight="1" x14ac:dyDescent="0.3">
      <c r="A58" s="421" t="s">
        <v>378</v>
      </c>
      <c r="B58" s="445" t="s">
        <v>379</v>
      </c>
      <c r="C58" s="445" t="s">
        <v>337</v>
      </c>
      <c r="D58" s="445" t="s">
        <v>375</v>
      </c>
      <c r="E58" s="445" t="s">
        <v>380</v>
      </c>
      <c r="F58" s="445" t="s">
        <v>391</v>
      </c>
      <c r="G58" s="445" t="s">
        <v>392</v>
      </c>
      <c r="H58" s="422">
        <v>32</v>
      </c>
      <c r="I58" s="422">
        <v>1066.6799999999998</v>
      </c>
      <c r="J58" s="445">
        <v>1.333333333333333</v>
      </c>
      <c r="K58" s="445">
        <v>33.333749999999995</v>
      </c>
      <c r="L58" s="422">
        <v>24</v>
      </c>
      <c r="M58" s="422">
        <v>800.01</v>
      </c>
      <c r="N58" s="445">
        <v>1</v>
      </c>
      <c r="O58" s="445">
        <v>33.333750000000002</v>
      </c>
      <c r="P58" s="422"/>
      <c r="Q58" s="422"/>
      <c r="R58" s="446"/>
      <c r="S58" s="447"/>
    </row>
    <row r="59" spans="1:19" ht="14.4" customHeight="1" x14ac:dyDescent="0.3">
      <c r="A59" s="421" t="s">
        <v>378</v>
      </c>
      <c r="B59" s="445" t="s">
        <v>379</v>
      </c>
      <c r="C59" s="445" t="s">
        <v>337</v>
      </c>
      <c r="D59" s="445" t="s">
        <v>375</v>
      </c>
      <c r="E59" s="445" t="s">
        <v>380</v>
      </c>
      <c r="F59" s="445" t="s">
        <v>393</v>
      </c>
      <c r="G59" s="445" t="s">
        <v>394</v>
      </c>
      <c r="H59" s="422">
        <v>96</v>
      </c>
      <c r="I59" s="422">
        <v>55680</v>
      </c>
      <c r="J59" s="445">
        <v>1.3310384394721744</v>
      </c>
      <c r="K59" s="445">
        <v>580</v>
      </c>
      <c r="L59" s="422">
        <v>72</v>
      </c>
      <c r="M59" s="422">
        <v>41832</v>
      </c>
      <c r="N59" s="445">
        <v>1</v>
      </c>
      <c r="O59" s="445">
        <v>581</v>
      </c>
      <c r="P59" s="422"/>
      <c r="Q59" s="422"/>
      <c r="R59" s="446"/>
      <c r="S59" s="447"/>
    </row>
    <row r="60" spans="1:19" ht="14.4" customHeight="1" x14ac:dyDescent="0.3">
      <c r="A60" s="421" t="s">
        <v>378</v>
      </c>
      <c r="B60" s="445" t="s">
        <v>379</v>
      </c>
      <c r="C60" s="445" t="s">
        <v>337</v>
      </c>
      <c r="D60" s="445" t="s">
        <v>376</v>
      </c>
      <c r="E60" s="445" t="s">
        <v>380</v>
      </c>
      <c r="F60" s="445" t="s">
        <v>381</v>
      </c>
      <c r="G60" s="445" t="s">
        <v>382</v>
      </c>
      <c r="H60" s="422">
        <v>2</v>
      </c>
      <c r="I60" s="422">
        <v>148</v>
      </c>
      <c r="J60" s="445">
        <v>1</v>
      </c>
      <c r="K60" s="445">
        <v>74</v>
      </c>
      <c r="L60" s="422">
        <v>2</v>
      </c>
      <c r="M60" s="422">
        <v>148</v>
      </c>
      <c r="N60" s="445">
        <v>1</v>
      </c>
      <c r="O60" s="445">
        <v>74</v>
      </c>
      <c r="P60" s="422"/>
      <c r="Q60" s="422"/>
      <c r="R60" s="446"/>
      <c r="S60" s="447"/>
    </row>
    <row r="61" spans="1:19" ht="14.4" customHeight="1" x14ac:dyDescent="0.3">
      <c r="A61" s="421" t="s">
        <v>378</v>
      </c>
      <c r="B61" s="445" t="s">
        <v>379</v>
      </c>
      <c r="C61" s="445" t="s">
        <v>337</v>
      </c>
      <c r="D61" s="445" t="s">
        <v>376</v>
      </c>
      <c r="E61" s="445" t="s">
        <v>380</v>
      </c>
      <c r="F61" s="445" t="s">
        <v>383</v>
      </c>
      <c r="G61" s="445" t="s">
        <v>384</v>
      </c>
      <c r="H61" s="422">
        <v>37</v>
      </c>
      <c r="I61" s="422">
        <v>12839</v>
      </c>
      <c r="J61" s="445">
        <v>0.2138728323699422</v>
      </c>
      <c r="K61" s="445">
        <v>347</v>
      </c>
      <c r="L61" s="422">
        <v>173</v>
      </c>
      <c r="M61" s="422">
        <v>60031</v>
      </c>
      <c r="N61" s="445">
        <v>1</v>
      </c>
      <c r="O61" s="445">
        <v>347</v>
      </c>
      <c r="P61" s="422">
        <v>292</v>
      </c>
      <c r="Q61" s="422">
        <v>102200</v>
      </c>
      <c r="R61" s="446">
        <v>1.7024537322383435</v>
      </c>
      <c r="S61" s="447">
        <v>350</v>
      </c>
    </row>
    <row r="62" spans="1:19" ht="14.4" customHeight="1" x14ac:dyDescent="0.3">
      <c r="A62" s="421" t="s">
        <v>378</v>
      </c>
      <c r="B62" s="445" t="s">
        <v>379</v>
      </c>
      <c r="C62" s="445" t="s">
        <v>337</v>
      </c>
      <c r="D62" s="445" t="s">
        <v>376</v>
      </c>
      <c r="E62" s="445" t="s">
        <v>380</v>
      </c>
      <c r="F62" s="445" t="s">
        <v>385</v>
      </c>
      <c r="G62" s="445" t="s">
        <v>386</v>
      </c>
      <c r="H62" s="422"/>
      <c r="I62" s="422"/>
      <c r="J62" s="445"/>
      <c r="K62" s="445"/>
      <c r="L62" s="422"/>
      <c r="M62" s="422"/>
      <c r="N62" s="445"/>
      <c r="O62" s="445"/>
      <c r="P62" s="422">
        <v>26</v>
      </c>
      <c r="Q62" s="422">
        <v>6058</v>
      </c>
      <c r="R62" s="446"/>
      <c r="S62" s="447">
        <v>233</v>
      </c>
    </row>
    <row r="63" spans="1:19" ht="14.4" customHeight="1" x14ac:dyDescent="0.3">
      <c r="A63" s="421" t="s">
        <v>378</v>
      </c>
      <c r="B63" s="445" t="s">
        <v>379</v>
      </c>
      <c r="C63" s="445" t="s">
        <v>337</v>
      </c>
      <c r="D63" s="445" t="s">
        <v>376</v>
      </c>
      <c r="E63" s="445" t="s">
        <v>380</v>
      </c>
      <c r="F63" s="445" t="s">
        <v>387</v>
      </c>
      <c r="G63" s="445" t="s">
        <v>388</v>
      </c>
      <c r="H63" s="422">
        <v>37</v>
      </c>
      <c r="I63" s="422">
        <v>12839</v>
      </c>
      <c r="J63" s="445">
        <v>0.24183006535947713</v>
      </c>
      <c r="K63" s="445">
        <v>347</v>
      </c>
      <c r="L63" s="422">
        <v>153</v>
      </c>
      <c r="M63" s="422">
        <v>53091</v>
      </c>
      <c r="N63" s="445">
        <v>1</v>
      </c>
      <c r="O63" s="445">
        <v>347</v>
      </c>
      <c r="P63" s="422">
        <v>136</v>
      </c>
      <c r="Q63" s="422">
        <v>47600</v>
      </c>
      <c r="R63" s="446">
        <v>0.89657380723663149</v>
      </c>
      <c r="S63" s="447">
        <v>350</v>
      </c>
    </row>
    <row r="64" spans="1:19" ht="14.4" customHeight="1" x14ac:dyDescent="0.3">
      <c r="A64" s="421" t="s">
        <v>378</v>
      </c>
      <c r="B64" s="445" t="s">
        <v>379</v>
      </c>
      <c r="C64" s="445" t="s">
        <v>337</v>
      </c>
      <c r="D64" s="445" t="s">
        <v>376</v>
      </c>
      <c r="E64" s="445" t="s">
        <v>380</v>
      </c>
      <c r="F64" s="445" t="s">
        <v>389</v>
      </c>
      <c r="G64" s="445" t="s">
        <v>390</v>
      </c>
      <c r="H64" s="422"/>
      <c r="I64" s="422"/>
      <c r="J64" s="445"/>
      <c r="K64" s="445"/>
      <c r="L64" s="422">
        <v>6</v>
      </c>
      <c r="M64" s="422">
        <v>2082</v>
      </c>
      <c r="N64" s="445">
        <v>1</v>
      </c>
      <c r="O64" s="445">
        <v>347</v>
      </c>
      <c r="P64" s="422"/>
      <c r="Q64" s="422"/>
      <c r="R64" s="446"/>
      <c r="S64" s="447"/>
    </row>
    <row r="65" spans="1:19" ht="14.4" customHeight="1" x14ac:dyDescent="0.3">
      <c r="A65" s="421" t="s">
        <v>378</v>
      </c>
      <c r="B65" s="445" t="s">
        <v>379</v>
      </c>
      <c r="C65" s="445" t="s">
        <v>337</v>
      </c>
      <c r="D65" s="445" t="s">
        <v>376</v>
      </c>
      <c r="E65" s="445" t="s">
        <v>380</v>
      </c>
      <c r="F65" s="445" t="s">
        <v>395</v>
      </c>
      <c r="G65" s="445" t="s">
        <v>396</v>
      </c>
      <c r="H65" s="422">
        <v>92</v>
      </c>
      <c r="I65" s="422">
        <v>53452</v>
      </c>
      <c r="J65" s="445">
        <v>1.7661908538197197</v>
      </c>
      <c r="K65" s="445">
        <v>581</v>
      </c>
      <c r="L65" s="422">
        <v>52</v>
      </c>
      <c r="M65" s="422">
        <v>30264</v>
      </c>
      <c r="N65" s="445">
        <v>1</v>
      </c>
      <c r="O65" s="445">
        <v>582</v>
      </c>
      <c r="P65" s="422">
        <v>57</v>
      </c>
      <c r="Q65" s="422">
        <v>33516</v>
      </c>
      <c r="R65" s="446">
        <v>1.1074544012688343</v>
      </c>
      <c r="S65" s="447">
        <v>588</v>
      </c>
    </row>
    <row r="66" spans="1:19" ht="14.4" customHeight="1" x14ac:dyDescent="0.3">
      <c r="A66" s="421" t="s">
        <v>378</v>
      </c>
      <c r="B66" s="445" t="s">
        <v>379</v>
      </c>
      <c r="C66" s="445" t="s">
        <v>337</v>
      </c>
      <c r="D66" s="445" t="s">
        <v>376</v>
      </c>
      <c r="E66" s="445" t="s">
        <v>380</v>
      </c>
      <c r="F66" s="445" t="s">
        <v>397</v>
      </c>
      <c r="G66" s="445" t="s">
        <v>398</v>
      </c>
      <c r="H66" s="422">
        <v>4</v>
      </c>
      <c r="I66" s="422">
        <v>1164</v>
      </c>
      <c r="J66" s="445"/>
      <c r="K66" s="445">
        <v>291</v>
      </c>
      <c r="L66" s="422"/>
      <c r="M66" s="422"/>
      <c r="N66" s="445"/>
      <c r="O66" s="445"/>
      <c r="P66" s="422"/>
      <c r="Q66" s="422"/>
      <c r="R66" s="446"/>
      <c r="S66" s="447"/>
    </row>
    <row r="67" spans="1:19" ht="14.4" customHeight="1" x14ac:dyDescent="0.3">
      <c r="A67" s="421" t="s">
        <v>378</v>
      </c>
      <c r="B67" s="445" t="s">
        <v>379</v>
      </c>
      <c r="C67" s="445" t="s">
        <v>337</v>
      </c>
      <c r="D67" s="445" t="s">
        <v>376</v>
      </c>
      <c r="E67" s="445" t="s">
        <v>380</v>
      </c>
      <c r="F67" s="445" t="s">
        <v>399</v>
      </c>
      <c r="G67" s="445" t="s">
        <v>400</v>
      </c>
      <c r="H67" s="422">
        <v>8</v>
      </c>
      <c r="I67" s="422">
        <v>4648</v>
      </c>
      <c r="J67" s="445">
        <v>0.21584471069007152</v>
      </c>
      <c r="K67" s="445">
        <v>581</v>
      </c>
      <c r="L67" s="422">
        <v>37</v>
      </c>
      <c r="M67" s="422">
        <v>21534</v>
      </c>
      <c r="N67" s="445">
        <v>1</v>
      </c>
      <c r="O67" s="445">
        <v>582</v>
      </c>
      <c r="P67" s="422">
        <v>22</v>
      </c>
      <c r="Q67" s="422">
        <v>12936</v>
      </c>
      <c r="R67" s="446">
        <v>0.60072443577598211</v>
      </c>
      <c r="S67" s="447">
        <v>588</v>
      </c>
    </row>
    <row r="68" spans="1:19" ht="14.4" customHeight="1" x14ac:dyDescent="0.3">
      <c r="A68" s="421" t="s">
        <v>378</v>
      </c>
      <c r="B68" s="445" t="s">
        <v>379</v>
      </c>
      <c r="C68" s="445" t="s">
        <v>337</v>
      </c>
      <c r="D68" s="445" t="s">
        <v>365</v>
      </c>
      <c r="E68" s="445" t="s">
        <v>380</v>
      </c>
      <c r="F68" s="445" t="s">
        <v>381</v>
      </c>
      <c r="G68" s="445" t="s">
        <v>382</v>
      </c>
      <c r="H68" s="422"/>
      <c r="I68" s="422"/>
      <c r="J68" s="445"/>
      <c r="K68" s="445"/>
      <c r="L68" s="422">
        <v>5</v>
      </c>
      <c r="M68" s="422">
        <v>370</v>
      </c>
      <c r="N68" s="445">
        <v>1</v>
      </c>
      <c r="O68" s="445">
        <v>74</v>
      </c>
      <c r="P68" s="422">
        <v>6</v>
      </c>
      <c r="Q68" s="422">
        <v>450</v>
      </c>
      <c r="R68" s="446">
        <v>1.2162162162162162</v>
      </c>
      <c r="S68" s="447">
        <v>75</v>
      </c>
    </row>
    <row r="69" spans="1:19" ht="14.4" customHeight="1" x14ac:dyDescent="0.3">
      <c r="A69" s="421" t="s">
        <v>378</v>
      </c>
      <c r="B69" s="445" t="s">
        <v>379</v>
      </c>
      <c r="C69" s="445" t="s">
        <v>337</v>
      </c>
      <c r="D69" s="445" t="s">
        <v>365</v>
      </c>
      <c r="E69" s="445" t="s">
        <v>380</v>
      </c>
      <c r="F69" s="445" t="s">
        <v>383</v>
      </c>
      <c r="G69" s="445" t="s">
        <v>384</v>
      </c>
      <c r="H69" s="422">
        <v>50</v>
      </c>
      <c r="I69" s="422">
        <v>17350</v>
      </c>
      <c r="J69" s="445">
        <v>0.1182033096926714</v>
      </c>
      <c r="K69" s="445">
        <v>347</v>
      </c>
      <c r="L69" s="422">
        <v>423</v>
      </c>
      <c r="M69" s="422">
        <v>146781</v>
      </c>
      <c r="N69" s="445">
        <v>1</v>
      </c>
      <c r="O69" s="445">
        <v>347</v>
      </c>
      <c r="P69" s="422">
        <v>460</v>
      </c>
      <c r="Q69" s="422">
        <v>161000</v>
      </c>
      <c r="R69" s="446">
        <v>1.0968722109809852</v>
      </c>
      <c r="S69" s="447">
        <v>350</v>
      </c>
    </row>
    <row r="70" spans="1:19" ht="14.4" customHeight="1" x14ac:dyDescent="0.3">
      <c r="A70" s="421" t="s">
        <v>378</v>
      </c>
      <c r="B70" s="445" t="s">
        <v>379</v>
      </c>
      <c r="C70" s="445" t="s">
        <v>337</v>
      </c>
      <c r="D70" s="445" t="s">
        <v>365</v>
      </c>
      <c r="E70" s="445" t="s">
        <v>380</v>
      </c>
      <c r="F70" s="445" t="s">
        <v>385</v>
      </c>
      <c r="G70" s="445" t="s">
        <v>386</v>
      </c>
      <c r="H70" s="422"/>
      <c r="I70" s="422"/>
      <c r="J70" s="445"/>
      <c r="K70" s="445"/>
      <c r="L70" s="422"/>
      <c r="M70" s="422"/>
      <c r="N70" s="445"/>
      <c r="O70" s="445"/>
      <c r="P70" s="422">
        <v>13</v>
      </c>
      <c r="Q70" s="422">
        <v>3029</v>
      </c>
      <c r="R70" s="446"/>
      <c r="S70" s="447">
        <v>233</v>
      </c>
    </row>
    <row r="71" spans="1:19" ht="14.4" customHeight="1" x14ac:dyDescent="0.3">
      <c r="A71" s="421" t="s">
        <v>378</v>
      </c>
      <c r="B71" s="445" t="s">
        <v>379</v>
      </c>
      <c r="C71" s="445" t="s">
        <v>337</v>
      </c>
      <c r="D71" s="445" t="s">
        <v>365</v>
      </c>
      <c r="E71" s="445" t="s">
        <v>380</v>
      </c>
      <c r="F71" s="445" t="s">
        <v>387</v>
      </c>
      <c r="G71" s="445" t="s">
        <v>388</v>
      </c>
      <c r="H71" s="422">
        <v>23</v>
      </c>
      <c r="I71" s="422">
        <v>7981</v>
      </c>
      <c r="J71" s="445">
        <v>0.11165048543689321</v>
      </c>
      <c r="K71" s="445">
        <v>347</v>
      </c>
      <c r="L71" s="422">
        <v>206</v>
      </c>
      <c r="M71" s="422">
        <v>71482</v>
      </c>
      <c r="N71" s="445">
        <v>1</v>
      </c>
      <c r="O71" s="445">
        <v>347</v>
      </c>
      <c r="P71" s="422">
        <v>220</v>
      </c>
      <c r="Q71" s="422">
        <v>77000</v>
      </c>
      <c r="R71" s="446">
        <v>1.0771942586944965</v>
      </c>
      <c r="S71" s="447">
        <v>350</v>
      </c>
    </row>
    <row r="72" spans="1:19" ht="14.4" customHeight="1" x14ac:dyDescent="0.3">
      <c r="A72" s="421" t="s">
        <v>378</v>
      </c>
      <c r="B72" s="445" t="s">
        <v>379</v>
      </c>
      <c r="C72" s="445" t="s">
        <v>337</v>
      </c>
      <c r="D72" s="445" t="s">
        <v>365</v>
      </c>
      <c r="E72" s="445" t="s">
        <v>380</v>
      </c>
      <c r="F72" s="445" t="s">
        <v>389</v>
      </c>
      <c r="G72" s="445" t="s">
        <v>390</v>
      </c>
      <c r="H72" s="422"/>
      <c r="I72" s="422"/>
      <c r="J72" s="445"/>
      <c r="K72" s="445"/>
      <c r="L72" s="422"/>
      <c r="M72" s="422"/>
      <c r="N72" s="445"/>
      <c r="O72" s="445"/>
      <c r="P72" s="422">
        <v>4</v>
      </c>
      <c r="Q72" s="422">
        <v>1400</v>
      </c>
      <c r="R72" s="446"/>
      <c r="S72" s="447">
        <v>350</v>
      </c>
    </row>
    <row r="73" spans="1:19" ht="14.4" customHeight="1" x14ac:dyDescent="0.3">
      <c r="A73" s="421" t="s">
        <v>378</v>
      </c>
      <c r="B73" s="445" t="s">
        <v>379</v>
      </c>
      <c r="C73" s="445" t="s">
        <v>337</v>
      </c>
      <c r="D73" s="445" t="s">
        <v>365</v>
      </c>
      <c r="E73" s="445" t="s">
        <v>380</v>
      </c>
      <c r="F73" s="445" t="s">
        <v>395</v>
      </c>
      <c r="G73" s="445" t="s">
        <v>396</v>
      </c>
      <c r="H73" s="422">
        <v>61</v>
      </c>
      <c r="I73" s="422">
        <v>35441</v>
      </c>
      <c r="J73" s="445">
        <v>1.9029746563573884</v>
      </c>
      <c r="K73" s="445">
        <v>581</v>
      </c>
      <c r="L73" s="422">
        <v>32</v>
      </c>
      <c r="M73" s="422">
        <v>18624</v>
      </c>
      <c r="N73" s="445">
        <v>1</v>
      </c>
      <c r="O73" s="445">
        <v>582</v>
      </c>
      <c r="P73" s="422">
        <v>25</v>
      </c>
      <c r="Q73" s="422">
        <v>14700</v>
      </c>
      <c r="R73" s="446">
        <v>0.78930412371134018</v>
      </c>
      <c r="S73" s="447">
        <v>588</v>
      </c>
    </row>
    <row r="74" spans="1:19" ht="14.4" customHeight="1" x14ac:dyDescent="0.3">
      <c r="A74" s="421" t="s">
        <v>378</v>
      </c>
      <c r="B74" s="445" t="s">
        <v>379</v>
      </c>
      <c r="C74" s="445" t="s">
        <v>337</v>
      </c>
      <c r="D74" s="445" t="s">
        <v>365</v>
      </c>
      <c r="E74" s="445" t="s">
        <v>380</v>
      </c>
      <c r="F74" s="445" t="s">
        <v>399</v>
      </c>
      <c r="G74" s="445" t="s">
        <v>400</v>
      </c>
      <c r="H74" s="422"/>
      <c r="I74" s="422"/>
      <c r="J74" s="445"/>
      <c r="K74" s="445"/>
      <c r="L74" s="422">
        <v>45</v>
      </c>
      <c r="M74" s="422">
        <v>26190</v>
      </c>
      <c r="N74" s="445">
        <v>1</v>
      </c>
      <c r="O74" s="445">
        <v>582</v>
      </c>
      <c r="P74" s="422">
        <v>27</v>
      </c>
      <c r="Q74" s="422">
        <v>15876</v>
      </c>
      <c r="R74" s="446">
        <v>0.60618556701030923</v>
      </c>
      <c r="S74" s="447">
        <v>588</v>
      </c>
    </row>
    <row r="75" spans="1:19" ht="14.4" customHeight="1" x14ac:dyDescent="0.3">
      <c r="A75" s="421" t="s">
        <v>378</v>
      </c>
      <c r="B75" s="445" t="s">
        <v>379</v>
      </c>
      <c r="C75" s="445" t="s">
        <v>337</v>
      </c>
      <c r="D75" s="445" t="s">
        <v>371</v>
      </c>
      <c r="E75" s="445" t="s">
        <v>380</v>
      </c>
      <c r="F75" s="445" t="s">
        <v>383</v>
      </c>
      <c r="G75" s="445" t="s">
        <v>384</v>
      </c>
      <c r="H75" s="422"/>
      <c r="I75" s="422"/>
      <c r="J75" s="445"/>
      <c r="K75" s="445"/>
      <c r="L75" s="422"/>
      <c r="M75" s="422"/>
      <c r="N75" s="445"/>
      <c r="O75" s="445"/>
      <c r="P75" s="422">
        <v>467</v>
      </c>
      <c r="Q75" s="422">
        <v>163450</v>
      </c>
      <c r="R75" s="446"/>
      <c r="S75" s="447">
        <v>350</v>
      </c>
    </row>
    <row r="76" spans="1:19" ht="14.4" customHeight="1" x14ac:dyDescent="0.3">
      <c r="A76" s="421" t="s">
        <v>378</v>
      </c>
      <c r="B76" s="445" t="s">
        <v>379</v>
      </c>
      <c r="C76" s="445" t="s">
        <v>337</v>
      </c>
      <c r="D76" s="445" t="s">
        <v>371</v>
      </c>
      <c r="E76" s="445" t="s">
        <v>380</v>
      </c>
      <c r="F76" s="445" t="s">
        <v>389</v>
      </c>
      <c r="G76" s="445" t="s">
        <v>390</v>
      </c>
      <c r="H76" s="422"/>
      <c r="I76" s="422"/>
      <c r="J76" s="445"/>
      <c r="K76" s="445"/>
      <c r="L76" s="422"/>
      <c r="M76" s="422"/>
      <c r="N76" s="445"/>
      <c r="O76" s="445"/>
      <c r="P76" s="422">
        <v>3</v>
      </c>
      <c r="Q76" s="422">
        <v>1050</v>
      </c>
      <c r="R76" s="446"/>
      <c r="S76" s="447">
        <v>350</v>
      </c>
    </row>
    <row r="77" spans="1:19" ht="14.4" customHeight="1" x14ac:dyDescent="0.3">
      <c r="A77" s="421" t="s">
        <v>378</v>
      </c>
      <c r="B77" s="445" t="s">
        <v>379</v>
      </c>
      <c r="C77" s="445" t="s">
        <v>337</v>
      </c>
      <c r="D77" s="445" t="s">
        <v>371</v>
      </c>
      <c r="E77" s="445" t="s">
        <v>380</v>
      </c>
      <c r="F77" s="445" t="s">
        <v>391</v>
      </c>
      <c r="G77" s="445" t="s">
        <v>392</v>
      </c>
      <c r="H77" s="422"/>
      <c r="I77" s="422"/>
      <c r="J77" s="445"/>
      <c r="K77" s="445"/>
      <c r="L77" s="422"/>
      <c r="M77" s="422"/>
      <c r="N77" s="445"/>
      <c r="O77" s="445"/>
      <c r="P77" s="422">
        <v>20</v>
      </c>
      <c r="Q77" s="422">
        <v>666.6400000000001</v>
      </c>
      <c r="R77" s="446"/>
      <c r="S77" s="447">
        <v>33.332000000000008</v>
      </c>
    </row>
    <row r="78" spans="1:19" ht="14.4" customHeight="1" x14ac:dyDescent="0.3">
      <c r="A78" s="421" t="s">
        <v>378</v>
      </c>
      <c r="B78" s="445" t="s">
        <v>379</v>
      </c>
      <c r="C78" s="445" t="s">
        <v>337</v>
      </c>
      <c r="D78" s="445" t="s">
        <v>371</v>
      </c>
      <c r="E78" s="445" t="s">
        <v>380</v>
      </c>
      <c r="F78" s="445" t="s">
        <v>393</v>
      </c>
      <c r="G78" s="445" t="s">
        <v>394</v>
      </c>
      <c r="H78" s="422"/>
      <c r="I78" s="422"/>
      <c r="J78" s="445"/>
      <c r="K78" s="445"/>
      <c r="L78" s="422"/>
      <c r="M78" s="422"/>
      <c r="N78" s="445"/>
      <c r="O78" s="445"/>
      <c r="P78" s="422">
        <v>34</v>
      </c>
      <c r="Q78" s="422">
        <v>19958</v>
      </c>
      <c r="R78" s="446"/>
      <c r="S78" s="447">
        <v>587</v>
      </c>
    </row>
    <row r="79" spans="1:19" ht="14.4" customHeight="1" thickBot="1" x14ac:dyDescent="0.35">
      <c r="A79" s="425" t="s">
        <v>378</v>
      </c>
      <c r="B79" s="448" t="s">
        <v>379</v>
      </c>
      <c r="C79" s="448" t="s">
        <v>337</v>
      </c>
      <c r="D79" s="448" t="s">
        <v>371</v>
      </c>
      <c r="E79" s="448" t="s">
        <v>380</v>
      </c>
      <c r="F79" s="448" t="s">
        <v>401</v>
      </c>
      <c r="G79" s="448" t="s">
        <v>402</v>
      </c>
      <c r="H79" s="426"/>
      <c r="I79" s="426"/>
      <c r="J79" s="448"/>
      <c r="K79" s="448"/>
      <c r="L79" s="426"/>
      <c r="M79" s="426"/>
      <c r="N79" s="448"/>
      <c r="O79" s="448"/>
      <c r="P79" s="426">
        <v>38</v>
      </c>
      <c r="Q79" s="426">
        <v>22306</v>
      </c>
      <c r="R79" s="449"/>
      <c r="S79" s="450">
        <v>587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1" bestFit="1" customWidth="1" collapsed="1"/>
    <col min="2" max="2" width="7.77734375" style="78" hidden="1" customWidth="1" outlineLevel="1"/>
    <col min="3" max="3" width="0.109375" style="101" hidden="1" customWidth="1"/>
    <col min="4" max="4" width="7.77734375" style="78" customWidth="1"/>
    <col min="5" max="5" width="5.44140625" style="101" hidden="1" customWidth="1"/>
    <col min="6" max="6" width="7.77734375" style="78" customWidth="1"/>
    <col min="7" max="7" width="7.77734375" style="179" customWidth="1" collapsed="1"/>
    <col min="8" max="8" width="7.77734375" style="78" hidden="1" customWidth="1" outlineLevel="1"/>
    <col min="9" max="9" width="5.44140625" style="101" hidden="1" customWidth="1"/>
    <col min="10" max="10" width="7.77734375" style="78" customWidth="1"/>
    <col min="11" max="11" width="5.44140625" style="101" hidden="1" customWidth="1"/>
    <col min="12" max="12" width="7.77734375" style="78" customWidth="1"/>
    <col min="13" max="13" width="7.77734375" style="179" customWidth="1" collapsed="1"/>
    <col min="14" max="14" width="7.77734375" style="78" hidden="1" customWidth="1" outlineLevel="1"/>
    <col min="15" max="15" width="5" style="101" hidden="1" customWidth="1"/>
    <col min="16" max="16" width="7.77734375" style="78" customWidth="1"/>
    <col min="17" max="17" width="5" style="101" hidden="1" customWidth="1"/>
    <col min="18" max="18" width="7.77734375" style="78" customWidth="1"/>
    <col min="19" max="19" width="7.77734375" style="179" customWidth="1"/>
    <col min="20" max="16384" width="8.88671875" style="101"/>
  </cols>
  <sheetData>
    <row r="1" spans="1:19" ht="18.600000000000001" customHeight="1" thickBot="1" x14ac:dyDescent="0.4">
      <c r="A1" s="287" t="s">
        <v>97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</row>
    <row r="2" spans="1:19" ht="14.4" customHeight="1" thickBot="1" x14ac:dyDescent="0.35">
      <c r="A2" s="192" t="s">
        <v>206</v>
      </c>
      <c r="B2" s="186"/>
      <c r="C2" s="83"/>
      <c r="D2" s="186"/>
      <c r="E2" s="83"/>
      <c r="F2" s="186"/>
      <c r="G2" s="187"/>
      <c r="H2" s="186"/>
      <c r="I2" s="83"/>
      <c r="J2" s="186"/>
      <c r="K2" s="83"/>
      <c r="L2" s="186"/>
      <c r="M2" s="187"/>
      <c r="N2" s="186"/>
      <c r="O2" s="83"/>
      <c r="P2" s="186"/>
      <c r="Q2" s="83"/>
      <c r="R2" s="186"/>
      <c r="S2" s="187"/>
    </row>
    <row r="3" spans="1:19" ht="14.4" customHeight="1" thickBot="1" x14ac:dyDescent="0.35">
      <c r="A3" s="180" t="s">
        <v>98</v>
      </c>
      <c r="B3" s="181">
        <f>SUBTOTAL(9,B6:B1048576)</f>
        <v>1613360</v>
      </c>
      <c r="C3" s="182">
        <f t="shared" ref="C3:R3" si="0">SUBTOTAL(9,C6:C1048576)</f>
        <v>31.419237378890877</v>
      </c>
      <c r="D3" s="182">
        <f t="shared" si="0"/>
        <v>1571545</v>
      </c>
      <c r="E3" s="182">
        <f t="shared" si="0"/>
        <v>24</v>
      </c>
      <c r="F3" s="182">
        <f t="shared" si="0"/>
        <v>1556997</v>
      </c>
      <c r="G3" s="185">
        <f>IF(D3&lt;&gt;0,F3/D3,"")</f>
        <v>0.99074286768753039</v>
      </c>
      <c r="H3" s="181">
        <f t="shared" si="0"/>
        <v>0</v>
      </c>
      <c r="I3" s="182">
        <f t="shared" si="0"/>
        <v>0</v>
      </c>
      <c r="J3" s="182">
        <f t="shared" si="0"/>
        <v>0</v>
      </c>
      <c r="K3" s="182">
        <f t="shared" si="0"/>
        <v>0</v>
      </c>
      <c r="L3" s="182">
        <f t="shared" si="0"/>
        <v>0</v>
      </c>
      <c r="M3" s="183" t="str">
        <f>IF(J3&lt;&gt;0,L3/J3,"")</f>
        <v/>
      </c>
      <c r="N3" s="184">
        <f t="shared" si="0"/>
        <v>0</v>
      </c>
      <c r="O3" s="182">
        <f t="shared" si="0"/>
        <v>0</v>
      </c>
      <c r="P3" s="182">
        <f t="shared" si="0"/>
        <v>0</v>
      </c>
      <c r="Q3" s="182">
        <f t="shared" si="0"/>
        <v>0</v>
      </c>
      <c r="R3" s="182">
        <f t="shared" si="0"/>
        <v>0</v>
      </c>
      <c r="S3" s="183" t="str">
        <f>IF(P3&lt;&gt;0,R3/P3,"")</f>
        <v/>
      </c>
    </row>
    <row r="4" spans="1:19" ht="14.4" customHeight="1" x14ac:dyDescent="0.3">
      <c r="A4" s="348" t="s">
        <v>80</v>
      </c>
      <c r="B4" s="349" t="s">
        <v>74</v>
      </c>
      <c r="C4" s="350"/>
      <c r="D4" s="350"/>
      <c r="E4" s="350"/>
      <c r="F4" s="350"/>
      <c r="G4" s="352"/>
      <c r="H4" s="349" t="s">
        <v>75</v>
      </c>
      <c r="I4" s="350"/>
      <c r="J4" s="350"/>
      <c r="K4" s="350"/>
      <c r="L4" s="350"/>
      <c r="M4" s="352"/>
      <c r="N4" s="349" t="s">
        <v>76</v>
      </c>
      <c r="O4" s="350"/>
      <c r="P4" s="350"/>
      <c r="Q4" s="350"/>
      <c r="R4" s="350"/>
      <c r="S4" s="352"/>
    </row>
    <row r="5" spans="1:19" ht="14.4" customHeight="1" thickBot="1" x14ac:dyDescent="0.35">
      <c r="A5" s="401"/>
      <c r="B5" s="402">
        <v>2015</v>
      </c>
      <c r="C5" s="403"/>
      <c r="D5" s="403">
        <v>2018</v>
      </c>
      <c r="E5" s="403"/>
      <c r="F5" s="403">
        <v>2019</v>
      </c>
      <c r="G5" s="452" t="s">
        <v>2</v>
      </c>
      <c r="H5" s="402">
        <v>2015</v>
      </c>
      <c r="I5" s="403"/>
      <c r="J5" s="403">
        <v>2018</v>
      </c>
      <c r="K5" s="403"/>
      <c r="L5" s="403">
        <v>2019</v>
      </c>
      <c r="M5" s="452" t="s">
        <v>2</v>
      </c>
      <c r="N5" s="402">
        <v>2015</v>
      </c>
      <c r="O5" s="403"/>
      <c r="P5" s="403">
        <v>2018</v>
      </c>
      <c r="Q5" s="403"/>
      <c r="R5" s="403">
        <v>2019</v>
      </c>
      <c r="S5" s="452" t="s">
        <v>2</v>
      </c>
    </row>
    <row r="6" spans="1:19" ht="14.4" customHeight="1" x14ac:dyDescent="0.3">
      <c r="A6" s="429" t="s">
        <v>407</v>
      </c>
      <c r="B6" s="419">
        <v>13424</v>
      </c>
      <c r="C6" s="442">
        <v>4.8357348703170029</v>
      </c>
      <c r="D6" s="419">
        <v>2776</v>
      </c>
      <c r="E6" s="442">
        <v>1</v>
      </c>
      <c r="F6" s="419">
        <v>9450</v>
      </c>
      <c r="G6" s="443">
        <v>3.4041786743515852</v>
      </c>
      <c r="H6" s="419"/>
      <c r="I6" s="442"/>
      <c r="J6" s="419"/>
      <c r="K6" s="442"/>
      <c r="L6" s="419"/>
      <c r="M6" s="443"/>
      <c r="N6" s="419"/>
      <c r="O6" s="442"/>
      <c r="P6" s="419"/>
      <c r="Q6" s="442"/>
      <c r="R6" s="419"/>
      <c r="S6" s="453"/>
    </row>
    <row r="7" spans="1:19" ht="14.4" customHeight="1" x14ac:dyDescent="0.3">
      <c r="A7" s="430" t="s">
        <v>408</v>
      </c>
      <c r="B7" s="423">
        <v>9716</v>
      </c>
      <c r="C7" s="445">
        <v>2</v>
      </c>
      <c r="D7" s="423">
        <v>4858</v>
      </c>
      <c r="E7" s="445">
        <v>1</v>
      </c>
      <c r="F7" s="423">
        <v>57120</v>
      </c>
      <c r="G7" s="446">
        <v>11.75792507204611</v>
      </c>
      <c r="H7" s="423"/>
      <c r="I7" s="445"/>
      <c r="J7" s="423"/>
      <c r="K7" s="445"/>
      <c r="L7" s="423"/>
      <c r="M7" s="446"/>
      <c r="N7" s="423"/>
      <c r="O7" s="445"/>
      <c r="P7" s="423"/>
      <c r="Q7" s="445"/>
      <c r="R7" s="423"/>
      <c r="S7" s="454"/>
    </row>
    <row r="8" spans="1:19" ht="14.4" customHeight="1" x14ac:dyDescent="0.3">
      <c r="A8" s="430" t="s">
        <v>409</v>
      </c>
      <c r="B8" s="423">
        <v>40059</v>
      </c>
      <c r="C8" s="445">
        <v>1.1165338090194548</v>
      </c>
      <c r="D8" s="423">
        <v>35878</v>
      </c>
      <c r="E8" s="445">
        <v>1</v>
      </c>
      <c r="F8" s="423">
        <v>34592</v>
      </c>
      <c r="G8" s="446">
        <v>0.96415630748648196</v>
      </c>
      <c r="H8" s="423"/>
      <c r="I8" s="445"/>
      <c r="J8" s="423"/>
      <c r="K8" s="445"/>
      <c r="L8" s="423"/>
      <c r="M8" s="446"/>
      <c r="N8" s="423"/>
      <c r="O8" s="445"/>
      <c r="P8" s="423"/>
      <c r="Q8" s="445"/>
      <c r="R8" s="423"/>
      <c r="S8" s="454"/>
    </row>
    <row r="9" spans="1:19" ht="14.4" customHeight="1" x14ac:dyDescent="0.3">
      <c r="A9" s="430" t="s">
        <v>410</v>
      </c>
      <c r="B9" s="423">
        <v>26372</v>
      </c>
      <c r="C9" s="445">
        <v>0.66666666666666663</v>
      </c>
      <c r="D9" s="423">
        <v>39558</v>
      </c>
      <c r="E9" s="445">
        <v>1</v>
      </c>
      <c r="F9" s="423">
        <v>35350</v>
      </c>
      <c r="G9" s="446">
        <v>0.89362455129177409</v>
      </c>
      <c r="H9" s="423"/>
      <c r="I9" s="445"/>
      <c r="J9" s="423"/>
      <c r="K9" s="445"/>
      <c r="L9" s="423"/>
      <c r="M9" s="446"/>
      <c r="N9" s="423"/>
      <c r="O9" s="445"/>
      <c r="P9" s="423"/>
      <c r="Q9" s="445"/>
      <c r="R9" s="423"/>
      <c r="S9" s="454"/>
    </row>
    <row r="10" spans="1:19" ht="14.4" customHeight="1" x14ac:dyDescent="0.3">
      <c r="A10" s="430" t="s">
        <v>411</v>
      </c>
      <c r="B10" s="423">
        <v>2776</v>
      </c>
      <c r="C10" s="445">
        <v>0.18454992687142668</v>
      </c>
      <c r="D10" s="423">
        <v>15042</v>
      </c>
      <c r="E10" s="445">
        <v>1</v>
      </c>
      <c r="F10" s="423">
        <v>2800</v>
      </c>
      <c r="G10" s="446">
        <v>0.18614545938040153</v>
      </c>
      <c r="H10" s="423"/>
      <c r="I10" s="445"/>
      <c r="J10" s="423"/>
      <c r="K10" s="445"/>
      <c r="L10" s="423"/>
      <c r="M10" s="446"/>
      <c r="N10" s="423"/>
      <c r="O10" s="445"/>
      <c r="P10" s="423"/>
      <c r="Q10" s="445"/>
      <c r="R10" s="423"/>
      <c r="S10" s="454"/>
    </row>
    <row r="11" spans="1:19" ht="14.4" customHeight="1" x14ac:dyDescent="0.3">
      <c r="A11" s="430" t="s">
        <v>412</v>
      </c>
      <c r="B11" s="423"/>
      <c r="C11" s="445"/>
      <c r="D11" s="423">
        <v>3486</v>
      </c>
      <c r="E11" s="445">
        <v>1</v>
      </c>
      <c r="F11" s="423"/>
      <c r="G11" s="446"/>
      <c r="H11" s="423"/>
      <c r="I11" s="445"/>
      <c r="J11" s="423"/>
      <c r="K11" s="445"/>
      <c r="L11" s="423"/>
      <c r="M11" s="446"/>
      <c r="N11" s="423"/>
      <c r="O11" s="445"/>
      <c r="P11" s="423"/>
      <c r="Q11" s="445"/>
      <c r="R11" s="423"/>
      <c r="S11" s="454"/>
    </row>
    <row r="12" spans="1:19" ht="14.4" customHeight="1" x14ac:dyDescent="0.3">
      <c r="A12" s="430" t="s">
        <v>413</v>
      </c>
      <c r="B12" s="423">
        <v>3470</v>
      </c>
      <c r="C12" s="445">
        <v>0.625</v>
      </c>
      <c r="D12" s="423">
        <v>5552</v>
      </c>
      <c r="E12" s="445">
        <v>1</v>
      </c>
      <c r="F12" s="423">
        <v>35000</v>
      </c>
      <c r="G12" s="446">
        <v>6.304034582132565</v>
      </c>
      <c r="H12" s="423"/>
      <c r="I12" s="445"/>
      <c r="J12" s="423"/>
      <c r="K12" s="445"/>
      <c r="L12" s="423"/>
      <c r="M12" s="446"/>
      <c r="N12" s="423"/>
      <c r="O12" s="445"/>
      <c r="P12" s="423"/>
      <c r="Q12" s="445"/>
      <c r="R12" s="423"/>
      <c r="S12" s="454"/>
    </row>
    <row r="13" spans="1:19" ht="14.4" customHeight="1" x14ac:dyDescent="0.3">
      <c r="A13" s="430" t="s">
        <v>414</v>
      </c>
      <c r="B13" s="423">
        <v>149904</v>
      </c>
      <c r="C13" s="445">
        <v>1.3609449190627072</v>
      </c>
      <c r="D13" s="423">
        <v>110147</v>
      </c>
      <c r="E13" s="445">
        <v>1</v>
      </c>
      <c r="F13" s="423">
        <v>129650</v>
      </c>
      <c r="G13" s="446">
        <v>1.1770633789390541</v>
      </c>
      <c r="H13" s="423"/>
      <c r="I13" s="445"/>
      <c r="J13" s="423"/>
      <c r="K13" s="445"/>
      <c r="L13" s="423"/>
      <c r="M13" s="446"/>
      <c r="N13" s="423"/>
      <c r="O13" s="445"/>
      <c r="P13" s="423"/>
      <c r="Q13" s="445"/>
      <c r="R13" s="423"/>
      <c r="S13" s="454"/>
    </row>
    <row r="14" spans="1:19" ht="14.4" customHeight="1" x14ac:dyDescent="0.3">
      <c r="A14" s="430" t="s">
        <v>415</v>
      </c>
      <c r="B14" s="423"/>
      <c r="C14" s="445"/>
      <c r="D14" s="423">
        <v>1388</v>
      </c>
      <c r="E14" s="445">
        <v>1</v>
      </c>
      <c r="F14" s="423"/>
      <c r="G14" s="446"/>
      <c r="H14" s="423"/>
      <c r="I14" s="445"/>
      <c r="J14" s="423"/>
      <c r="K14" s="445"/>
      <c r="L14" s="423"/>
      <c r="M14" s="446"/>
      <c r="N14" s="423"/>
      <c r="O14" s="445"/>
      <c r="P14" s="423"/>
      <c r="Q14" s="445"/>
      <c r="R14" s="423"/>
      <c r="S14" s="454"/>
    </row>
    <row r="15" spans="1:19" ht="14.4" customHeight="1" x14ac:dyDescent="0.3">
      <c r="A15" s="430" t="s">
        <v>416</v>
      </c>
      <c r="B15" s="423">
        <v>290686</v>
      </c>
      <c r="C15" s="445">
        <v>0.88006660611565246</v>
      </c>
      <c r="D15" s="423">
        <v>330300</v>
      </c>
      <c r="E15" s="445">
        <v>1</v>
      </c>
      <c r="F15" s="423">
        <v>293734</v>
      </c>
      <c r="G15" s="446">
        <v>0.88929458068422651</v>
      </c>
      <c r="H15" s="423"/>
      <c r="I15" s="445"/>
      <c r="J15" s="423"/>
      <c r="K15" s="445"/>
      <c r="L15" s="423"/>
      <c r="M15" s="446"/>
      <c r="N15" s="423"/>
      <c r="O15" s="445"/>
      <c r="P15" s="423"/>
      <c r="Q15" s="445"/>
      <c r="R15" s="423"/>
      <c r="S15" s="454"/>
    </row>
    <row r="16" spans="1:19" ht="14.4" customHeight="1" x14ac:dyDescent="0.3">
      <c r="A16" s="430" t="s">
        <v>417</v>
      </c>
      <c r="B16" s="423">
        <v>23596</v>
      </c>
      <c r="C16" s="445">
        <v>8.5</v>
      </c>
      <c r="D16" s="423">
        <v>2776</v>
      </c>
      <c r="E16" s="445">
        <v>1</v>
      </c>
      <c r="F16" s="423"/>
      <c r="G16" s="446"/>
      <c r="H16" s="423"/>
      <c r="I16" s="445"/>
      <c r="J16" s="423"/>
      <c r="K16" s="445"/>
      <c r="L16" s="423"/>
      <c r="M16" s="446"/>
      <c r="N16" s="423"/>
      <c r="O16" s="445"/>
      <c r="P16" s="423"/>
      <c r="Q16" s="445"/>
      <c r="R16" s="423"/>
      <c r="S16" s="454"/>
    </row>
    <row r="17" spans="1:19" ht="14.4" customHeight="1" x14ac:dyDescent="0.3">
      <c r="A17" s="430" t="s">
        <v>418</v>
      </c>
      <c r="B17" s="423">
        <v>6940</v>
      </c>
      <c r="C17" s="445"/>
      <c r="D17" s="423"/>
      <c r="E17" s="445"/>
      <c r="F17" s="423"/>
      <c r="G17" s="446"/>
      <c r="H17" s="423"/>
      <c r="I17" s="445"/>
      <c r="J17" s="423"/>
      <c r="K17" s="445"/>
      <c r="L17" s="423"/>
      <c r="M17" s="446"/>
      <c r="N17" s="423"/>
      <c r="O17" s="445"/>
      <c r="P17" s="423"/>
      <c r="Q17" s="445"/>
      <c r="R17" s="423"/>
      <c r="S17" s="454"/>
    </row>
    <row r="18" spans="1:19" ht="14.4" customHeight="1" x14ac:dyDescent="0.3">
      <c r="A18" s="430" t="s">
        <v>419</v>
      </c>
      <c r="B18" s="423"/>
      <c r="C18" s="445"/>
      <c r="D18" s="423">
        <v>8328</v>
      </c>
      <c r="E18" s="445">
        <v>1</v>
      </c>
      <c r="F18" s="423">
        <v>15400</v>
      </c>
      <c r="G18" s="446">
        <v>1.8491834774255524</v>
      </c>
      <c r="H18" s="423"/>
      <c r="I18" s="445"/>
      <c r="J18" s="423"/>
      <c r="K18" s="445"/>
      <c r="L18" s="423"/>
      <c r="M18" s="446"/>
      <c r="N18" s="423"/>
      <c r="O18" s="445"/>
      <c r="P18" s="423"/>
      <c r="Q18" s="445"/>
      <c r="R18" s="423"/>
      <c r="S18" s="454"/>
    </row>
    <row r="19" spans="1:19" ht="14.4" customHeight="1" x14ac:dyDescent="0.3">
      <c r="A19" s="430" t="s">
        <v>420</v>
      </c>
      <c r="B19" s="423"/>
      <c r="C19" s="445"/>
      <c r="D19" s="423">
        <v>2776</v>
      </c>
      <c r="E19" s="445">
        <v>1</v>
      </c>
      <c r="F19" s="423"/>
      <c r="G19" s="446"/>
      <c r="H19" s="423"/>
      <c r="I19" s="445"/>
      <c r="J19" s="423"/>
      <c r="K19" s="445"/>
      <c r="L19" s="423"/>
      <c r="M19" s="446"/>
      <c r="N19" s="423"/>
      <c r="O19" s="445"/>
      <c r="P19" s="423"/>
      <c r="Q19" s="445"/>
      <c r="R19" s="423"/>
      <c r="S19" s="454"/>
    </row>
    <row r="20" spans="1:19" ht="14.4" customHeight="1" x14ac:dyDescent="0.3">
      <c r="A20" s="430" t="s">
        <v>421</v>
      </c>
      <c r="B20" s="423">
        <v>115839</v>
      </c>
      <c r="C20" s="445">
        <v>1.4314718930341188</v>
      </c>
      <c r="D20" s="423">
        <v>80923</v>
      </c>
      <c r="E20" s="445">
        <v>1</v>
      </c>
      <c r="F20" s="423">
        <v>151919</v>
      </c>
      <c r="G20" s="446">
        <v>1.8773278301595344</v>
      </c>
      <c r="H20" s="423"/>
      <c r="I20" s="445"/>
      <c r="J20" s="423"/>
      <c r="K20" s="445"/>
      <c r="L20" s="423"/>
      <c r="M20" s="446"/>
      <c r="N20" s="423"/>
      <c r="O20" s="445"/>
      <c r="P20" s="423"/>
      <c r="Q20" s="445"/>
      <c r="R20" s="423"/>
      <c r="S20" s="454"/>
    </row>
    <row r="21" spans="1:19" ht="14.4" customHeight="1" x14ac:dyDescent="0.3">
      <c r="A21" s="430" t="s">
        <v>422</v>
      </c>
      <c r="B21" s="423">
        <v>247290</v>
      </c>
      <c r="C21" s="445">
        <v>0.90143586715221502</v>
      </c>
      <c r="D21" s="423">
        <v>274329</v>
      </c>
      <c r="E21" s="445">
        <v>1</v>
      </c>
      <c r="F21" s="423">
        <v>171936</v>
      </c>
      <c r="G21" s="446">
        <v>0.62675109084347624</v>
      </c>
      <c r="H21" s="423"/>
      <c r="I21" s="445"/>
      <c r="J21" s="423"/>
      <c r="K21" s="445"/>
      <c r="L21" s="423"/>
      <c r="M21" s="446"/>
      <c r="N21" s="423"/>
      <c r="O21" s="445"/>
      <c r="P21" s="423"/>
      <c r="Q21" s="445"/>
      <c r="R21" s="423"/>
      <c r="S21" s="454"/>
    </row>
    <row r="22" spans="1:19" ht="14.4" customHeight="1" x14ac:dyDescent="0.3">
      <c r="A22" s="430" t="s">
        <v>423</v>
      </c>
      <c r="B22" s="423">
        <v>3470</v>
      </c>
      <c r="C22" s="445">
        <v>0.84924131179637785</v>
      </c>
      <c r="D22" s="423">
        <v>4086</v>
      </c>
      <c r="E22" s="445">
        <v>1</v>
      </c>
      <c r="F22" s="423"/>
      <c r="G22" s="446"/>
      <c r="H22" s="423"/>
      <c r="I22" s="445"/>
      <c r="J22" s="423"/>
      <c r="K22" s="445"/>
      <c r="L22" s="423"/>
      <c r="M22" s="446"/>
      <c r="N22" s="423"/>
      <c r="O22" s="445"/>
      <c r="P22" s="423"/>
      <c r="Q22" s="445"/>
      <c r="R22" s="423"/>
      <c r="S22" s="454"/>
    </row>
    <row r="23" spans="1:19" ht="14.4" customHeight="1" x14ac:dyDescent="0.3">
      <c r="A23" s="430" t="s">
        <v>424</v>
      </c>
      <c r="B23" s="423"/>
      <c r="C23" s="445"/>
      <c r="D23" s="423">
        <v>1388</v>
      </c>
      <c r="E23" s="445">
        <v>1</v>
      </c>
      <c r="F23" s="423">
        <v>1400</v>
      </c>
      <c r="G23" s="446">
        <v>1.0086455331412103</v>
      </c>
      <c r="H23" s="423"/>
      <c r="I23" s="445"/>
      <c r="J23" s="423"/>
      <c r="K23" s="445"/>
      <c r="L23" s="423"/>
      <c r="M23" s="446"/>
      <c r="N23" s="423"/>
      <c r="O23" s="445"/>
      <c r="P23" s="423"/>
      <c r="Q23" s="445"/>
      <c r="R23" s="423"/>
      <c r="S23" s="454"/>
    </row>
    <row r="24" spans="1:19" ht="14.4" customHeight="1" x14ac:dyDescent="0.3">
      <c r="A24" s="430" t="s">
        <v>425</v>
      </c>
      <c r="B24" s="423">
        <v>124960</v>
      </c>
      <c r="C24" s="445">
        <v>0.82744007416236265</v>
      </c>
      <c r="D24" s="423">
        <v>151020</v>
      </c>
      <c r="E24" s="445">
        <v>1</v>
      </c>
      <c r="F24" s="423">
        <v>127772</v>
      </c>
      <c r="G24" s="446">
        <v>0.84606012448682288</v>
      </c>
      <c r="H24" s="423"/>
      <c r="I24" s="445"/>
      <c r="J24" s="423"/>
      <c r="K24" s="445"/>
      <c r="L24" s="423"/>
      <c r="M24" s="446"/>
      <c r="N24" s="423"/>
      <c r="O24" s="445"/>
      <c r="P24" s="423"/>
      <c r="Q24" s="445"/>
      <c r="R24" s="423"/>
      <c r="S24" s="454"/>
    </row>
    <row r="25" spans="1:19" ht="14.4" customHeight="1" x14ac:dyDescent="0.3">
      <c r="A25" s="430" t="s">
        <v>426</v>
      </c>
      <c r="B25" s="423">
        <v>186686</v>
      </c>
      <c r="C25" s="445">
        <v>1.2038976449041712</v>
      </c>
      <c r="D25" s="423">
        <v>155068</v>
      </c>
      <c r="E25" s="445">
        <v>1</v>
      </c>
      <c r="F25" s="423">
        <v>79866</v>
      </c>
      <c r="G25" s="446">
        <v>0.51503856372688106</v>
      </c>
      <c r="H25" s="423"/>
      <c r="I25" s="445"/>
      <c r="J25" s="423"/>
      <c r="K25" s="445"/>
      <c r="L25" s="423"/>
      <c r="M25" s="446"/>
      <c r="N25" s="423"/>
      <c r="O25" s="445"/>
      <c r="P25" s="423"/>
      <c r="Q25" s="445"/>
      <c r="R25" s="423"/>
      <c r="S25" s="454"/>
    </row>
    <row r="26" spans="1:19" ht="14.4" customHeight="1" x14ac:dyDescent="0.3">
      <c r="A26" s="430" t="s">
        <v>427</v>
      </c>
      <c r="B26" s="423">
        <v>44694</v>
      </c>
      <c r="C26" s="445">
        <v>1.0181329445532825</v>
      </c>
      <c r="D26" s="423">
        <v>43898</v>
      </c>
      <c r="E26" s="445">
        <v>1</v>
      </c>
      <c r="F26" s="423">
        <v>114747</v>
      </c>
      <c r="G26" s="446">
        <v>2.6139459656476376</v>
      </c>
      <c r="H26" s="423"/>
      <c r="I26" s="445"/>
      <c r="J26" s="423"/>
      <c r="K26" s="445"/>
      <c r="L26" s="423"/>
      <c r="M26" s="446"/>
      <c r="N26" s="423"/>
      <c r="O26" s="445"/>
      <c r="P26" s="423"/>
      <c r="Q26" s="445"/>
      <c r="R26" s="423"/>
      <c r="S26" s="454"/>
    </row>
    <row r="27" spans="1:19" ht="14.4" customHeight="1" x14ac:dyDescent="0.3">
      <c r="A27" s="430" t="s">
        <v>428</v>
      </c>
      <c r="B27" s="423">
        <v>43722</v>
      </c>
      <c r="C27" s="445">
        <v>1.26</v>
      </c>
      <c r="D27" s="423">
        <v>34700</v>
      </c>
      <c r="E27" s="445">
        <v>1</v>
      </c>
      <c r="F27" s="423">
        <v>20300</v>
      </c>
      <c r="G27" s="446">
        <v>0.58501440922190207</v>
      </c>
      <c r="H27" s="423"/>
      <c r="I27" s="445"/>
      <c r="J27" s="423"/>
      <c r="K27" s="445"/>
      <c r="L27" s="423"/>
      <c r="M27" s="446"/>
      <c r="N27" s="423"/>
      <c r="O27" s="445"/>
      <c r="P27" s="423"/>
      <c r="Q27" s="445"/>
      <c r="R27" s="423"/>
      <c r="S27" s="454"/>
    </row>
    <row r="28" spans="1:19" ht="14.4" customHeight="1" x14ac:dyDescent="0.3">
      <c r="A28" s="430" t="s">
        <v>429</v>
      </c>
      <c r="B28" s="423">
        <v>254351</v>
      </c>
      <c r="C28" s="445">
        <v>1.0431232467724207</v>
      </c>
      <c r="D28" s="423">
        <v>243836</v>
      </c>
      <c r="E28" s="445">
        <v>1</v>
      </c>
      <c r="F28" s="423">
        <v>274561</v>
      </c>
      <c r="G28" s="446">
        <v>1.1260068242589281</v>
      </c>
      <c r="H28" s="423"/>
      <c r="I28" s="445"/>
      <c r="J28" s="423"/>
      <c r="K28" s="445"/>
      <c r="L28" s="423"/>
      <c r="M28" s="446"/>
      <c r="N28" s="423"/>
      <c r="O28" s="445"/>
      <c r="P28" s="423"/>
      <c r="Q28" s="445"/>
      <c r="R28" s="423"/>
      <c r="S28" s="454"/>
    </row>
    <row r="29" spans="1:19" ht="14.4" customHeight="1" x14ac:dyDescent="0.3">
      <c r="A29" s="430" t="s">
        <v>430</v>
      </c>
      <c r="B29" s="423">
        <v>11178</v>
      </c>
      <c r="C29" s="445">
        <v>1.0066642651296831</v>
      </c>
      <c r="D29" s="423">
        <v>11104</v>
      </c>
      <c r="E29" s="445">
        <v>1</v>
      </c>
      <c r="F29" s="423"/>
      <c r="G29" s="446"/>
      <c r="H29" s="423"/>
      <c r="I29" s="445"/>
      <c r="J29" s="423"/>
      <c r="K29" s="445"/>
      <c r="L29" s="423"/>
      <c r="M29" s="446"/>
      <c r="N29" s="423"/>
      <c r="O29" s="445"/>
      <c r="P29" s="423"/>
      <c r="Q29" s="445"/>
      <c r="R29" s="423"/>
      <c r="S29" s="454"/>
    </row>
    <row r="30" spans="1:19" ht="14.4" customHeight="1" thickBot="1" x14ac:dyDescent="0.35">
      <c r="A30" s="431" t="s">
        <v>431</v>
      </c>
      <c r="B30" s="427">
        <v>14227</v>
      </c>
      <c r="C30" s="448">
        <v>1.7083333333333333</v>
      </c>
      <c r="D30" s="427">
        <v>8328</v>
      </c>
      <c r="E30" s="448">
        <v>1</v>
      </c>
      <c r="F30" s="427">
        <v>1400</v>
      </c>
      <c r="G30" s="449">
        <v>0.16810758885686838</v>
      </c>
      <c r="H30" s="427"/>
      <c r="I30" s="448"/>
      <c r="J30" s="427"/>
      <c r="K30" s="448"/>
      <c r="L30" s="427"/>
      <c r="M30" s="449"/>
      <c r="N30" s="427"/>
      <c r="O30" s="448"/>
      <c r="P30" s="427"/>
      <c r="Q30" s="448"/>
      <c r="R30" s="427"/>
      <c r="S30" s="45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1" bestFit="1" customWidth="1"/>
    <col min="2" max="2" width="8.6640625" style="101" bestFit="1" customWidth="1"/>
    <col min="3" max="3" width="2.109375" style="101" bestFit="1" customWidth="1"/>
    <col min="4" max="4" width="8" style="101" bestFit="1" customWidth="1"/>
    <col min="5" max="5" width="52.88671875" style="101" bestFit="1" customWidth="1" collapsed="1"/>
    <col min="6" max="7" width="11.109375" style="176" hidden="1" customWidth="1" outlineLevel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1"/>
  </cols>
  <sheetData>
    <row r="1" spans="1:17" ht="18.600000000000001" customHeight="1" thickBot="1" x14ac:dyDescent="0.4">
      <c r="A1" s="275" t="s">
        <v>456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ht="14.4" customHeight="1" thickBot="1" x14ac:dyDescent="0.35">
      <c r="A2" s="192" t="s">
        <v>206</v>
      </c>
      <c r="B2" s="102"/>
      <c r="C2" s="102"/>
      <c r="D2" s="102"/>
      <c r="E2" s="102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9"/>
      <c r="Q2" s="188"/>
    </row>
    <row r="3" spans="1:17" ht="14.4" customHeight="1" thickBot="1" x14ac:dyDescent="0.35">
      <c r="E3" s="62" t="s">
        <v>98</v>
      </c>
      <c r="F3" s="74">
        <f t="shared" ref="F3:O3" si="0">SUBTOTAL(9,F6:F1048576)</f>
        <v>4233</v>
      </c>
      <c r="G3" s="75">
        <f t="shared" si="0"/>
        <v>1613360</v>
      </c>
      <c r="H3" s="75"/>
      <c r="I3" s="75"/>
      <c r="J3" s="75">
        <f t="shared" si="0"/>
        <v>4062</v>
      </c>
      <c r="K3" s="75">
        <f t="shared" si="0"/>
        <v>1571545</v>
      </c>
      <c r="L3" s="75"/>
      <c r="M3" s="75"/>
      <c r="N3" s="75">
        <f t="shared" si="0"/>
        <v>4103</v>
      </c>
      <c r="O3" s="75">
        <f t="shared" si="0"/>
        <v>1556997</v>
      </c>
      <c r="P3" s="58">
        <f>IF(K3=0,0,O3/K3)</f>
        <v>0.99074286768753039</v>
      </c>
      <c r="Q3" s="76">
        <f>IF(N3=0,0,O3/N3)</f>
        <v>379.47769924445527</v>
      </c>
    </row>
    <row r="4" spans="1:17" ht="14.4" customHeight="1" x14ac:dyDescent="0.3">
      <c r="A4" s="357" t="s">
        <v>44</v>
      </c>
      <c r="B4" s="355" t="s">
        <v>70</v>
      </c>
      <c r="C4" s="357" t="s">
        <v>71</v>
      </c>
      <c r="D4" s="366" t="s">
        <v>72</v>
      </c>
      <c r="E4" s="358" t="s">
        <v>45</v>
      </c>
      <c r="F4" s="364">
        <v>2015</v>
      </c>
      <c r="G4" s="365"/>
      <c r="H4" s="77"/>
      <c r="I4" s="77"/>
      <c r="J4" s="364">
        <v>2018</v>
      </c>
      <c r="K4" s="365"/>
      <c r="L4" s="77"/>
      <c r="M4" s="77"/>
      <c r="N4" s="364">
        <v>2019</v>
      </c>
      <c r="O4" s="365"/>
      <c r="P4" s="367" t="s">
        <v>2</v>
      </c>
      <c r="Q4" s="356" t="s">
        <v>73</v>
      </c>
    </row>
    <row r="5" spans="1:17" ht="14.4" customHeight="1" thickBot="1" x14ac:dyDescent="0.35">
      <c r="A5" s="434"/>
      <c r="B5" s="432"/>
      <c r="C5" s="434"/>
      <c r="D5" s="456"/>
      <c r="E5" s="436"/>
      <c r="F5" s="457" t="s">
        <v>47</v>
      </c>
      <c r="G5" s="458" t="s">
        <v>4</v>
      </c>
      <c r="H5" s="459"/>
      <c r="I5" s="459"/>
      <c r="J5" s="457" t="s">
        <v>47</v>
      </c>
      <c r="K5" s="458" t="s">
        <v>4</v>
      </c>
      <c r="L5" s="459"/>
      <c r="M5" s="459"/>
      <c r="N5" s="457" t="s">
        <v>47</v>
      </c>
      <c r="O5" s="458" t="s">
        <v>4</v>
      </c>
      <c r="P5" s="460"/>
      <c r="Q5" s="441"/>
    </row>
    <row r="6" spans="1:17" ht="14.4" customHeight="1" x14ac:dyDescent="0.3">
      <c r="A6" s="417" t="s">
        <v>432</v>
      </c>
      <c r="B6" s="442" t="s">
        <v>379</v>
      </c>
      <c r="C6" s="442" t="s">
        <v>380</v>
      </c>
      <c r="D6" s="442" t="s">
        <v>383</v>
      </c>
      <c r="E6" s="442" t="s">
        <v>384</v>
      </c>
      <c r="F6" s="418">
        <v>24</v>
      </c>
      <c r="G6" s="418">
        <v>8328</v>
      </c>
      <c r="H6" s="418">
        <v>3</v>
      </c>
      <c r="I6" s="418">
        <v>347</v>
      </c>
      <c r="J6" s="418">
        <v>8</v>
      </c>
      <c r="K6" s="418">
        <v>2776</v>
      </c>
      <c r="L6" s="418">
        <v>1</v>
      </c>
      <c r="M6" s="418">
        <v>347</v>
      </c>
      <c r="N6" s="418">
        <v>27</v>
      </c>
      <c r="O6" s="418">
        <v>9450</v>
      </c>
      <c r="P6" s="443">
        <v>3.4041786743515852</v>
      </c>
      <c r="Q6" s="444">
        <v>350</v>
      </c>
    </row>
    <row r="7" spans="1:17" ht="14.4" customHeight="1" x14ac:dyDescent="0.3">
      <c r="A7" s="421" t="s">
        <v>432</v>
      </c>
      <c r="B7" s="445" t="s">
        <v>379</v>
      </c>
      <c r="C7" s="445" t="s">
        <v>380</v>
      </c>
      <c r="D7" s="445" t="s">
        <v>389</v>
      </c>
      <c r="E7" s="445" t="s">
        <v>390</v>
      </c>
      <c r="F7" s="422">
        <v>8</v>
      </c>
      <c r="G7" s="422">
        <v>2776</v>
      </c>
      <c r="H7" s="422"/>
      <c r="I7" s="422">
        <v>347</v>
      </c>
      <c r="J7" s="422"/>
      <c r="K7" s="422"/>
      <c r="L7" s="422"/>
      <c r="M7" s="422"/>
      <c r="N7" s="422"/>
      <c r="O7" s="422"/>
      <c r="P7" s="446"/>
      <c r="Q7" s="447"/>
    </row>
    <row r="8" spans="1:17" ht="14.4" customHeight="1" x14ac:dyDescent="0.3">
      <c r="A8" s="421" t="s">
        <v>432</v>
      </c>
      <c r="B8" s="445" t="s">
        <v>379</v>
      </c>
      <c r="C8" s="445" t="s">
        <v>380</v>
      </c>
      <c r="D8" s="445" t="s">
        <v>393</v>
      </c>
      <c r="E8" s="445" t="s">
        <v>394</v>
      </c>
      <c r="F8" s="422">
        <v>4</v>
      </c>
      <c r="G8" s="422">
        <v>2320</v>
      </c>
      <c r="H8" s="422"/>
      <c r="I8" s="422">
        <v>580</v>
      </c>
      <c r="J8" s="422"/>
      <c r="K8" s="422"/>
      <c r="L8" s="422"/>
      <c r="M8" s="422"/>
      <c r="N8" s="422"/>
      <c r="O8" s="422"/>
      <c r="P8" s="446"/>
      <c r="Q8" s="447"/>
    </row>
    <row r="9" spans="1:17" ht="14.4" customHeight="1" x14ac:dyDescent="0.3">
      <c r="A9" s="421" t="s">
        <v>433</v>
      </c>
      <c r="B9" s="445" t="s">
        <v>379</v>
      </c>
      <c r="C9" s="445" t="s">
        <v>380</v>
      </c>
      <c r="D9" s="445" t="s">
        <v>381</v>
      </c>
      <c r="E9" s="445" t="s">
        <v>382</v>
      </c>
      <c r="F9" s="422"/>
      <c r="G9" s="422"/>
      <c r="H9" s="422"/>
      <c r="I9" s="422"/>
      <c r="J9" s="422"/>
      <c r="K9" s="422"/>
      <c r="L9" s="422"/>
      <c r="M9" s="422"/>
      <c r="N9" s="422">
        <v>2</v>
      </c>
      <c r="O9" s="422">
        <v>150</v>
      </c>
      <c r="P9" s="446"/>
      <c r="Q9" s="447">
        <v>75</v>
      </c>
    </row>
    <row r="10" spans="1:17" ht="14.4" customHeight="1" x14ac:dyDescent="0.3">
      <c r="A10" s="421" t="s">
        <v>433</v>
      </c>
      <c r="B10" s="445" t="s">
        <v>379</v>
      </c>
      <c r="C10" s="445" t="s">
        <v>380</v>
      </c>
      <c r="D10" s="445" t="s">
        <v>383</v>
      </c>
      <c r="E10" s="445" t="s">
        <v>384</v>
      </c>
      <c r="F10" s="422">
        <v>28</v>
      </c>
      <c r="G10" s="422">
        <v>9716</v>
      </c>
      <c r="H10" s="422">
        <v>2</v>
      </c>
      <c r="I10" s="422">
        <v>347</v>
      </c>
      <c r="J10" s="422">
        <v>14</v>
      </c>
      <c r="K10" s="422">
        <v>4858</v>
      </c>
      <c r="L10" s="422">
        <v>1</v>
      </c>
      <c r="M10" s="422">
        <v>347</v>
      </c>
      <c r="N10" s="422">
        <v>142</v>
      </c>
      <c r="O10" s="422">
        <v>49700</v>
      </c>
      <c r="P10" s="446">
        <v>10.230547550432277</v>
      </c>
      <c r="Q10" s="447">
        <v>350</v>
      </c>
    </row>
    <row r="11" spans="1:17" ht="14.4" customHeight="1" x14ac:dyDescent="0.3">
      <c r="A11" s="421" t="s">
        <v>433</v>
      </c>
      <c r="B11" s="445" t="s">
        <v>379</v>
      </c>
      <c r="C11" s="445" t="s">
        <v>380</v>
      </c>
      <c r="D11" s="445" t="s">
        <v>389</v>
      </c>
      <c r="E11" s="445" t="s">
        <v>390</v>
      </c>
      <c r="F11" s="422"/>
      <c r="G11" s="422"/>
      <c r="H11" s="422"/>
      <c r="I11" s="422"/>
      <c r="J11" s="422"/>
      <c r="K11" s="422"/>
      <c r="L11" s="422"/>
      <c r="M11" s="422"/>
      <c r="N11" s="422">
        <v>4</v>
      </c>
      <c r="O11" s="422">
        <v>1400</v>
      </c>
      <c r="P11" s="446"/>
      <c r="Q11" s="447">
        <v>350</v>
      </c>
    </row>
    <row r="12" spans="1:17" ht="14.4" customHeight="1" x14ac:dyDescent="0.3">
      <c r="A12" s="421" t="s">
        <v>433</v>
      </c>
      <c r="B12" s="445" t="s">
        <v>379</v>
      </c>
      <c r="C12" s="445" t="s">
        <v>380</v>
      </c>
      <c r="D12" s="445" t="s">
        <v>393</v>
      </c>
      <c r="E12" s="445" t="s">
        <v>394</v>
      </c>
      <c r="F12" s="422"/>
      <c r="G12" s="422"/>
      <c r="H12" s="422"/>
      <c r="I12" s="422"/>
      <c r="J12" s="422"/>
      <c r="K12" s="422"/>
      <c r="L12" s="422"/>
      <c r="M12" s="422"/>
      <c r="N12" s="422">
        <v>10</v>
      </c>
      <c r="O12" s="422">
        <v>5870</v>
      </c>
      <c r="P12" s="446"/>
      <c r="Q12" s="447">
        <v>587</v>
      </c>
    </row>
    <row r="13" spans="1:17" ht="14.4" customHeight="1" x14ac:dyDescent="0.3">
      <c r="A13" s="421" t="s">
        <v>434</v>
      </c>
      <c r="B13" s="445" t="s">
        <v>379</v>
      </c>
      <c r="C13" s="445" t="s">
        <v>380</v>
      </c>
      <c r="D13" s="445" t="s">
        <v>383</v>
      </c>
      <c r="E13" s="445" t="s">
        <v>384</v>
      </c>
      <c r="F13" s="422">
        <v>77</v>
      </c>
      <c r="G13" s="422">
        <v>26719</v>
      </c>
      <c r="H13" s="422">
        <v>0.85555555555555551</v>
      </c>
      <c r="I13" s="422">
        <v>347</v>
      </c>
      <c r="J13" s="422">
        <v>90</v>
      </c>
      <c r="K13" s="422">
        <v>31230</v>
      </c>
      <c r="L13" s="422">
        <v>1</v>
      </c>
      <c r="M13" s="422">
        <v>347</v>
      </c>
      <c r="N13" s="422">
        <v>72</v>
      </c>
      <c r="O13" s="422">
        <v>25200</v>
      </c>
      <c r="P13" s="446">
        <v>0.80691642651296835</v>
      </c>
      <c r="Q13" s="447">
        <v>350</v>
      </c>
    </row>
    <row r="14" spans="1:17" ht="14.4" customHeight="1" x14ac:dyDescent="0.3">
      <c r="A14" s="421" t="s">
        <v>434</v>
      </c>
      <c r="B14" s="445" t="s">
        <v>379</v>
      </c>
      <c r="C14" s="445" t="s">
        <v>380</v>
      </c>
      <c r="D14" s="445" t="s">
        <v>393</v>
      </c>
      <c r="E14" s="445" t="s">
        <v>394</v>
      </c>
      <c r="F14" s="422">
        <v>23</v>
      </c>
      <c r="G14" s="422">
        <v>13340</v>
      </c>
      <c r="H14" s="422">
        <v>5.7401032702237522</v>
      </c>
      <c r="I14" s="422">
        <v>580</v>
      </c>
      <c r="J14" s="422">
        <v>4</v>
      </c>
      <c r="K14" s="422">
        <v>2324</v>
      </c>
      <c r="L14" s="422">
        <v>1</v>
      </c>
      <c r="M14" s="422">
        <v>581</v>
      </c>
      <c r="N14" s="422">
        <v>16</v>
      </c>
      <c r="O14" s="422">
        <v>9392</v>
      </c>
      <c r="P14" s="446">
        <v>4.0413080895008608</v>
      </c>
      <c r="Q14" s="447">
        <v>587</v>
      </c>
    </row>
    <row r="15" spans="1:17" ht="14.4" customHeight="1" x14ac:dyDescent="0.3">
      <c r="A15" s="421" t="s">
        <v>434</v>
      </c>
      <c r="B15" s="445" t="s">
        <v>379</v>
      </c>
      <c r="C15" s="445" t="s">
        <v>380</v>
      </c>
      <c r="D15" s="445" t="s">
        <v>401</v>
      </c>
      <c r="E15" s="445" t="s">
        <v>402</v>
      </c>
      <c r="F15" s="422"/>
      <c r="G15" s="422"/>
      <c r="H15" s="422"/>
      <c r="I15" s="422"/>
      <c r="J15" s="422">
        <v>4</v>
      </c>
      <c r="K15" s="422">
        <v>2324</v>
      </c>
      <c r="L15" s="422">
        <v>1</v>
      </c>
      <c r="M15" s="422">
        <v>581</v>
      </c>
      <c r="N15" s="422"/>
      <c r="O15" s="422"/>
      <c r="P15" s="446"/>
      <c r="Q15" s="447"/>
    </row>
    <row r="16" spans="1:17" ht="14.4" customHeight="1" x14ac:dyDescent="0.3">
      <c r="A16" s="421" t="s">
        <v>435</v>
      </c>
      <c r="B16" s="445" t="s">
        <v>379</v>
      </c>
      <c r="C16" s="445" t="s">
        <v>380</v>
      </c>
      <c r="D16" s="445" t="s">
        <v>383</v>
      </c>
      <c r="E16" s="445" t="s">
        <v>384</v>
      </c>
      <c r="F16" s="422">
        <v>76</v>
      </c>
      <c r="G16" s="422">
        <v>26372</v>
      </c>
      <c r="H16" s="422">
        <v>0.66666666666666663</v>
      </c>
      <c r="I16" s="422">
        <v>347</v>
      </c>
      <c r="J16" s="422">
        <v>114</v>
      </c>
      <c r="K16" s="422">
        <v>39558</v>
      </c>
      <c r="L16" s="422">
        <v>1</v>
      </c>
      <c r="M16" s="422">
        <v>347</v>
      </c>
      <c r="N16" s="422">
        <v>101</v>
      </c>
      <c r="O16" s="422">
        <v>35350</v>
      </c>
      <c r="P16" s="446">
        <v>0.89362455129177409</v>
      </c>
      <c r="Q16" s="447">
        <v>350</v>
      </c>
    </row>
    <row r="17" spans="1:17" ht="14.4" customHeight="1" x14ac:dyDescent="0.3">
      <c r="A17" s="421" t="s">
        <v>436</v>
      </c>
      <c r="B17" s="445" t="s">
        <v>379</v>
      </c>
      <c r="C17" s="445" t="s">
        <v>380</v>
      </c>
      <c r="D17" s="445" t="s">
        <v>383</v>
      </c>
      <c r="E17" s="445" t="s">
        <v>384</v>
      </c>
      <c r="F17" s="422">
        <v>8</v>
      </c>
      <c r="G17" s="422">
        <v>2776</v>
      </c>
      <c r="H17" s="422">
        <v>0.2</v>
      </c>
      <c r="I17" s="422">
        <v>347</v>
      </c>
      <c r="J17" s="422">
        <v>40</v>
      </c>
      <c r="K17" s="422">
        <v>13880</v>
      </c>
      <c r="L17" s="422">
        <v>1</v>
      </c>
      <c r="M17" s="422">
        <v>347</v>
      </c>
      <c r="N17" s="422">
        <v>8</v>
      </c>
      <c r="O17" s="422">
        <v>2800</v>
      </c>
      <c r="P17" s="446">
        <v>0.20172910662824209</v>
      </c>
      <c r="Q17" s="447">
        <v>350</v>
      </c>
    </row>
    <row r="18" spans="1:17" ht="14.4" customHeight="1" x14ac:dyDescent="0.3">
      <c r="A18" s="421" t="s">
        <v>436</v>
      </c>
      <c r="B18" s="445" t="s">
        <v>379</v>
      </c>
      <c r="C18" s="445" t="s">
        <v>380</v>
      </c>
      <c r="D18" s="445" t="s">
        <v>393</v>
      </c>
      <c r="E18" s="445" t="s">
        <v>394</v>
      </c>
      <c r="F18" s="422"/>
      <c r="G18" s="422"/>
      <c r="H18" s="422"/>
      <c r="I18" s="422"/>
      <c r="J18" s="422">
        <v>2</v>
      </c>
      <c r="K18" s="422">
        <v>1162</v>
      </c>
      <c r="L18" s="422">
        <v>1</v>
      </c>
      <c r="M18" s="422">
        <v>581</v>
      </c>
      <c r="N18" s="422"/>
      <c r="O18" s="422"/>
      <c r="P18" s="446"/>
      <c r="Q18" s="447"/>
    </row>
    <row r="19" spans="1:17" ht="14.4" customHeight="1" x14ac:dyDescent="0.3">
      <c r="A19" s="421" t="s">
        <v>378</v>
      </c>
      <c r="B19" s="445" t="s">
        <v>379</v>
      </c>
      <c r="C19" s="445" t="s">
        <v>380</v>
      </c>
      <c r="D19" s="445" t="s">
        <v>393</v>
      </c>
      <c r="E19" s="445" t="s">
        <v>394</v>
      </c>
      <c r="F19" s="422"/>
      <c r="G19" s="422"/>
      <c r="H19" s="422"/>
      <c r="I19" s="422"/>
      <c r="J19" s="422">
        <v>6</v>
      </c>
      <c r="K19" s="422">
        <v>3486</v>
      </c>
      <c r="L19" s="422">
        <v>1</v>
      </c>
      <c r="M19" s="422">
        <v>581</v>
      </c>
      <c r="N19" s="422"/>
      <c r="O19" s="422"/>
      <c r="P19" s="446"/>
      <c r="Q19" s="447"/>
    </row>
    <row r="20" spans="1:17" ht="14.4" customHeight="1" x14ac:dyDescent="0.3">
      <c r="A20" s="421" t="s">
        <v>437</v>
      </c>
      <c r="B20" s="445" t="s">
        <v>379</v>
      </c>
      <c r="C20" s="445" t="s">
        <v>380</v>
      </c>
      <c r="D20" s="445" t="s">
        <v>383</v>
      </c>
      <c r="E20" s="445" t="s">
        <v>384</v>
      </c>
      <c r="F20" s="422">
        <v>4</v>
      </c>
      <c r="G20" s="422">
        <v>1388</v>
      </c>
      <c r="H20" s="422">
        <v>0.25</v>
      </c>
      <c r="I20" s="422">
        <v>347</v>
      </c>
      <c r="J20" s="422">
        <v>16</v>
      </c>
      <c r="K20" s="422">
        <v>5552</v>
      </c>
      <c r="L20" s="422">
        <v>1</v>
      </c>
      <c r="M20" s="422">
        <v>347</v>
      </c>
      <c r="N20" s="422">
        <v>96</v>
      </c>
      <c r="O20" s="422">
        <v>33600</v>
      </c>
      <c r="P20" s="446">
        <v>6.0518731988472618</v>
      </c>
      <c r="Q20" s="447">
        <v>350</v>
      </c>
    </row>
    <row r="21" spans="1:17" ht="14.4" customHeight="1" x14ac:dyDescent="0.3">
      <c r="A21" s="421" t="s">
        <v>437</v>
      </c>
      <c r="B21" s="445" t="s">
        <v>379</v>
      </c>
      <c r="C21" s="445" t="s">
        <v>380</v>
      </c>
      <c r="D21" s="445" t="s">
        <v>389</v>
      </c>
      <c r="E21" s="445" t="s">
        <v>390</v>
      </c>
      <c r="F21" s="422">
        <v>6</v>
      </c>
      <c r="G21" s="422">
        <v>2082</v>
      </c>
      <c r="H21" s="422"/>
      <c r="I21" s="422">
        <v>347</v>
      </c>
      <c r="J21" s="422"/>
      <c r="K21" s="422"/>
      <c r="L21" s="422"/>
      <c r="M21" s="422"/>
      <c r="N21" s="422">
        <v>4</v>
      </c>
      <c r="O21" s="422">
        <v>1400</v>
      </c>
      <c r="P21" s="446"/>
      <c r="Q21" s="447">
        <v>350</v>
      </c>
    </row>
    <row r="22" spans="1:17" ht="14.4" customHeight="1" x14ac:dyDescent="0.3">
      <c r="A22" s="421" t="s">
        <v>438</v>
      </c>
      <c r="B22" s="445" t="s">
        <v>379</v>
      </c>
      <c r="C22" s="445" t="s">
        <v>380</v>
      </c>
      <c r="D22" s="445" t="s">
        <v>381</v>
      </c>
      <c r="E22" s="445" t="s">
        <v>382</v>
      </c>
      <c r="F22" s="422"/>
      <c r="G22" s="422"/>
      <c r="H22" s="422"/>
      <c r="I22" s="422"/>
      <c r="J22" s="422">
        <v>2</v>
      </c>
      <c r="K22" s="422">
        <v>148</v>
      </c>
      <c r="L22" s="422">
        <v>1</v>
      </c>
      <c r="M22" s="422">
        <v>74</v>
      </c>
      <c r="N22" s="422">
        <v>2</v>
      </c>
      <c r="O22" s="422">
        <v>150</v>
      </c>
      <c r="P22" s="446">
        <v>1.0135135135135136</v>
      </c>
      <c r="Q22" s="447">
        <v>75</v>
      </c>
    </row>
    <row r="23" spans="1:17" ht="14.4" customHeight="1" x14ac:dyDescent="0.3">
      <c r="A23" s="421" t="s">
        <v>438</v>
      </c>
      <c r="B23" s="445" t="s">
        <v>379</v>
      </c>
      <c r="C23" s="445" t="s">
        <v>380</v>
      </c>
      <c r="D23" s="445" t="s">
        <v>383</v>
      </c>
      <c r="E23" s="445" t="s">
        <v>384</v>
      </c>
      <c r="F23" s="422">
        <v>292</v>
      </c>
      <c r="G23" s="422">
        <v>101324</v>
      </c>
      <c r="H23" s="422">
        <v>1.2920353982300885</v>
      </c>
      <c r="I23" s="422">
        <v>347</v>
      </c>
      <c r="J23" s="422">
        <v>226</v>
      </c>
      <c r="K23" s="422">
        <v>78422</v>
      </c>
      <c r="L23" s="422">
        <v>1</v>
      </c>
      <c r="M23" s="422">
        <v>347</v>
      </c>
      <c r="N23" s="422">
        <v>272</v>
      </c>
      <c r="O23" s="422">
        <v>95200</v>
      </c>
      <c r="P23" s="446">
        <v>1.213945066435439</v>
      </c>
      <c r="Q23" s="447">
        <v>350</v>
      </c>
    </row>
    <row r="24" spans="1:17" ht="14.4" customHeight="1" x14ac:dyDescent="0.3">
      <c r="A24" s="421" t="s">
        <v>438</v>
      </c>
      <c r="B24" s="445" t="s">
        <v>379</v>
      </c>
      <c r="C24" s="445" t="s">
        <v>380</v>
      </c>
      <c r="D24" s="445" t="s">
        <v>389</v>
      </c>
      <c r="E24" s="445" t="s">
        <v>390</v>
      </c>
      <c r="F24" s="422">
        <v>140</v>
      </c>
      <c r="G24" s="422">
        <v>48580</v>
      </c>
      <c r="H24" s="422">
        <v>1.5384615384615385</v>
      </c>
      <c r="I24" s="422">
        <v>347</v>
      </c>
      <c r="J24" s="422">
        <v>91</v>
      </c>
      <c r="K24" s="422">
        <v>31577</v>
      </c>
      <c r="L24" s="422">
        <v>1</v>
      </c>
      <c r="M24" s="422">
        <v>347</v>
      </c>
      <c r="N24" s="422">
        <v>98</v>
      </c>
      <c r="O24" s="422">
        <v>34300</v>
      </c>
      <c r="P24" s="446">
        <v>1.0862336510751496</v>
      </c>
      <c r="Q24" s="447">
        <v>350</v>
      </c>
    </row>
    <row r="25" spans="1:17" ht="14.4" customHeight="1" x14ac:dyDescent="0.3">
      <c r="A25" s="421" t="s">
        <v>439</v>
      </c>
      <c r="B25" s="445" t="s">
        <v>379</v>
      </c>
      <c r="C25" s="445" t="s">
        <v>380</v>
      </c>
      <c r="D25" s="445" t="s">
        <v>383</v>
      </c>
      <c r="E25" s="445" t="s">
        <v>384</v>
      </c>
      <c r="F25" s="422"/>
      <c r="G25" s="422"/>
      <c r="H25" s="422"/>
      <c r="I25" s="422"/>
      <c r="J25" s="422">
        <v>4</v>
      </c>
      <c r="K25" s="422">
        <v>1388</v>
      </c>
      <c r="L25" s="422">
        <v>1</v>
      </c>
      <c r="M25" s="422">
        <v>347</v>
      </c>
      <c r="N25" s="422"/>
      <c r="O25" s="422"/>
      <c r="P25" s="446"/>
      <c r="Q25" s="447"/>
    </row>
    <row r="26" spans="1:17" ht="14.4" customHeight="1" x14ac:dyDescent="0.3">
      <c r="A26" s="421" t="s">
        <v>440</v>
      </c>
      <c r="B26" s="445" t="s">
        <v>379</v>
      </c>
      <c r="C26" s="445" t="s">
        <v>380</v>
      </c>
      <c r="D26" s="445" t="s">
        <v>381</v>
      </c>
      <c r="E26" s="445" t="s">
        <v>382</v>
      </c>
      <c r="F26" s="422"/>
      <c r="G26" s="422"/>
      <c r="H26" s="422"/>
      <c r="I26" s="422"/>
      <c r="J26" s="422">
        <v>4</v>
      </c>
      <c r="K26" s="422">
        <v>296</v>
      </c>
      <c r="L26" s="422">
        <v>1</v>
      </c>
      <c r="M26" s="422">
        <v>74</v>
      </c>
      <c r="N26" s="422"/>
      <c r="O26" s="422"/>
      <c r="P26" s="446"/>
      <c r="Q26" s="447"/>
    </row>
    <row r="27" spans="1:17" ht="14.4" customHeight="1" x14ac:dyDescent="0.3">
      <c r="A27" s="421" t="s">
        <v>440</v>
      </c>
      <c r="B27" s="445" t="s">
        <v>379</v>
      </c>
      <c r="C27" s="445" t="s">
        <v>380</v>
      </c>
      <c r="D27" s="445" t="s">
        <v>383</v>
      </c>
      <c r="E27" s="445" t="s">
        <v>384</v>
      </c>
      <c r="F27" s="422">
        <v>482</v>
      </c>
      <c r="G27" s="422">
        <v>167254</v>
      </c>
      <c r="H27" s="422">
        <v>0.90093457943925237</v>
      </c>
      <c r="I27" s="422">
        <v>347</v>
      </c>
      <c r="J27" s="422">
        <v>535</v>
      </c>
      <c r="K27" s="422">
        <v>185645</v>
      </c>
      <c r="L27" s="422">
        <v>1</v>
      </c>
      <c r="M27" s="422">
        <v>347</v>
      </c>
      <c r="N27" s="422">
        <v>425</v>
      </c>
      <c r="O27" s="422">
        <v>148750</v>
      </c>
      <c r="P27" s="446">
        <v>0.80126047025236335</v>
      </c>
      <c r="Q27" s="447">
        <v>350</v>
      </c>
    </row>
    <row r="28" spans="1:17" ht="14.4" customHeight="1" x14ac:dyDescent="0.3">
      <c r="A28" s="421" t="s">
        <v>440</v>
      </c>
      <c r="B28" s="445" t="s">
        <v>379</v>
      </c>
      <c r="C28" s="445" t="s">
        <v>380</v>
      </c>
      <c r="D28" s="445" t="s">
        <v>387</v>
      </c>
      <c r="E28" s="445" t="s">
        <v>388</v>
      </c>
      <c r="F28" s="422">
        <v>200</v>
      </c>
      <c r="G28" s="422">
        <v>69400</v>
      </c>
      <c r="H28" s="422">
        <v>0.69930069930069927</v>
      </c>
      <c r="I28" s="422">
        <v>347</v>
      </c>
      <c r="J28" s="422">
        <v>286</v>
      </c>
      <c r="K28" s="422">
        <v>99242</v>
      </c>
      <c r="L28" s="422">
        <v>1</v>
      </c>
      <c r="M28" s="422">
        <v>347</v>
      </c>
      <c r="N28" s="422">
        <v>279</v>
      </c>
      <c r="O28" s="422">
        <v>97650</v>
      </c>
      <c r="P28" s="446">
        <v>0.98395840470768425</v>
      </c>
      <c r="Q28" s="447">
        <v>350</v>
      </c>
    </row>
    <row r="29" spans="1:17" ht="14.4" customHeight="1" x14ac:dyDescent="0.3">
      <c r="A29" s="421" t="s">
        <v>440</v>
      </c>
      <c r="B29" s="445" t="s">
        <v>379</v>
      </c>
      <c r="C29" s="445" t="s">
        <v>380</v>
      </c>
      <c r="D29" s="445" t="s">
        <v>389</v>
      </c>
      <c r="E29" s="445" t="s">
        <v>390</v>
      </c>
      <c r="F29" s="422"/>
      <c r="G29" s="422"/>
      <c r="H29" s="422"/>
      <c r="I29" s="422"/>
      <c r="J29" s="422">
        <v>21</v>
      </c>
      <c r="K29" s="422">
        <v>7287</v>
      </c>
      <c r="L29" s="422">
        <v>1</v>
      </c>
      <c r="M29" s="422">
        <v>347</v>
      </c>
      <c r="N29" s="422">
        <v>21</v>
      </c>
      <c r="O29" s="422">
        <v>7350</v>
      </c>
      <c r="P29" s="446">
        <v>1.0086455331412103</v>
      </c>
      <c r="Q29" s="447">
        <v>350</v>
      </c>
    </row>
    <row r="30" spans="1:17" ht="14.4" customHeight="1" x14ac:dyDescent="0.3">
      <c r="A30" s="421" t="s">
        <v>440</v>
      </c>
      <c r="B30" s="445" t="s">
        <v>379</v>
      </c>
      <c r="C30" s="445" t="s">
        <v>380</v>
      </c>
      <c r="D30" s="445" t="s">
        <v>393</v>
      </c>
      <c r="E30" s="445" t="s">
        <v>394</v>
      </c>
      <c r="F30" s="422">
        <v>1</v>
      </c>
      <c r="G30" s="422">
        <v>580</v>
      </c>
      <c r="H30" s="422"/>
      <c r="I30" s="422">
        <v>580</v>
      </c>
      <c r="J30" s="422"/>
      <c r="K30" s="422"/>
      <c r="L30" s="422"/>
      <c r="M30" s="422"/>
      <c r="N30" s="422"/>
      <c r="O30" s="422"/>
      <c r="P30" s="446"/>
      <c r="Q30" s="447"/>
    </row>
    <row r="31" spans="1:17" ht="14.4" customHeight="1" x14ac:dyDescent="0.3">
      <c r="A31" s="421" t="s">
        <v>440</v>
      </c>
      <c r="B31" s="445" t="s">
        <v>379</v>
      </c>
      <c r="C31" s="445" t="s">
        <v>380</v>
      </c>
      <c r="D31" s="445" t="s">
        <v>395</v>
      </c>
      <c r="E31" s="445" t="s">
        <v>396</v>
      </c>
      <c r="F31" s="422">
        <v>87</v>
      </c>
      <c r="G31" s="422">
        <v>50547</v>
      </c>
      <c r="H31" s="422">
        <v>1.4720426349816529</v>
      </c>
      <c r="I31" s="422">
        <v>581</v>
      </c>
      <c r="J31" s="422">
        <v>59</v>
      </c>
      <c r="K31" s="422">
        <v>34338</v>
      </c>
      <c r="L31" s="422">
        <v>1</v>
      </c>
      <c r="M31" s="422">
        <v>582</v>
      </c>
      <c r="N31" s="422">
        <v>60</v>
      </c>
      <c r="O31" s="422">
        <v>35280</v>
      </c>
      <c r="P31" s="446">
        <v>1.0274331644242529</v>
      </c>
      <c r="Q31" s="447">
        <v>588</v>
      </c>
    </row>
    <row r="32" spans="1:17" ht="14.4" customHeight="1" x14ac:dyDescent="0.3">
      <c r="A32" s="421" t="s">
        <v>440</v>
      </c>
      <c r="B32" s="445" t="s">
        <v>379</v>
      </c>
      <c r="C32" s="445" t="s">
        <v>380</v>
      </c>
      <c r="D32" s="445" t="s">
        <v>397</v>
      </c>
      <c r="E32" s="445" t="s">
        <v>398</v>
      </c>
      <c r="F32" s="422"/>
      <c r="G32" s="422"/>
      <c r="H32" s="422"/>
      <c r="I32" s="422"/>
      <c r="J32" s="422">
        <v>4</v>
      </c>
      <c r="K32" s="422">
        <v>1164</v>
      </c>
      <c r="L32" s="422">
        <v>1</v>
      </c>
      <c r="M32" s="422">
        <v>291</v>
      </c>
      <c r="N32" s="422"/>
      <c r="O32" s="422"/>
      <c r="P32" s="446"/>
      <c r="Q32" s="447"/>
    </row>
    <row r="33" spans="1:17" ht="14.4" customHeight="1" x14ac:dyDescent="0.3">
      <c r="A33" s="421" t="s">
        <v>440</v>
      </c>
      <c r="B33" s="445" t="s">
        <v>379</v>
      </c>
      <c r="C33" s="445" t="s">
        <v>380</v>
      </c>
      <c r="D33" s="445" t="s">
        <v>399</v>
      </c>
      <c r="E33" s="445" t="s">
        <v>400</v>
      </c>
      <c r="F33" s="422">
        <v>5</v>
      </c>
      <c r="G33" s="422">
        <v>2905</v>
      </c>
      <c r="H33" s="422">
        <v>1.247852233676976</v>
      </c>
      <c r="I33" s="422">
        <v>581</v>
      </c>
      <c r="J33" s="422">
        <v>4</v>
      </c>
      <c r="K33" s="422">
        <v>2328</v>
      </c>
      <c r="L33" s="422">
        <v>1</v>
      </c>
      <c r="M33" s="422">
        <v>582</v>
      </c>
      <c r="N33" s="422">
        <v>8</v>
      </c>
      <c r="O33" s="422">
        <v>4704</v>
      </c>
      <c r="P33" s="446">
        <v>2.0206185567010309</v>
      </c>
      <c r="Q33" s="447">
        <v>588</v>
      </c>
    </row>
    <row r="34" spans="1:17" ht="14.4" customHeight="1" x14ac:dyDescent="0.3">
      <c r="A34" s="421" t="s">
        <v>441</v>
      </c>
      <c r="B34" s="445" t="s">
        <v>379</v>
      </c>
      <c r="C34" s="445" t="s">
        <v>380</v>
      </c>
      <c r="D34" s="445" t="s">
        <v>383</v>
      </c>
      <c r="E34" s="445" t="s">
        <v>384</v>
      </c>
      <c r="F34" s="422">
        <v>68</v>
      </c>
      <c r="G34" s="422">
        <v>23596</v>
      </c>
      <c r="H34" s="422">
        <v>8.5</v>
      </c>
      <c r="I34" s="422">
        <v>347</v>
      </c>
      <c r="J34" s="422">
        <v>8</v>
      </c>
      <c r="K34" s="422">
        <v>2776</v>
      </c>
      <c r="L34" s="422">
        <v>1</v>
      </c>
      <c r="M34" s="422">
        <v>347</v>
      </c>
      <c r="N34" s="422"/>
      <c r="O34" s="422"/>
      <c r="P34" s="446"/>
      <c r="Q34" s="447"/>
    </row>
    <row r="35" spans="1:17" ht="14.4" customHeight="1" x14ac:dyDescent="0.3">
      <c r="A35" s="421" t="s">
        <v>442</v>
      </c>
      <c r="B35" s="445" t="s">
        <v>379</v>
      </c>
      <c r="C35" s="445" t="s">
        <v>380</v>
      </c>
      <c r="D35" s="445" t="s">
        <v>383</v>
      </c>
      <c r="E35" s="445" t="s">
        <v>384</v>
      </c>
      <c r="F35" s="422">
        <v>20</v>
      </c>
      <c r="G35" s="422">
        <v>6940</v>
      </c>
      <c r="H35" s="422"/>
      <c r="I35" s="422">
        <v>347</v>
      </c>
      <c r="J35" s="422"/>
      <c r="K35" s="422"/>
      <c r="L35" s="422"/>
      <c r="M35" s="422"/>
      <c r="N35" s="422"/>
      <c r="O35" s="422"/>
      <c r="P35" s="446"/>
      <c r="Q35" s="447"/>
    </row>
    <row r="36" spans="1:17" ht="14.4" customHeight="1" x14ac:dyDescent="0.3">
      <c r="A36" s="421" t="s">
        <v>443</v>
      </c>
      <c r="B36" s="445" t="s">
        <v>379</v>
      </c>
      <c r="C36" s="445" t="s">
        <v>380</v>
      </c>
      <c r="D36" s="445" t="s">
        <v>383</v>
      </c>
      <c r="E36" s="445" t="s">
        <v>384</v>
      </c>
      <c r="F36" s="422"/>
      <c r="G36" s="422"/>
      <c r="H36" s="422"/>
      <c r="I36" s="422"/>
      <c r="J36" s="422">
        <v>24</v>
      </c>
      <c r="K36" s="422">
        <v>8328</v>
      </c>
      <c r="L36" s="422">
        <v>1</v>
      </c>
      <c r="M36" s="422">
        <v>347</v>
      </c>
      <c r="N36" s="422">
        <v>44</v>
      </c>
      <c r="O36" s="422">
        <v>15400</v>
      </c>
      <c r="P36" s="446">
        <v>1.8491834774255524</v>
      </c>
      <c r="Q36" s="447">
        <v>350</v>
      </c>
    </row>
    <row r="37" spans="1:17" ht="14.4" customHeight="1" x14ac:dyDescent="0.3">
      <c r="A37" s="421" t="s">
        <v>444</v>
      </c>
      <c r="B37" s="445" t="s">
        <v>379</v>
      </c>
      <c r="C37" s="445" t="s">
        <v>380</v>
      </c>
      <c r="D37" s="445" t="s">
        <v>383</v>
      </c>
      <c r="E37" s="445" t="s">
        <v>384</v>
      </c>
      <c r="F37" s="422"/>
      <c r="G37" s="422"/>
      <c r="H37" s="422"/>
      <c r="I37" s="422"/>
      <c r="J37" s="422">
        <v>8</v>
      </c>
      <c r="K37" s="422">
        <v>2776</v>
      </c>
      <c r="L37" s="422">
        <v>1</v>
      </c>
      <c r="M37" s="422">
        <v>347</v>
      </c>
      <c r="N37" s="422"/>
      <c r="O37" s="422"/>
      <c r="P37" s="446"/>
      <c r="Q37" s="447"/>
    </row>
    <row r="38" spans="1:17" ht="14.4" customHeight="1" x14ac:dyDescent="0.3">
      <c r="A38" s="421" t="s">
        <v>445</v>
      </c>
      <c r="B38" s="445" t="s">
        <v>379</v>
      </c>
      <c r="C38" s="445" t="s">
        <v>380</v>
      </c>
      <c r="D38" s="445" t="s">
        <v>383</v>
      </c>
      <c r="E38" s="445" t="s">
        <v>384</v>
      </c>
      <c r="F38" s="422">
        <v>272</v>
      </c>
      <c r="G38" s="422">
        <v>94384</v>
      </c>
      <c r="H38" s="422">
        <v>1.4782608695652173</v>
      </c>
      <c r="I38" s="422">
        <v>347</v>
      </c>
      <c r="J38" s="422">
        <v>184</v>
      </c>
      <c r="K38" s="422">
        <v>63848</v>
      </c>
      <c r="L38" s="422">
        <v>1</v>
      </c>
      <c r="M38" s="422">
        <v>347</v>
      </c>
      <c r="N38" s="422">
        <v>367</v>
      </c>
      <c r="O38" s="422">
        <v>128450</v>
      </c>
      <c r="P38" s="446">
        <v>2.0118092970805663</v>
      </c>
      <c r="Q38" s="447">
        <v>350</v>
      </c>
    </row>
    <row r="39" spans="1:17" ht="14.4" customHeight="1" x14ac:dyDescent="0.3">
      <c r="A39" s="421" t="s">
        <v>445</v>
      </c>
      <c r="B39" s="445" t="s">
        <v>379</v>
      </c>
      <c r="C39" s="445" t="s">
        <v>380</v>
      </c>
      <c r="D39" s="445" t="s">
        <v>387</v>
      </c>
      <c r="E39" s="445" t="s">
        <v>388</v>
      </c>
      <c r="F39" s="422">
        <v>5</v>
      </c>
      <c r="G39" s="422">
        <v>1735</v>
      </c>
      <c r="H39" s="422">
        <v>1.25</v>
      </c>
      <c r="I39" s="422">
        <v>347</v>
      </c>
      <c r="J39" s="422">
        <v>4</v>
      </c>
      <c r="K39" s="422">
        <v>1388</v>
      </c>
      <c r="L39" s="422">
        <v>1</v>
      </c>
      <c r="M39" s="422">
        <v>347</v>
      </c>
      <c r="N39" s="422">
        <v>5</v>
      </c>
      <c r="O39" s="422">
        <v>1750</v>
      </c>
      <c r="P39" s="446">
        <v>1.260806916426513</v>
      </c>
      <c r="Q39" s="447">
        <v>350</v>
      </c>
    </row>
    <row r="40" spans="1:17" ht="14.4" customHeight="1" x14ac:dyDescent="0.3">
      <c r="A40" s="421" t="s">
        <v>445</v>
      </c>
      <c r="B40" s="445" t="s">
        <v>379</v>
      </c>
      <c r="C40" s="445" t="s">
        <v>380</v>
      </c>
      <c r="D40" s="445" t="s">
        <v>393</v>
      </c>
      <c r="E40" s="445" t="s">
        <v>394</v>
      </c>
      <c r="F40" s="422">
        <v>24</v>
      </c>
      <c r="G40" s="422">
        <v>13920</v>
      </c>
      <c r="H40" s="422">
        <v>5.9896729776247852</v>
      </c>
      <c r="I40" s="422">
        <v>580</v>
      </c>
      <c r="J40" s="422">
        <v>4</v>
      </c>
      <c r="K40" s="422">
        <v>2324</v>
      </c>
      <c r="L40" s="422">
        <v>1</v>
      </c>
      <c r="M40" s="422">
        <v>581</v>
      </c>
      <c r="N40" s="422">
        <v>16</v>
      </c>
      <c r="O40" s="422">
        <v>9392</v>
      </c>
      <c r="P40" s="446">
        <v>4.0413080895008608</v>
      </c>
      <c r="Q40" s="447">
        <v>587</v>
      </c>
    </row>
    <row r="41" spans="1:17" ht="14.4" customHeight="1" x14ac:dyDescent="0.3">
      <c r="A41" s="421" t="s">
        <v>445</v>
      </c>
      <c r="B41" s="445" t="s">
        <v>379</v>
      </c>
      <c r="C41" s="445" t="s">
        <v>380</v>
      </c>
      <c r="D41" s="445" t="s">
        <v>401</v>
      </c>
      <c r="E41" s="445" t="s">
        <v>402</v>
      </c>
      <c r="F41" s="422">
        <v>10</v>
      </c>
      <c r="G41" s="422">
        <v>5800</v>
      </c>
      <c r="H41" s="422">
        <v>0.43403427374092646</v>
      </c>
      <c r="I41" s="422">
        <v>580</v>
      </c>
      <c r="J41" s="422">
        <v>23</v>
      </c>
      <c r="K41" s="422">
        <v>13363</v>
      </c>
      <c r="L41" s="422">
        <v>1</v>
      </c>
      <c r="M41" s="422">
        <v>581</v>
      </c>
      <c r="N41" s="422">
        <v>21</v>
      </c>
      <c r="O41" s="422">
        <v>12327</v>
      </c>
      <c r="P41" s="446">
        <v>0.92247249869041381</v>
      </c>
      <c r="Q41" s="447">
        <v>587</v>
      </c>
    </row>
    <row r="42" spans="1:17" ht="14.4" customHeight="1" x14ac:dyDescent="0.3">
      <c r="A42" s="421" t="s">
        <v>446</v>
      </c>
      <c r="B42" s="445" t="s">
        <v>379</v>
      </c>
      <c r="C42" s="445" t="s">
        <v>380</v>
      </c>
      <c r="D42" s="445" t="s">
        <v>383</v>
      </c>
      <c r="E42" s="445" t="s">
        <v>384</v>
      </c>
      <c r="F42" s="422">
        <v>34</v>
      </c>
      <c r="G42" s="422">
        <v>11798</v>
      </c>
      <c r="H42" s="422">
        <v>2.8333333333333335</v>
      </c>
      <c r="I42" s="422">
        <v>347</v>
      </c>
      <c r="J42" s="422">
        <v>12</v>
      </c>
      <c r="K42" s="422">
        <v>4164</v>
      </c>
      <c r="L42" s="422">
        <v>1</v>
      </c>
      <c r="M42" s="422">
        <v>347</v>
      </c>
      <c r="N42" s="422">
        <v>25</v>
      </c>
      <c r="O42" s="422">
        <v>8750</v>
      </c>
      <c r="P42" s="446">
        <v>2.1013448607108551</v>
      </c>
      <c r="Q42" s="447">
        <v>350</v>
      </c>
    </row>
    <row r="43" spans="1:17" ht="14.4" customHeight="1" x14ac:dyDescent="0.3">
      <c r="A43" s="421" t="s">
        <v>446</v>
      </c>
      <c r="B43" s="445" t="s">
        <v>379</v>
      </c>
      <c r="C43" s="445" t="s">
        <v>380</v>
      </c>
      <c r="D43" s="445" t="s">
        <v>393</v>
      </c>
      <c r="E43" s="445" t="s">
        <v>394</v>
      </c>
      <c r="F43" s="422">
        <v>392</v>
      </c>
      <c r="G43" s="422">
        <v>227360</v>
      </c>
      <c r="H43" s="422">
        <v>0.90794733458194732</v>
      </c>
      <c r="I43" s="422">
        <v>580</v>
      </c>
      <c r="J43" s="422">
        <v>431</v>
      </c>
      <c r="K43" s="422">
        <v>250411</v>
      </c>
      <c r="L43" s="422">
        <v>1</v>
      </c>
      <c r="M43" s="422">
        <v>581</v>
      </c>
      <c r="N43" s="422">
        <v>270</v>
      </c>
      <c r="O43" s="422">
        <v>158490</v>
      </c>
      <c r="P43" s="446">
        <v>0.63291948037426471</v>
      </c>
      <c r="Q43" s="447">
        <v>587</v>
      </c>
    </row>
    <row r="44" spans="1:17" ht="14.4" customHeight="1" x14ac:dyDescent="0.3">
      <c r="A44" s="421" t="s">
        <v>446</v>
      </c>
      <c r="B44" s="445" t="s">
        <v>379</v>
      </c>
      <c r="C44" s="445" t="s">
        <v>380</v>
      </c>
      <c r="D44" s="445" t="s">
        <v>401</v>
      </c>
      <c r="E44" s="445" t="s">
        <v>402</v>
      </c>
      <c r="F44" s="422">
        <v>8</v>
      </c>
      <c r="G44" s="422">
        <v>4640</v>
      </c>
      <c r="H44" s="422">
        <v>0.23488913637744255</v>
      </c>
      <c r="I44" s="422">
        <v>580</v>
      </c>
      <c r="J44" s="422">
        <v>34</v>
      </c>
      <c r="K44" s="422">
        <v>19754</v>
      </c>
      <c r="L44" s="422">
        <v>1</v>
      </c>
      <c r="M44" s="422">
        <v>581</v>
      </c>
      <c r="N44" s="422">
        <v>8</v>
      </c>
      <c r="O44" s="422">
        <v>4696</v>
      </c>
      <c r="P44" s="446">
        <v>0.23772400526475651</v>
      </c>
      <c r="Q44" s="447">
        <v>587</v>
      </c>
    </row>
    <row r="45" spans="1:17" ht="14.4" customHeight="1" x14ac:dyDescent="0.3">
      <c r="A45" s="421" t="s">
        <v>446</v>
      </c>
      <c r="B45" s="445" t="s">
        <v>379</v>
      </c>
      <c r="C45" s="445" t="s">
        <v>380</v>
      </c>
      <c r="D45" s="445" t="s">
        <v>403</v>
      </c>
      <c r="E45" s="445" t="s">
        <v>404</v>
      </c>
      <c r="F45" s="422">
        <v>12</v>
      </c>
      <c r="G45" s="422">
        <v>3492</v>
      </c>
      <c r="H45" s="422"/>
      <c r="I45" s="422">
        <v>291</v>
      </c>
      <c r="J45" s="422"/>
      <c r="K45" s="422"/>
      <c r="L45" s="422"/>
      <c r="M45" s="422"/>
      <c r="N45" s="422"/>
      <c r="O45" s="422"/>
      <c r="P45" s="446"/>
      <c r="Q45" s="447"/>
    </row>
    <row r="46" spans="1:17" ht="14.4" customHeight="1" x14ac:dyDescent="0.3">
      <c r="A46" s="421" t="s">
        <v>447</v>
      </c>
      <c r="B46" s="445" t="s">
        <v>379</v>
      </c>
      <c r="C46" s="445" t="s">
        <v>380</v>
      </c>
      <c r="D46" s="445" t="s">
        <v>381</v>
      </c>
      <c r="E46" s="445" t="s">
        <v>382</v>
      </c>
      <c r="F46" s="422"/>
      <c r="G46" s="422"/>
      <c r="H46" s="422"/>
      <c r="I46" s="422"/>
      <c r="J46" s="422">
        <v>2</v>
      </c>
      <c r="K46" s="422">
        <v>148</v>
      </c>
      <c r="L46" s="422">
        <v>1</v>
      </c>
      <c r="M46" s="422">
        <v>74</v>
      </c>
      <c r="N46" s="422"/>
      <c r="O46" s="422"/>
      <c r="P46" s="446"/>
      <c r="Q46" s="447"/>
    </row>
    <row r="47" spans="1:17" ht="14.4" customHeight="1" x14ac:dyDescent="0.3">
      <c r="A47" s="421" t="s">
        <v>447</v>
      </c>
      <c r="B47" s="445" t="s">
        <v>379</v>
      </c>
      <c r="C47" s="445" t="s">
        <v>380</v>
      </c>
      <c r="D47" s="445" t="s">
        <v>383</v>
      </c>
      <c r="E47" s="445" t="s">
        <v>384</v>
      </c>
      <c r="F47" s="422">
        <v>4</v>
      </c>
      <c r="G47" s="422">
        <v>1388</v>
      </c>
      <c r="H47" s="422">
        <v>1</v>
      </c>
      <c r="I47" s="422">
        <v>347</v>
      </c>
      <c r="J47" s="422">
        <v>4</v>
      </c>
      <c r="K47" s="422">
        <v>1388</v>
      </c>
      <c r="L47" s="422">
        <v>1</v>
      </c>
      <c r="M47" s="422">
        <v>347</v>
      </c>
      <c r="N47" s="422"/>
      <c r="O47" s="422"/>
      <c r="P47" s="446"/>
      <c r="Q47" s="447"/>
    </row>
    <row r="48" spans="1:17" ht="14.4" customHeight="1" x14ac:dyDescent="0.3">
      <c r="A48" s="421" t="s">
        <v>447</v>
      </c>
      <c r="B48" s="445" t="s">
        <v>379</v>
      </c>
      <c r="C48" s="445" t="s">
        <v>380</v>
      </c>
      <c r="D48" s="445" t="s">
        <v>389</v>
      </c>
      <c r="E48" s="445" t="s">
        <v>390</v>
      </c>
      <c r="F48" s="422">
        <v>6</v>
      </c>
      <c r="G48" s="422">
        <v>2082</v>
      </c>
      <c r="H48" s="422">
        <v>1.5</v>
      </c>
      <c r="I48" s="422">
        <v>347</v>
      </c>
      <c r="J48" s="422">
        <v>4</v>
      </c>
      <c r="K48" s="422">
        <v>1388</v>
      </c>
      <c r="L48" s="422">
        <v>1</v>
      </c>
      <c r="M48" s="422">
        <v>347</v>
      </c>
      <c r="N48" s="422"/>
      <c r="O48" s="422"/>
      <c r="P48" s="446"/>
      <c r="Q48" s="447"/>
    </row>
    <row r="49" spans="1:17" ht="14.4" customHeight="1" x14ac:dyDescent="0.3">
      <c r="A49" s="421" t="s">
        <v>447</v>
      </c>
      <c r="B49" s="445" t="s">
        <v>379</v>
      </c>
      <c r="C49" s="445" t="s">
        <v>380</v>
      </c>
      <c r="D49" s="445" t="s">
        <v>393</v>
      </c>
      <c r="E49" s="445" t="s">
        <v>394</v>
      </c>
      <c r="F49" s="422"/>
      <c r="G49" s="422"/>
      <c r="H49" s="422"/>
      <c r="I49" s="422"/>
      <c r="J49" s="422">
        <v>2</v>
      </c>
      <c r="K49" s="422">
        <v>1162</v>
      </c>
      <c r="L49" s="422">
        <v>1</v>
      </c>
      <c r="M49" s="422">
        <v>581</v>
      </c>
      <c r="N49" s="422"/>
      <c r="O49" s="422"/>
      <c r="P49" s="446"/>
      <c r="Q49" s="447"/>
    </row>
    <row r="50" spans="1:17" ht="14.4" customHeight="1" x14ac:dyDescent="0.3">
      <c r="A50" s="421" t="s">
        <v>448</v>
      </c>
      <c r="B50" s="445" t="s">
        <v>379</v>
      </c>
      <c r="C50" s="445" t="s">
        <v>380</v>
      </c>
      <c r="D50" s="445" t="s">
        <v>383</v>
      </c>
      <c r="E50" s="445" t="s">
        <v>384</v>
      </c>
      <c r="F50" s="422"/>
      <c r="G50" s="422"/>
      <c r="H50" s="422"/>
      <c r="I50" s="422"/>
      <c r="J50" s="422">
        <v>4</v>
      </c>
      <c r="K50" s="422">
        <v>1388</v>
      </c>
      <c r="L50" s="422">
        <v>1</v>
      </c>
      <c r="M50" s="422">
        <v>347</v>
      </c>
      <c r="N50" s="422">
        <v>4</v>
      </c>
      <c r="O50" s="422">
        <v>1400</v>
      </c>
      <c r="P50" s="446">
        <v>1.0086455331412103</v>
      </c>
      <c r="Q50" s="447">
        <v>350</v>
      </c>
    </row>
    <row r="51" spans="1:17" ht="14.4" customHeight="1" x14ac:dyDescent="0.3">
      <c r="A51" s="421" t="s">
        <v>449</v>
      </c>
      <c r="B51" s="445" t="s">
        <v>379</v>
      </c>
      <c r="C51" s="445" t="s">
        <v>380</v>
      </c>
      <c r="D51" s="445" t="s">
        <v>381</v>
      </c>
      <c r="E51" s="445" t="s">
        <v>382</v>
      </c>
      <c r="F51" s="422"/>
      <c r="G51" s="422"/>
      <c r="H51" s="422"/>
      <c r="I51" s="422"/>
      <c r="J51" s="422">
        <v>4</v>
      </c>
      <c r="K51" s="422">
        <v>296</v>
      </c>
      <c r="L51" s="422">
        <v>1</v>
      </c>
      <c r="M51" s="422">
        <v>74</v>
      </c>
      <c r="N51" s="422"/>
      <c r="O51" s="422"/>
      <c r="P51" s="446"/>
      <c r="Q51" s="447"/>
    </row>
    <row r="52" spans="1:17" ht="14.4" customHeight="1" x14ac:dyDescent="0.3">
      <c r="A52" s="421" t="s">
        <v>449</v>
      </c>
      <c r="B52" s="445" t="s">
        <v>379</v>
      </c>
      <c r="C52" s="445" t="s">
        <v>380</v>
      </c>
      <c r="D52" s="445" t="s">
        <v>383</v>
      </c>
      <c r="E52" s="445" t="s">
        <v>384</v>
      </c>
      <c r="F52" s="422">
        <v>312</v>
      </c>
      <c r="G52" s="422">
        <v>108264</v>
      </c>
      <c r="H52" s="422">
        <v>0.99680511182108622</v>
      </c>
      <c r="I52" s="422">
        <v>347</v>
      </c>
      <c r="J52" s="422">
        <v>313</v>
      </c>
      <c r="K52" s="422">
        <v>108611</v>
      </c>
      <c r="L52" s="422">
        <v>1</v>
      </c>
      <c r="M52" s="422">
        <v>347</v>
      </c>
      <c r="N52" s="422">
        <v>343</v>
      </c>
      <c r="O52" s="422">
        <v>120050</v>
      </c>
      <c r="P52" s="446">
        <v>1.1053208238576202</v>
      </c>
      <c r="Q52" s="447">
        <v>350</v>
      </c>
    </row>
    <row r="53" spans="1:17" ht="14.4" customHeight="1" x14ac:dyDescent="0.3">
      <c r="A53" s="421" t="s">
        <v>449</v>
      </c>
      <c r="B53" s="445" t="s">
        <v>379</v>
      </c>
      <c r="C53" s="445" t="s">
        <v>380</v>
      </c>
      <c r="D53" s="445" t="s">
        <v>387</v>
      </c>
      <c r="E53" s="445" t="s">
        <v>388</v>
      </c>
      <c r="F53" s="422">
        <v>8</v>
      </c>
      <c r="G53" s="422">
        <v>2776</v>
      </c>
      <c r="H53" s="422">
        <v>0.44444444444444442</v>
      </c>
      <c r="I53" s="422">
        <v>347</v>
      </c>
      <c r="J53" s="422">
        <v>18</v>
      </c>
      <c r="K53" s="422">
        <v>6246</v>
      </c>
      <c r="L53" s="422">
        <v>1</v>
      </c>
      <c r="M53" s="422">
        <v>347</v>
      </c>
      <c r="N53" s="422">
        <v>8</v>
      </c>
      <c r="O53" s="422">
        <v>2800</v>
      </c>
      <c r="P53" s="446">
        <v>0.44828690361831575</v>
      </c>
      <c r="Q53" s="447">
        <v>350</v>
      </c>
    </row>
    <row r="54" spans="1:17" ht="14.4" customHeight="1" x14ac:dyDescent="0.3">
      <c r="A54" s="421" t="s">
        <v>449</v>
      </c>
      <c r="B54" s="445" t="s">
        <v>379</v>
      </c>
      <c r="C54" s="445" t="s">
        <v>380</v>
      </c>
      <c r="D54" s="445" t="s">
        <v>389</v>
      </c>
      <c r="E54" s="445" t="s">
        <v>390</v>
      </c>
      <c r="F54" s="422"/>
      <c r="G54" s="422"/>
      <c r="H54" s="422"/>
      <c r="I54" s="422"/>
      <c r="J54" s="422">
        <v>28</v>
      </c>
      <c r="K54" s="422">
        <v>9716</v>
      </c>
      <c r="L54" s="422">
        <v>1</v>
      </c>
      <c r="M54" s="422">
        <v>347</v>
      </c>
      <c r="N54" s="422">
        <v>4</v>
      </c>
      <c r="O54" s="422">
        <v>1400</v>
      </c>
      <c r="P54" s="446">
        <v>0.14409221902017291</v>
      </c>
      <c r="Q54" s="447">
        <v>350</v>
      </c>
    </row>
    <row r="55" spans="1:17" ht="14.4" customHeight="1" x14ac:dyDescent="0.3">
      <c r="A55" s="421" t="s">
        <v>449</v>
      </c>
      <c r="B55" s="445" t="s">
        <v>379</v>
      </c>
      <c r="C55" s="445" t="s">
        <v>380</v>
      </c>
      <c r="D55" s="445" t="s">
        <v>393</v>
      </c>
      <c r="E55" s="445" t="s">
        <v>394</v>
      </c>
      <c r="F55" s="422">
        <v>24</v>
      </c>
      <c r="G55" s="422">
        <v>13920</v>
      </c>
      <c r="H55" s="422">
        <v>0.61432543360254199</v>
      </c>
      <c r="I55" s="422">
        <v>580</v>
      </c>
      <c r="J55" s="422">
        <v>39</v>
      </c>
      <c r="K55" s="422">
        <v>22659</v>
      </c>
      <c r="L55" s="422">
        <v>1</v>
      </c>
      <c r="M55" s="422">
        <v>581</v>
      </c>
      <c r="N55" s="422">
        <v>6</v>
      </c>
      <c r="O55" s="422">
        <v>3522</v>
      </c>
      <c r="P55" s="446">
        <v>0.15543492651926386</v>
      </c>
      <c r="Q55" s="447">
        <v>587</v>
      </c>
    </row>
    <row r="56" spans="1:17" ht="14.4" customHeight="1" x14ac:dyDescent="0.3">
      <c r="A56" s="421" t="s">
        <v>449</v>
      </c>
      <c r="B56" s="445" t="s">
        <v>379</v>
      </c>
      <c r="C56" s="445" t="s">
        <v>380</v>
      </c>
      <c r="D56" s="445" t="s">
        <v>403</v>
      </c>
      <c r="E56" s="445" t="s">
        <v>404</v>
      </c>
      <c r="F56" s="422"/>
      <c r="G56" s="422"/>
      <c r="H56" s="422"/>
      <c r="I56" s="422"/>
      <c r="J56" s="422">
        <v>12</v>
      </c>
      <c r="K56" s="422">
        <v>3492</v>
      </c>
      <c r="L56" s="422">
        <v>1</v>
      </c>
      <c r="M56" s="422">
        <v>291</v>
      </c>
      <c r="N56" s="422"/>
      <c r="O56" s="422"/>
      <c r="P56" s="446"/>
      <c r="Q56" s="447"/>
    </row>
    <row r="57" spans="1:17" ht="14.4" customHeight="1" x14ac:dyDescent="0.3">
      <c r="A57" s="421" t="s">
        <v>450</v>
      </c>
      <c r="B57" s="445" t="s">
        <v>379</v>
      </c>
      <c r="C57" s="445" t="s">
        <v>380</v>
      </c>
      <c r="D57" s="445" t="s">
        <v>381</v>
      </c>
      <c r="E57" s="445" t="s">
        <v>382</v>
      </c>
      <c r="F57" s="422">
        <v>4</v>
      </c>
      <c r="G57" s="422">
        <v>296</v>
      </c>
      <c r="H57" s="422"/>
      <c r="I57" s="422">
        <v>74</v>
      </c>
      <c r="J57" s="422"/>
      <c r="K57" s="422"/>
      <c r="L57" s="422"/>
      <c r="M57" s="422"/>
      <c r="N57" s="422"/>
      <c r="O57" s="422"/>
      <c r="P57" s="446"/>
      <c r="Q57" s="447"/>
    </row>
    <row r="58" spans="1:17" ht="14.4" customHeight="1" x14ac:dyDescent="0.3">
      <c r="A58" s="421" t="s">
        <v>450</v>
      </c>
      <c r="B58" s="445" t="s">
        <v>379</v>
      </c>
      <c r="C58" s="445" t="s">
        <v>380</v>
      </c>
      <c r="D58" s="445" t="s">
        <v>383</v>
      </c>
      <c r="E58" s="445" t="s">
        <v>384</v>
      </c>
      <c r="F58" s="422">
        <v>488</v>
      </c>
      <c r="G58" s="422">
        <v>169336</v>
      </c>
      <c r="H58" s="422">
        <v>1.22</v>
      </c>
      <c r="I58" s="422">
        <v>347</v>
      </c>
      <c r="J58" s="422">
        <v>400</v>
      </c>
      <c r="K58" s="422">
        <v>138800</v>
      </c>
      <c r="L58" s="422">
        <v>1</v>
      </c>
      <c r="M58" s="422">
        <v>347</v>
      </c>
      <c r="N58" s="422">
        <v>194</v>
      </c>
      <c r="O58" s="422">
        <v>67900</v>
      </c>
      <c r="P58" s="446">
        <v>0.48919308357348701</v>
      </c>
      <c r="Q58" s="447">
        <v>350</v>
      </c>
    </row>
    <row r="59" spans="1:17" ht="14.4" customHeight="1" x14ac:dyDescent="0.3">
      <c r="A59" s="421" t="s">
        <v>450</v>
      </c>
      <c r="B59" s="445" t="s">
        <v>379</v>
      </c>
      <c r="C59" s="445" t="s">
        <v>380</v>
      </c>
      <c r="D59" s="445" t="s">
        <v>387</v>
      </c>
      <c r="E59" s="445" t="s">
        <v>388</v>
      </c>
      <c r="F59" s="422">
        <v>4</v>
      </c>
      <c r="G59" s="422">
        <v>1388</v>
      </c>
      <c r="H59" s="422"/>
      <c r="I59" s="422">
        <v>347</v>
      </c>
      <c r="J59" s="422"/>
      <c r="K59" s="422"/>
      <c r="L59" s="422"/>
      <c r="M59" s="422"/>
      <c r="N59" s="422"/>
      <c r="O59" s="422"/>
      <c r="P59" s="446"/>
      <c r="Q59" s="447"/>
    </row>
    <row r="60" spans="1:17" ht="14.4" customHeight="1" x14ac:dyDescent="0.3">
      <c r="A60" s="421" t="s">
        <v>450</v>
      </c>
      <c r="B60" s="445" t="s">
        <v>379</v>
      </c>
      <c r="C60" s="445" t="s">
        <v>380</v>
      </c>
      <c r="D60" s="445" t="s">
        <v>389</v>
      </c>
      <c r="E60" s="445" t="s">
        <v>390</v>
      </c>
      <c r="F60" s="422"/>
      <c r="G60" s="422"/>
      <c r="H60" s="422"/>
      <c r="I60" s="422"/>
      <c r="J60" s="422"/>
      <c r="K60" s="422"/>
      <c r="L60" s="422"/>
      <c r="M60" s="422"/>
      <c r="N60" s="422">
        <v>4</v>
      </c>
      <c r="O60" s="422">
        <v>1400</v>
      </c>
      <c r="P60" s="446"/>
      <c r="Q60" s="447">
        <v>350</v>
      </c>
    </row>
    <row r="61" spans="1:17" ht="14.4" customHeight="1" x14ac:dyDescent="0.3">
      <c r="A61" s="421" t="s">
        <v>450</v>
      </c>
      <c r="B61" s="445" t="s">
        <v>379</v>
      </c>
      <c r="C61" s="445" t="s">
        <v>380</v>
      </c>
      <c r="D61" s="445" t="s">
        <v>393</v>
      </c>
      <c r="E61" s="445" t="s">
        <v>394</v>
      </c>
      <c r="F61" s="422">
        <v>24</v>
      </c>
      <c r="G61" s="422">
        <v>13920</v>
      </c>
      <c r="H61" s="422">
        <v>0.99827882960413084</v>
      </c>
      <c r="I61" s="422">
        <v>580</v>
      </c>
      <c r="J61" s="422">
        <v>24</v>
      </c>
      <c r="K61" s="422">
        <v>13944</v>
      </c>
      <c r="L61" s="422">
        <v>1</v>
      </c>
      <c r="M61" s="422">
        <v>581</v>
      </c>
      <c r="N61" s="422">
        <v>18</v>
      </c>
      <c r="O61" s="422">
        <v>10566</v>
      </c>
      <c r="P61" s="446">
        <v>0.75774526678141141</v>
      </c>
      <c r="Q61" s="447">
        <v>587</v>
      </c>
    </row>
    <row r="62" spans="1:17" ht="14.4" customHeight="1" x14ac:dyDescent="0.3">
      <c r="A62" s="421" t="s">
        <v>450</v>
      </c>
      <c r="B62" s="445" t="s">
        <v>379</v>
      </c>
      <c r="C62" s="445" t="s">
        <v>380</v>
      </c>
      <c r="D62" s="445" t="s">
        <v>401</v>
      </c>
      <c r="E62" s="445" t="s">
        <v>402</v>
      </c>
      <c r="F62" s="422"/>
      <c r="G62" s="422"/>
      <c r="H62" s="422"/>
      <c r="I62" s="422"/>
      <c r="J62" s="422">
        <v>4</v>
      </c>
      <c r="K62" s="422">
        <v>2324</v>
      </c>
      <c r="L62" s="422">
        <v>1</v>
      </c>
      <c r="M62" s="422">
        <v>581</v>
      </c>
      <c r="N62" s="422"/>
      <c r="O62" s="422"/>
      <c r="P62" s="446"/>
      <c r="Q62" s="447"/>
    </row>
    <row r="63" spans="1:17" ht="14.4" customHeight="1" x14ac:dyDescent="0.3">
      <c r="A63" s="421" t="s">
        <v>450</v>
      </c>
      <c r="B63" s="445" t="s">
        <v>379</v>
      </c>
      <c r="C63" s="445" t="s">
        <v>380</v>
      </c>
      <c r="D63" s="445" t="s">
        <v>403</v>
      </c>
      <c r="E63" s="445" t="s">
        <v>404</v>
      </c>
      <c r="F63" s="422">
        <v>6</v>
      </c>
      <c r="G63" s="422">
        <v>1746</v>
      </c>
      <c r="H63" s="422"/>
      <c r="I63" s="422">
        <v>291</v>
      </c>
      <c r="J63" s="422"/>
      <c r="K63" s="422"/>
      <c r="L63" s="422"/>
      <c r="M63" s="422"/>
      <c r="N63" s="422"/>
      <c r="O63" s="422"/>
      <c r="P63" s="446"/>
      <c r="Q63" s="447"/>
    </row>
    <row r="64" spans="1:17" ht="14.4" customHeight="1" x14ac:dyDescent="0.3">
      <c r="A64" s="421" t="s">
        <v>451</v>
      </c>
      <c r="B64" s="445" t="s">
        <v>379</v>
      </c>
      <c r="C64" s="445" t="s">
        <v>380</v>
      </c>
      <c r="D64" s="445" t="s">
        <v>383</v>
      </c>
      <c r="E64" s="445" t="s">
        <v>384</v>
      </c>
      <c r="F64" s="422">
        <v>78</v>
      </c>
      <c r="G64" s="422">
        <v>27066</v>
      </c>
      <c r="H64" s="422">
        <v>4.875</v>
      </c>
      <c r="I64" s="422">
        <v>347</v>
      </c>
      <c r="J64" s="422">
        <v>16</v>
      </c>
      <c r="K64" s="422">
        <v>5552</v>
      </c>
      <c r="L64" s="422">
        <v>1</v>
      </c>
      <c r="M64" s="422">
        <v>347</v>
      </c>
      <c r="N64" s="422">
        <v>192</v>
      </c>
      <c r="O64" s="422">
        <v>67200</v>
      </c>
      <c r="P64" s="446">
        <v>12.103746397694524</v>
      </c>
      <c r="Q64" s="447">
        <v>350</v>
      </c>
    </row>
    <row r="65" spans="1:17" ht="14.4" customHeight="1" x14ac:dyDescent="0.3">
      <c r="A65" s="421" t="s">
        <v>451</v>
      </c>
      <c r="B65" s="445" t="s">
        <v>379</v>
      </c>
      <c r="C65" s="445" t="s">
        <v>380</v>
      </c>
      <c r="D65" s="445" t="s">
        <v>389</v>
      </c>
      <c r="E65" s="445" t="s">
        <v>390</v>
      </c>
      <c r="F65" s="422">
        <v>4</v>
      </c>
      <c r="G65" s="422">
        <v>1388</v>
      </c>
      <c r="H65" s="422"/>
      <c r="I65" s="422">
        <v>347</v>
      </c>
      <c r="J65" s="422"/>
      <c r="K65" s="422"/>
      <c r="L65" s="422"/>
      <c r="M65" s="422"/>
      <c r="N65" s="422"/>
      <c r="O65" s="422"/>
      <c r="P65" s="446"/>
      <c r="Q65" s="447"/>
    </row>
    <row r="66" spans="1:17" ht="14.4" customHeight="1" x14ac:dyDescent="0.3">
      <c r="A66" s="421" t="s">
        <v>451</v>
      </c>
      <c r="B66" s="445" t="s">
        <v>379</v>
      </c>
      <c r="C66" s="445" t="s">
        <v>380</v>
      </c>
      <c r="D66" s="445" t="s">
        <v>393</v>
      </c>
      <c r="E66" s="445" t="s">
        <v>394</v>
      </c>
      <c r="F66" s="422">
        <v>28</v>
      </c>
      <c r="G66" s="422">
        <v>16240</v>
      </c>
      <c r="H66" s="422">
        <v>0.42351223074114641</v>
      </c>
      <c r="I66" s="422">
        <v>580</v>
      </c>
      <c r="J66" s="422">
        <v>66</v>
      </c>
      <c r="K66" s="422">
        <v>38346</v>
      </c>
      <c r="L66" s="422">
        <v>1</v>
      </c>
      <c r="M66" s="422">
        <v>581</v>
      </c>
      <c r="N66" s="422">
        <v>81</v>
      </c>
      <c r="O66" s="422">
        <v>47547</v>
      </c>
      <c r="P66" s="446">
        <v>1.239946800187764</v>
      </c>
      <c r="Q66" s="447">
        <v>587</v>
      </c>
    </row>
    <row r="67" spans="1:17" ht="14.4" customHeight="1" x14ac:dyDescent="0.3">
      <c r="A67" s="421" t="s">
        <v>452</v>
      </c>
      <c r="B67" s="445" t="s">
        <v>379</v>
      </c>
      <c r="C67" s="445" t="s">
        <v>380</v>
      </c>
      <c r="D67" s="445" t="s">
        <v>383</v>
      </c>
      <c r="E67" s="445" t="s">
        <v>384</v>
      </c>
      <c r="F67" s="422">
        <v>126</v>
      </c>
      <c r="G67" s="422">
        <v>43722</v>
      </c>
      <c r="H67" s="422">
        <v>1.26</v>
      </c>
      <c r="I67" s="422">
        <v>347</v>
      </c>
      <c r="J67" s="422">
        <v>100</v>
      </c>
      <c r="K67" s="422">
        <v>34700</v>
      </c>
      <c r="L67" s="422">
        <v>1</v>
      </c>
      <c r="M67" s="422">
        <v>347</v>
      </c>
      <c r="N67" s="422">
        <v>52</v>
      </c>
      <c r="O67" s="422">
        <v>18200</v>
      </c>
      <c r="P67" s="446">
        <v>0.52449567723342938</v>
      </c>
      <c r="Q67" s="447">
        <v>350</v>
      </c>
    </row>
    <row r="68" spans="1:17" ht="14.4" customHeight="1" x14ac:dyDescent="0.3">
      <c r="A68" s="421" t="s">
        <v>452</v>
      </c>
      <c r="B68" s="445" t="s">
        <v>379</v>
      </c>
      <c r="C68" s="445" t="s">
        <v>380</v>
      </c>
      <c r="D68" s="445" t="s">
        <v>389</v>
      </c>
      <c r="E68" s="445" t="s">
        <v>390</v>
      </c>
      <c r="F68" s="422"/>
      <c r="G68" s="422"/>
      <c r="H68" s="422"/>
      <c r="I68" s="422"/>
      <c r="J68" s="422"/>
      <c r="K68" s="422"/>
      <c r="L68" s="422"/>
      <c r="M68" s="422"/>
      <c r="N68" s="422">
        <v>6</v>
      </c>
      <c r="O68" s="422">
        <v>2100</v>
      </c>
      <c r="P68" s="446"/>
      <c r="Q68" s="447">
        <v>350</v>
      </c>
    </row>
    <row r="69" spans="1:17" ht="14.4" customHeight="1" x14ac:dyDescent="0.3">
      <c r="A69" s="421" t="s">
        <v>453</v>
      </c>
      <c r="B69" s="445" t="s">
        <v>379</v>
      </c>
      <c r="C69" s="445" t="s">
        <v>380</v>
      </c>
      <c r="D69" s="445" t="s">
        <v>381</v>
      </c>
      <c r="E69" s="445" t="s">
        <v>382</v>
      </c>
      <c r="F69" s="422"/>
      <c r="G69" s="422"/>
      <c r="H69" s="422"/>
      <c r="I69" s="422"/>
      <c r="J69" s="422"/>
      <c r="K69" s="422"/>
      <c r="L69" s="422"/>
      <c r="M69" s="422"/>
      <c r="N69" s="422">
        <v>2</v>
      </c>
      <c r="O69" s="422">
        <v>150</v>
      </c>
      <c r="P69" s="446"/>
      <c r="Q69" s="447">
        <v>75</v>
      </c>
    </row>
    <row r="70" spans="1:17" ht="14.4" customHeight="1" x14ac:dyDescent="0.3">
      <c r="A70" s="421" t="s">
        <v>453</v>
      </c>
      <c r="B70" s="445" t="s">
        <v>379</v>
      </c>
      <c r="C70" s="445" t="s">
        <v>380</v>
      </c>
      <c r="D70" s="445" t="s">
        <v>383</v>
      </c>
      <c r="E70" s="445" t="s">
        <v>384</v>
      </c>
      <c r="F70" s="422">
        <v>733</v>
      </c>
      <c r="G70" s="422">
        <v>254351</v>
      </c>
      <c r="H70" s="422">
        <v>1.0531609195402298</v>
      </c>
      <c r="I70" s="422">
        <v>347</v>
      </c>
      <c r="J70" s="422">
        <v>696</v>
      </c>
      <c r="K70" s="422">
        <v>241512</v>
      </c>
      <c r="L70" s="422">
        <v>1</v>
      </c>
      <c r="M70" s="422">
        <v>347</v>
      </c>
      <c r="N70" s="422">
        <v>773</v>
      </c>
      <c r="O70" s="422">
        <v>270550</v>
      </c>
      <c r="P70" s="446">
        <v>1.1202341912617177</v>
      </c>
      <c r="Q70" s="447">
        <v>350</v>
      </c>
    </row>
    <row r="71" spans="1:17" ht="14.4" customHeight="1" x14ac:dyDescent="0.3">
      <c r="A71" s="421" t="s">
        <v>453</v>
      </c>
      <c r="B71" s="445" t="s">
        <v>379</v>
      </c>
      <c r="C71" s="445" t="s">
        <v>380</v>
      </c>
      <c r="D71" s="445" t="s">
        <v>389</v>
      </c>
      <c r="E71" s="445" t="s">
        <v>390</v>
      </c>
      <c r="F71" s="422"/>
      <c r="G71" s="422"/>
      <c r="H71" s="422"/>
      <c r="I71" s="422"/>
      <c r="J71" s="422"/>
      <c r="K71" s="422"/>
      <c r="L71" s="422"/>
      <c r="M71" s="422"/>
      <c r="N71" s="422">
        <v>6</v>
      </c>
      <c r="O71" s="422">
        <v>2100</v>
      </c>
      <c r="P71" s="446"/>
      <c r="Q71" s="447">
        <v>350</v>
      </c>
    </row>
    <row r="72" spans="1:17" ht="14.4" customHeight="1" x14ac:dyDescent="0.3">
      <c r="A72" s="421" t="s">
        <v>453</v>
      </c>
      <c r="B72" s="445" t="s">
        <v>379</v>
      </c>
      <c r="C72" s="445" t="s">
        <v>380</v>
      </c>
      <c r="D72" s="445" t="s">
        <v>393</v>
      </c>
      <c r="E72" s="445" t="s">
        <v>394</v>
      </c>
      <c r="F72" s="422"/>
      <c r="G72" s="422"/>
      <c r="H72" s="422"/>
      <c r="I72" s="422"/>
      <c r="J72" s="422">
        <v>4</v>
      </c>
      <c r="K72" s="422">
        <v>2324</v>
      </c>
      <c r="L72" s="422">
        <v>1</v>
      </c>
      <c r="M72" s="422">
        <v>581</v>
      </c>
      <c r="N72" s="422">
        <v>3</v>
      </c>
      <c r="O72" s="422">
        <v>1761</v>
      </c>
      <c r="P72" s="446">
        <v>0.75774526678141141</v>
      </c>
      <c r="Q72" s="447">
        <v>587</v>
      </c>
    </row>
    <row r="73" spans="1:17" ht="14.4" customHeight="1" x14ac:dyDescent="0.3">
      <c r="A73" s="421" t="s">
        <v>454</v>
      </c>
      <c r="B73" s="445" t="s">
        <v>379</v>
      </c>
      <c r="C73" s="445" t="s">
        <v>380</v>
      </c>
      <c r="D73" s="445" t="s">
        <v>381</v>
      </c>
      <c r="E73" s="445" t="s">
        <v>382</v>
      </c>
      <c r="F73" s="422">
        <v>1</v>
      </c>
      <c r="G73" s="422">
        <v>74</v>
      </c>
      <c r="H73" s="422"/>
      <c r="I73" s="422">
        <v>74</v>
      </c>
      <c r="J73" s="422"/>
      <c r="K73" s="422"/>
      <c r="L73" s="422"/>
      <c r="M73" s="422"/>
      <c r="N73" s="422"/>
      <c r="O73" s="422"/>
      <c r="P73" s="446"/>
      <c r="Q73" s="447"/>
    </row>
    <row r="74" spans="1:17" ht="14.4" customHeight="1" x14ac:dyDescent="0.3">
      <c r="A74" s="421" t="s">
        <v>454</v>
      </c>
      <c r="B74" s="445" t="s">
        <v>379</v>
      </c>
      <c r="C74" s="445" t="s">
        <v>380</v>
      </c>
      <c r="D74" s="445" t="s">
        <v>383</v>
      </c>
      <c r="E74" s="445" t="s">
        <v>384</v>
      </c>
      <c r="F74" s="422">
        <v>32</v>
      </c>
      <c r="G74" s="422">
        <v>11104</v>
      </c>
      <c r="H74" s="422">
        <v>1</v>
      </c>
      <c r="I74" s="422">
        <v>347</v>
      </c>
      <c r="J74" s="422">
        <v>32</v>
      </c>
      <c r="K74" s="422">
        <v>11104</v>
      </c>
      <c r="L74" s="422">
        <v>1</v>
      </c>
      <c r="M74" s="422">
        <v>347</v>
      </c>
      <c r="N74" s="422"/>
      <c r="O74" s="422"/>
      <c r="P74" s="446"/>
      <c r="Q74" s="447"/>
    </row>
    <row r="75" spans="1:17" ht="14.4" customHeight="1" x14ac:dyDescent="0.3">
      <c r="A75" s="421" t="s">
        <v>455</v>
      </c>
      <c r="B75" s="445" t="s">
        <v>379</v>
      </c>
      <c r="C75" s="445" t="s">
        <v>380</v>
      </c>
      <c r="D75" s="445" t="s">
        <v>383</v>
      </c>
      <c r="E75" s="445" t="s">
        <v>384</v>
      </c>
      <c r="F75" s="422">
        <v>33</v>
      </c>
      <c r="G75" s="422">
        <v>11451</v>
      </c>
      <c r="H75" s="422">
        <v>1.65</v>
      </c>
      <c r="I75" s="422">
        <v>347</v>
      </c>
      <c r="J75" s="422">
        <v>20</v>
      </c>
      <c r="K75" s="422">
        <v>6940</v>
      </c>
      <c r="L75" s="422">
        <v>1</v>
      </c>
      <c r="M75" s="422">
        <v>347</v>
      </c>
      <c r="N75" s="422">
        <v>4</v>
      </c>
      <c r="O75" s="422">
        <v>1400</v>
      </c>
      <c r="P75" s="446">
        <v>0.20172910662824209</v>
      </c>
      <c r="Q75" s="447">
        <v>350</v>
      </c>
    </row>
    <row r="76" spans="1:17" ht="14.4" customHeight="1" x14ac:dyDescent="0.3">
      <c r="A76" s="421" t="s">
        <v>455</v>
      </c>
      <c r="B76" s="445" t="s">
        <v>379</v>
      </c>
      <c r="C76" s="445" t="s">
        <v>380</v>
      </c>
      <c r="D76" s="445" t="s">
        <v>387</v>
      </c>
      <c r="E76" s="445" t="s">
        <v>388</v>
      </c>
      <c r="F76" s="422">
        <v>4</v>
      </c>
      <c r="G76" s="422">
        <v>1388</v>
      </c>
      <c r="H76" s="422"/>
      <c r="I76" s="422">
        <v>347</v>
      </c>
      <c r="J76" s="422"/>
      <c r="K76" s="422"/>
      <c r="L76" s="422"/>
      <c r="M76" s="422"/>
      <c r="N76" s="422"/>
      <c r="O76" s="422"/>
      <c r="P76" s="446"/>
      <c r="Q76" s="447"/>
    </row>
    <row r="77" spans="1:17" ht="14.4" customHeight="1" thickBot="1" x14ac:dyDescent="0.35">
      <c r="A77" s="425" t="s">
        <v>455</v>
      </c>
      <c r="B77" s="448" t="s">
        <v>379</v>
      </c>
      <c r="C77" s="448" t="s">
        <v>380</v>
      </c>
      <c r="D77" s="448" t="s">
        <v>389</v>
      </c>
      <c r="E77" s="448" t="s">
        <v>390</v>
      </c>
      <c r="F77" s="426">
        <v>4</v>
      </c>
      <c r="G77" s="426">
        <v>1388</v>
      </c>
      <c r="H77" s="426">
        <v>1</v>
      </c>
      <c r="I77" s="426">
        <v>347</v>
      </c>
      <c r="J77" s="426">
        <v>4</v>
      </c>
      <c r="K77" s="426">
        <v>1388</v>
      </c>
      <c r="L77" s="426">
        <v>1</v>
      </c>
      <c r="M77" s="426">
        <v>347</v>
      </c>
      <c r="N77" s="426"/>
      <c r="O77" s="426"/>
      <c r="P77" s="449"/>
      <c r="Q77" s="45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275" t="s">
        <v>91</v>
      </c>
      <c r="B1" s="275"/>
      <c r="C1" s="276"/>
      <c r="D1" s="276"/>
      <c r="E1" s="276"/>
    </row>
    <row r="2" spans="1:5" ht="14.4" customHeight="1" thickBot="1" x14ac:dyDescent="0.35">
      <c r="A2" s="192" t="s">
        <v>206</v>
      </c>
      <c r="B2" s="120"/>
    </row>
    <row r="3" spans="1:5" ht="14.4" customHeight="1" thickBot="1" x14ac:dyDescent="0.35">
      <c r="A3" s="123"/>
      <c r="C3" s="124" t="s">
        <v>82</v>
      </c>
      <c r="D3" s="125" t="s">
        <v>48</v>
      </c>
      <c r="E3" s="126" t="s">
        <v>50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2876.8506413269042</v>
      </c>
      <c r="D4" s="129">
        <f ca="1">IF(ISERROR(VLOOKUP("Náklady celkem",INDIRECT("HI!$A:$G"),5,0)),0,VLOOKUP("Náklady celkem",INDIRECT("HI!$A:$G"),5,0))</f>
        <v>3039.0031599999993</v>
      </c>
      <c r="E4" s="130">
        <f ca="1">IF(C4=0,0,D4/C4)</f>
        <v>1.0563645940959607</v>
      </c>
    </row>
    <row r="5" spans="1:5" ht="14.4" customHeight="1" x14ac:dyDescent="0.3">
      <c r="A5" s="131" t="s">
        <v>104</v>
      </c>
      <c r="B5" s="132"/>
      <c r="C5" s="133"/>
      <c r="D5" s="133"/>
      <c r="E5" s="134"/>
    </row>
    <row r="6" spans="1:5" ht="14.4" customHeight="1" x14ac:dyDescent="0.3">
      <c r="A6" s="135" t="s">
        <v>109</v>
      </c>
      <c r="B6" s="136"/>
      <c r="C6" s="137"/>
      <c r="D6" s="137"/>
      <c r="E6" s="134"/>
    </row>
    <row r="7" spans="1:5" ht="14.4" customHeight="1" x14ac:dyDescent="0.3">
      <c r="A7" s="20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86</v>
      </c>
      <c r="C7" s="137">
        <f>IF(ISERROR(HI!F5),"",HI!F5)</f>
        <v>0.33333334350585936</v>
      </c>
      <c r="D7" s="137">
        <f>IF(ISERROR(HI!E5),"",HI!E5)</f>
        <v>0</v>
      </c>
      <c r="E7" s="134">
        <f t="shared" ref="E7:E11" si="0">IF(C7=0,0,D7/C7)</f>
        <v>0</v>
      </c>
    </row>
    <row r="8" spans="1:5" ht="14.4" customHeight="1" x14ac:dyDescent="0.3">
      <c r="A8" s="139" t="s">
        <v>105</v>
      </c>
      <c r="B8" s="136"/>
      <c r="C8" s="137"/>
      <c r="D8" s="137"/>
      <c r="E8" s="134"/>
    </row>
    <row r="9" spans="1:5" ht="14.4" customHeight="1" x14ac:dyDescent="0.3">
      <c r="A9" s="139" t="s">
        <v>106</v>
      </c>
      <c r="B9" s="136"/>
      <c r="C9" s="137"/>
      <c r="D9" s="137"/>
      <c r="E9" s="134"/>
    </row>
    <row r="10" spans="1:5" ht="14.4" customHeight="1" x14ac:dyDescent="0.3">
      <c r="A10" s="140" t="s">
        <v>110</v>
      </c>
      <c r="B10" s="136"/>
      <c r="C10" s="133"/>
      <c r="D10" s="133"/>
      <c r="E10" s="134"/>
    </row>
    <row r="11" spans="1:5" ht="14.4" customHeight="1" x14ac:dyDescent="0.3">
      <c r="A11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6" t="s">
        <v>86</v>
      </c>
      <c r="C11" s="137">
        <f>IF(ISERROR(HI!F6),"",HI!F6)</f>
        <v>0</v>
      </c>
      <c r="D11" s="137">
        <f>IF(ISERROR(HI!E6),"",HI!E6)</f>
        <v>0</v>
      </c>
      <c r="E11" s="134">
        <f t="shared" si="0"/>
        <v>0</v>
      </c>
    </row>
    <row r="12" spans="1:5" ht="14.4" customHeight="1" thickBot="1" x14ac:dyDescent="0.35">
      <c r="A12" s="142" t="str">
        <f>HYPERLINK("#HI!A1","Osobní náklady")</f>
        <v>Osobní náklady</v>
      </c>
      <c r="B12" s="136"/>
      <c r="C12" s="133">
        <f ca="1">IF(ISERROR(VLOOKUP("Osobní náklady (Kč) *",INDIRECT("HI!$A:$G"),6,0)),0,VLOOKUP("Osobní náklady (Kč) *",INDIRECT("HI!$A:$G"),6,0))</f>
        <v>2784.5727656250001</v>
      </c>
      <c r="D12" s="133">
        <f ca="1">IF(ISERROR(VLOOKUP("Osobní náklady (Kč) *",INDIRECT("HI!$A:$G"),5,0)),0,VLOOKUP("Osobní náklady (Kč) *",INDIRECT("HI!$A:$G"),5,0))</f>
        <v>2904.0433800000001</v>
      </c>
      <c r="E12" s="134">
        <f ca="1">IF(C12=0,0,D12/C12)</f>
        <v>1.0429044684519797</v>
      </c>
    </row>
    <row r="13" spans="1:5" ht="14.4" customHeight="1" thickBot="1" x14ac:dyDescent="0.35">
      <c r="A13" s="146"/>
      <c r="B13" s="147"/>
      <c r="C13" s="148"/>
      <c r="D13" s="148"/>
      <c r="E13" s="149"/>
    </row>
    <row r="14" spans="1:5" ht="14.4" customHeight="1" thickBot="1" x14ac:dyDescent="0.35">
      <c r="A14" s="150" t="str">
        <f>HYPERLINK("#HI!A1","VÝNOSY CELKEM (v tisících)")</f>
        <v>VÝNOSY CELKEM (v tisících)</v>
      </c>
      <c r="B14" s="151"/>
      <c r="C14" s="152">
        <f ca="1">IF(ISERROR(VLOOKUP("Výnosy celkem",INDIRECT("HI!$A:$G"),6,0)),0,VLOOKUP("Výnosy celkem",INDIRECT("HI!$A:$G"),6,0))</f>
        <v>1810.2863299999999</v>
      </c>
      <c r="D14" s="152">
        <f ca="1">IF(ISERROR(VLOOKUP("Výnosy celkem",INDIRECT("HI!$A:$G"),5,0)),0,VLOOKUP("Výnosy celkem",INDIRECT("HI!$A:$G"),5,0))</f>
        <v>1913.5573199999997</v>
      </c>
      <c r="E14" s="153">
        <f t="shared" ref="E14:E19" ca="1" si="1">IF(C14=0,0,D14/C14)</f>
        <v>1.0570467711591236</v>
      </c>
    </row>
    <row r="15" spans="1:5" ht="14.4" customHeight="1" x14ac:dyDescent="0.3">
      <c r="A15" s="154" t="str">
        <f>HYPERLINK("#HI!A1","Ambulance (body za výkony + Kč za ZUM a ZULP)")</f>
        <v>Ambulance (body za výkony + Kč za ZUM a ZULP)</v>
      </c>
      <c r="B15" s="132"/>
      <c r="C15" s="133">
        <f ca="1">IF(ISERROR(VLOOKUP("Ambulance *",INDIRECT("HI!$A:$G"),6,0)),0,VLOOKUP("Ambulance *",INDIRECT("HI!$A:$G"),6,0))</f>
        <v>1810.2863299999999</v>
      </c>
      <c r="D15" s="133">
        <f ca="1">IF(ISERROR(VLOOKUP("Ambulance *",INDIRECT("HI!$A:$G"),5,0)),0,VLOOKUP("Ambulance *",INDIRECT("HI!$A:$G"),5,0))</f>
        <v>1913.5573199999997</v>
      </c>
      <c r="E15" s="134">
        <f t="shared" ca="1" si="1"/>
        <v>1.0570467711591236</v>
      </c>
    </row>
    <row r="16" spans="1:5" ht="14.4" customHeight="1" x14ac:dyDescent="0.3">
      <c r="A16" s="212" t="str">
        <f>HYPERLINK("#'ZV Vykáz.-A'!A1","Zdravotní výkony vykázané u ambulantních pacientů (min. 100 % 2016)")</f>
        <v>Zdravotní výkony vykázané u ambulantních pacientů (min. 100 % 2016)</v>
      </c>
      <c r="B16" s="213" t="s">
        <v>93</v>
      </c>
      <c r="C16" s="138">
        <v>1</v>
      </c>
      <c r="D16" s="138">
        <f>IF(ISERROR(VLOOKUP("Celkem:",'ZV Vykáz.-A'!$A:$AB,10,0)),"",VLOOKUP("Celkem:",'ZV Vykáz.-A'!$A:$AB,10,0))</f>
        <v>1.0570467711591236</v>
      </c>
      <c r="E16" s="134">
        <f t="shared" si="1"/>
        <v>1.0570467711591236</v>
      </c>
    </row>
    <row r="17" spans="1:5" ht="14.4" customHeight="1" x14ac:dyDescent="0.3">
      <c r="A17" s="211" t="str">
        <f>HYPERLINK("#'ZV Vykáz.-A'!A1","Specializovaná ambulantní péče")</f>
        <v>Specializovaná ambulantní péče</v>
      </c>
      <c r="B17" s="213" t="s">
        <v>93</v>
      </c>
      <c r="C17" s="138">
        <v>1</v>
      </c>
      <c r="D17" s="205">
        <f>IF(ISERROR(VLOOKUP("Specializovaná ambulantní péče",'ZV Vykáz.-A'!$A:$AB,10,0)),"",VLOOKUP("Specializovaná ambulantní péče",'ZV Vykáz.-A'!$A:$AB,10,0))</f>
        <v>1.0570467711591238</v>
      </c>
      <c r="E17" s="134">
        <f t="shared" si="1"/>
        <v>1.0570467711591238</v>
      </c>
    </row>
    <row r="18" spans="1:5" ht="14.4" customHeight="1" x14ac:dyDescent="0.3">
      <c r="A18" s="211" t="str">
        <f>HYPERLINK("#'ZV Vykáz.-A'!A1","Ambulantní péče ve vyjmenovaných odbornostech (§9)")</f>
        <v>Ambulantní péče ve vyjmenovaných odbornostech (§9)</v>
      </c>
      <c r="B18" s="213" t="s">
        <v>93</v>
      </c>
      <c r="C18" s="138">
        <v>1</v>
      </c>
      <c r="D18" s="205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4">
        <f>IF(OR(C18=0,D18=""),0,IF(C18="","",D18/C18))</f>
        <v>0</v>
      </c>
    </row>
    <row r="19" spans="1:5" ht="14.4" customHeight="1" x14ac:dyDescent="0.3">
      <c r="A19" s="155" t="str">
        <f>HYPERLINK("#'ZV Vykáz.-H'!A1","Zdravotní výkony vykázané u hospitalizovaných pacientů (max. 85 %)")</f>
        <v>Zdravotní výkony vykázané u hospitalizovaných pacientů (max. 85 %)</v>
      </c>
      <c r="B19" s="213" t="s">
        <v>95</v>
      </c>
      <c r="C19" s="138">
        <v>0.85</v>
      </c>
      <c r="D19" s="138">
        <f>IF(ISERROR(VLOOKUP("Celkem:",'ZV Vykáz.-H'!$A:$S,7,0)),"",VLOOKUP("Celkem:",'ZV Vykáz.-H'!$A:$S,7,0))</f>
        <v>0.99074286768753039</v>
      </c>
      <c r="E19" s="134">
        <f t="shared" si="1"/>
        <v>1.165579844338271</v>
      </c>
    </row>
    <row r="20" spans="1:5" ht="14.4" customHeight="1" x14ac:dyDescent="0.3">
      <c r="A20" s="156" t="str">
        <f>HYPERLINK("#HI!A1","Hospitalizace (casemix * 30000)")</f>
        <v>Hospitalizace (casemix * 30000)</v>
      </c>
      <c r="B20" s="136"/>
      <c r="C20" s="133">
        <f ca="1">IF(ISERROR(VLOOKUP("Hospitalizace *",INDIRECT("HI!$A:$G"),6,0)),0,VLOOKUP("Hospitalizace *",INDIRECT("HI!$A:$G"),6,0))</f>
        <v>0</v>
      </c>
      <c r="D20" s="133">
        <f ca="1">IF(ISERROR(VLOOKUP("Hospitalizace *",INDIRECT("HI!$A:$G"),5,0)),0,VLOOKUP("Hospitalizace *",INDIRECT("HI!$A:$G"),5,0))</f>
        <v>0</v>
      </c>
      <c r="E20" s="134">
        <f ca="1">IF(C20=0,0,D20/C20)</f>
        <v>0</v>
      </c>
    </row>
    <row r="21" spans="1:5" ht="14.4" customHeight="1" thickBot="1" x14ac:dyDescent="0.35">
      <c r="A21" s="157" t="s">
        <v>107</v>
      </c>
      <c r="B21" s="143"/>
      <c r="C21" s="144"/>
      <c r="D21" s="144"/>
      <c r="E21" s="145"/>
    </row>
    <row r="22" spans="1:5" ht="14.4" customHeight="1" thickBot="1" x14ac:dyDescent="0.35">
      <c r="A22" s="158"/>
      <c r="B22" s="159"/>
      <c r="C22" s="160"/>
      <c r="D22" s="160"/>
      <c r="E22" s="161"/>
    </row>
    <row r="23" spans="1:5" ht="14.4" customHeight="1" thickBot="1" x14ac:dyDescent="0.35">
      <c r="A23" s="162" t="s">
        <v>108</v>
      </c>
      <c r="B23" s="163"/>
      <c r="C23" s="164"/>
      <c r="D23" s="164"/>
      <c r="E23" s="165"/>
    </row>
  </sheetData>
  <mergeCells count="1">
    <mergeCell ref="A1:E1"/>
  </mergeCells>
  <conditionalFormatting sqref="E5">
    <cfRule type="cellIs" dxfId="3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2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2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1" bestFit="1" customWidth="1"/>
    <col min="2" max="2" width="9.5546875" style="101" hidden="1" customWidth="1" outlineLevel="1"/>
    <col min="3" max="3" width="9.5546875" style="101" customWidth="1" collapsed="1"/>
    <col min="4" max="4" width="2.21875" style="101" customWidth="1"/>
    <col min="5" max="8" width="9.5546875" style="101" customWidth="1"/>
    <col min="9" max="10" width="9.77734375" style="101" hidden="1" customWidth="1" outlineLevel="1"/>
    <col min="11" max="11" width="8.88671875" style="101" collapsed="1"/>
    <col min="12" max="16384" width="8.88671875" style="101"/>
  </cols>
  <sheetData>
    <row r="1" spans="1:10" ht="18.600000000000001" customHeight="1" thickBot="1" x14ac:dyDescent="0.4">
      <c r="A1" s="286" t="s">
        <v>100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ht="14.4" customHeight="1" thickBot="1" x14ac:dyDescent="0.35">
      <c r="A2" s="192" t="s">
        <v>206</v>
      </c>
      <c r="B2" s="83"/>
      <c r="C2" s="83"/>
      <c r="D2" s="83"/>
      <c r="E2" s="83"/>
      <c r="F2" s="83"/>
    </row>
    <row r="3" spans="1:10" ht="14.4" customHeight="1" x14ac:dyDescent="0.3">
      <c r="A3" s="277"/>
      <c r="B3" s="79">
        <v>2015</v>
      </c>
      <c r="C3" s="40">
        <v>2018</v>
      </c>
      <c r="D3" s="7"/>
      <c r="E3" s="281">
        <v>2019</v>
      </c>
      <c r="F3" s="282"/>
      <c r="G3" s="282"/>
      <c r="H3" s="283"/>
      <c r="I3" s="284">
        <v>2017</v>
      </c>
      <c r="J3" s="285"/>
    </row>
    <row r="4" spans="1:10" ht="14.4" customHeight="1" thickBot="1" x14ac:dyDescent="0.35">
      <c r="A4" s="278"/>
      <c r="B4" s="279" t="s">
        <v>48</v>
      </c>
      <c r="C4" s="280"/>
      <c r="D4" s="7"/>
      <c r="E4" s="100" t="s">
        <v>48</v>
      </c>
      <c r="F4" s="81" t="s">
        <v>49</v>
      </c>
      <c r="G4" s="81" t="s">
        <v>43</v>
      </c>
      <c r="H4" s="82" t="s">
        <v>50</v>
      </c>
      <c r="I4" s="216" t="s">
        <v>151</v>
      </c>
      <c r="J4" s="217" t="s">
        <v>152</v>
      </c>
    </row>
    <row r="5" spans="1:10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0.33333334350585936</v>
      </c>
      <c r="G5" s="88">
        <f>E5-F5</f>
        <v>-0.33333334350585936</v>
      </c>
      <c r="H5" s="94">
        <f>IF(F5&lt;0.00000001,"",E5/F5)</f>
        <v>0</v>
      </c>
    </row>
    <row r="6" spans="1:10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" customHeight="1" x14ac:dyDescent="0.3">
      <c r="A7" s="84" t="str">
        <f>HYPERLINK("#'Osobní náklady'!A1","Osobní náklady (Kč) *")</f>
        <v>Osobní náklady (Kč) *</v>
      </c>
      <c r="B7" s="10">
        <v>2458.4370100000001</v>
      </c>
      <c r="C7" s="31">
        <v>2649.1471000000001</v>
      </c>
      <c r="D7" s="8"/>
      <c r="E7" s="90">
        <v>2904.0433800000001</v>
      </c>
      <c r="F7" s="30">
        <v>2784.5727656250001</v>
      </c>
      <c r="G7" s="91">
        <f>E7-F7</f>
        <v>119.47061437499997</v>
      </c>
      <c r="H7" s="95">
        <f>IF(F7&lt;0.00000001,"",E7/F7)</f>
        <v>1.0429044684519797</v>
      </c>
    </row>
    <row r="8" spans="1:10" ht="14.4" customHeight="1" thickBot="1" x14ac:dyDescent="0.35">
      <c r="A8" s="1" t="s">
        <v>51</v>
      </c>
      <c r="B8" s="11">
        <v>124.3426400000003</v>
      </c>
      <c r="C8" s="33">
        <v>122.53992999999946</v>
      </c>
      <c r="D8" s="8"/>
      <c r="E8" s="92">
        <v>134.95977999999923</v>
      </c>
      <c r="F8" s="32">
        <v>91.944542358398266</v>
      </c>
      <c r="G8" s="93">
        <f>E8-F8</f>
        <v>43.015237641600962</v>
      </c>
      <c r="H8" s="96">
        <f>IF(F8&lt;0.00000001,"",E8/F8)</f>
        <v>1.4678389444142133</v>
      </c>
    </row>
    <row r="9" spans="1:10" ht="14.4" customHeight="1" thickBot="1" x14ac:dyDescent="0.35">
      <c r="A9" s="2" t="s">
        <v>52</v>
      </c>
      <c r="B9" s="3">
        <v>2582.7796500000004</v>
      </c>
      <c r="C9" s="35">
        <v>2771.6870299999996</v>
      </c>
      <c r="D9" s="8"/>
      <c r="E9" s="3">
        <v>3039.0031599999993</v>
      </c>
      <c r="F9" s="34">
        <v>2876.8506413269042</v>
      </c>
      <c r="G9" s="34">
        <f>E9-F9</f>
        <v>162.15251867309507</v>
      </c>
      <c r="H9" s="97">
        <f>IF(F9&lt;0.00000001,"",E9/F9)</f>
        <v>1.0563645940959607</v>
      </c>
    </row>
    <row r="10" spans="1:10" ht="14.4" customHeight="1" thickBot="1" x14ac:dyDescent="0.35">
      <c r="A10" s="12"/>
      <c r="B10" s="12"/>
      <c r="C10" s="80"/>
      <c r="D10" s="8"/>
      <c r="E10" s="12"/>
      <c r="F10" s="13"/>
    </row>
    <row r="11" spans="1:10" ht="14.4" customHeight="1" x14ac:dyDescent="0.3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1488.7933699999992</v>
      </c>
      <c r="C11" s="29">
        <f>IF(ISERROR(VLOOKUP("Celkem:",'ZV Vykáz.-A'!A:H,5,0)),0,VLOOKUP("Celkem:",'ZV Vykáz.-A'!A:H,5,0)/1000)</f>
        <v>1810.2863299999999</v>
      </c>
      <c r="D11" s="8"/>
      <c r="E11" s="89">
        <f>IF(ISERROR(VLOOKUP("Celkem:",'ZV Vykáz.-A'!A:H,8,0)),0,VLOOKUP("Celkem:",'ZV Vykáz.-A'!A:H,8,0)/1000)</f>
        <v>1913.5573199999997</v>
      </c>
      <c r="F11" s="28">
        <f>C11</f>
        <v>1810.2863299999999</v>
      </c>
      <c r="G11" s="88">
        <f>E11-F11</f>
        <v>103.27098999999976</v>
      </c>
      <c r="H11" s="94">
        <f>IF(F11&lt;0.00000001,"",E11/F11)</f>
        <v>1.0570467711591236</v>
      </c>
      <c r="I11" s="88">
        <f>E11-B11</f>
        <v>424.76395000000048</v>
      </c>
      <c r="J11" s="94">
        <f>IF(B11&lt;0.00000001,"",E11/B11)</f>
        <v>1.2853075239044089</v>
      </c>
    </row>
    <row r="12" spans="1:10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" customHeight="1" thickBot="1" x14ac:dyDescent="0.35">
      <c r="A13" s="4" t="s">
        <v>55</v>
      </c>
      <c r="B13" s="5">
        <f>SUM(B11:B12)</f>
        <v>1488.7933699999992</v>
      </c>
      <c r="C13" s="37">
        <f>SUM(C11:C12)</f>
        <v>1810.2863299999999</v>
      </c>
      <c r="D13" s="8"/>
      <c r="E13" s="5">
        <f>SUM(E11:E12)</f>
        <v>1913.5573199999997</v>
      </c>
      <c r="F13" s="36">
        <f>SUM(F11:F12)</f>
        <v>1810.2863299999999</v>
      </c>
      <c r="G13" s="36">
        <f>E13-F13</f>
        <v>103.27098999999976</v>
      </c>
      <c r="H13" s="98">
        <f>IF(F13&lt;0.00000001,"",E13/F13)</f>
        <v>1.0570467711591236</v>
      </c>
      <c r="I13" s="36">
        <f>SUM(I11:I12)</f>
        <v>424.76395000000048</v>
      </c>
      <c r="J13" s="98">
        <f>IF(B13&lt;0.00000001,"",E13/B13)</f>
        <v>1.2853075239044089</v>
      </c>
    </row>
    <row r="14" spans="1:10" ht="14.4" customHeight="1" thickBot="1" x14ac:dyDescent="0.35">
      <c r="A14" s="12"/>
      <c r="B14" s="12"/>
      <c r="C14" s="80"/>
      <c r="D14" s="8"/>
      <c r="E14" s="12"/>
      <c r="F14" s="13"/>
    </row>
    <row r="15" spans="1:10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>
        <f>IF(B9=0,"",B13/B9)</f>
        <v>0.57643065679257577</v>
      </c>
      <c r="C15" s="39">
        <f>IF(C9=0,"",C13/C9)</f>
        <v>0.65313518821062566</v>
      </c>
      <c r="D15" s="8"/>
      <c r="E15" s="6">
        <f>IF(E9=0,"",E13/E9)</f>
        <v>0.62966611722772936</v>
      </c>
      <c r="F15" s="38">
        <f>IF(F9=0,"",F13/F9)</f>
        <v>0.6292597550928235</v>
      </c>
      <c r="G15" s="38">
        <f>IF(ISERROR(F15-E15),"",E15-F15)</f>
        <v>4.0636213490585771E-4</v>
      </c>
      <c r="H15" s="99">
        <f>IF(ISERROR(F15-E15),"",IF(F15&lt;0.00000001,"",E15/F15))</f>
        <v>1.0006457780457387</v>
      </c>
    </row>
    <row r="17" spans="1:8" ht="14.4" customHeight="1" x14ac:dyDescent="0.3">
      <c r="A17" s="85" t="s">
        <v>111</v>
      </c>
    </row>
    <row r="18" spans="1:8" ht="14.4" customHeight="1" x14ac:dyDescent="0.3">
      <c r="A18" s="195" t="s">
        <v>136</v>
      </c>
      <c r="B18" s="196"/>
      <c r="C18" s="196"/>
      <c r="D18" s="196"/>
      <c r="E18" s="196"/>
      <c r="F18" s="196"/>
      <c r="G18" s="196"/>
      <c r="H18" s="196"/>
    </row>
    <row r="19" spans="1:8" x14ac:dyDescent="0.3">
      <c r="A19" s="194" t="s">
        <v>135</v>
      </c>
      <c r="B19" s="196"/>
      <c r="C19" s="196"/>
      <c r="D19" s="196"/>
      <c r="E19" s="196"/>
      <c r="F19" s="196"/>
      <c r="G19" s="196"/>
      <c r="H19" s="196"/>
    </row>
    <row r="20" spans="1:8" ht="14.4" customHeight="1" x14ac:dyDescent="0.3">
      <c r="A20" s="86" t="s">
        <v>144</v>
      </c>
    </row>
    <row r="21" spans="1:8" ht="14.4" customHeight="1" x14ac:dyDescent="0.3">
      <c r="A21" s="86" t="s">
        <v>112</v>
      </c>
    </row>
    <row r="22" spans="1:8" ht="14.4" customHeight="1" x14ac:dyDescent="0.3">
      <c r="A22" s="87" t="s">
        <v>185</v>
      </c>
    </row>
    <row r="23" spans="1:8" ht="14.4" customHeight="1" x14ac:dyDescent="0.3">
      <c r="A23" s="87" t="s">
        <v>113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6" priority="8" operator="greaterThan">
      <formula>0</formula>
    </cfRule>
  </conditionalFormatting>
  <conditionalFormatting sqref="G11:G13 G15">
    <cfRule type="cellIs" dxfId="25" priority="7" operator="lessThan">
      <formula>0</formula>
    </cfRule>
  </conditionalFormatting>
  <conditionalFormatting sqref="H5:H9">
    <cfRule type="cellIs" dxfId="24" priority="6" operator="greaterThan">
      <formula>1</formula>
    </cfRule>
  </conditionalFormatting>
  <conditionalFormatting sqref="H11:H13 H15">
    <cfRule type="cellIs" dxfId="23" priority="5" operator="lessThan">
      <formula>1</formula>
    </cfRule>
  </conditionalFormatting>
  <conditionalFormatting sqref="I11:I13">
    <cfRule type="cellIs" dxfId="22" priority="4" operator="lessThan">
      <formula>0</formula>
    </cfRule>
  </conditionalFormatting>
  <conditionalFormatting sqref="J11:J13">
    <cfRule type="cellIs" dxfId="2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1"/>
    <col min="2" max="13" width="8.88671875" style="101" customWidth="1"/>
    <col min="14" max="16384" width="8.88671875" style="101"/>
  </cols>
  <sheetData>
    <row r="1" spans="1:13" ht="18.600000000000001" customHeight="1" thickBot="1" x14ac:dyDescent="0.4">
      <c r="A1" s="275" t="s">
        <v>79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ht="14.4" customHeight="1" x14ac:dyDescent="0.3">
      <c r="A2" s="192" t="s">
        <v>206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" customHeight="1" x14ac:dyDescent="0.3">
      <c r="A3" s="167"/>
      <c r="B3" s="168" t="s">
        <v>57</v>
      </c>
      <c r="C3" s="169" t="s">
        <v>58</v>
      </c>
      <c r="D3" s="169" t="s">
        <v>59</v>
      </c>
      <c r="E3" s="168" t="s">
        <v>60</v>
      </c>
      <c r="F3" s="169" t="s">
        <v>61</v>
      </c>
      <c r="G3" s="169" t="s">
        <v>62</v>
      </c>
      <c r="H3" s="169" t="s">
        <v>63</v>
      </c>
      <c r="I3" s="169" t="s">
        <v>64</v>
      </c>
      <c r="J3" s="169" t="s">
        <v>65</v>
      </c>
      <c r="K3" s="169" t="s">
        <v>66</v>
      </c>
      <c r="L3" s="169" t="s">
        <v>67</v>
      </c>
      <c r="M3" s="169" t="s">
        <v>68</v>
      </c>
    </row>
    <row r="4" spans="1:13" ht="14.4" customHeight="1" x14ac:dyDescent="0.3">
      <c r="A4" s="167" t="s">
        <v>56</v>
      </c>
      <c r="B4" s="170">
        <f>(B10+B8)/B6</f>
        <v>0.67299120330414874</v>
      </c>
      <c r="C4" s="170">
        <f t="shared" ref="C4:M4" si="0">(C10+C8)/C6</f>
        <v>0.63421583155575056</v>
      </c>
      <c r="D4" s="170">
        <f t="shared" si="0"/>
        <v>0.61852250022167732</v>
      </c>
      <c r="E4" s="170">
        <f t="shared" si="0"/>
        <v>0.62966612051828241</v>
      </c>
      <c r="F4" s="170">
        <f t="shared" si="0"/>
        <v>0.62966612051828241</v>
      </c>
      <c r="G4" s="170">
        <f t="shared" si="0"/>
        <v>0.62966612051828241</v>
      </c>
      <c r="H4" s="170">
        <f t="shared" si="0"/>
        <v>0.62966612051828241</v>
      </c>
      <c r="I4" s="170">
        <f t="shared" si="0"/>
        <v>0.62966612051828241</v>
      </c>
      <c r="J4" s="170">
        <f t="shared" si="0"/>
        <v>0.62966612051828241</v>
      </c>
      <c r="K4" s="170">
        <f t="shared" si="0"/>
        <v>0.62966612051828241</v>
      </c>
      <c r="L4" s="170">
        <f t="shared" si="0"/>
        <v>0.62966612051828241</v>
      </c>
      <c r="M4" s="170">
        <f t="shared" si="0"/>
        <v>0.62966612051828241</v>
      </c>
    </row>
    <row r="5" spans="1:13" ht="14.4" customHeight="1" x14ac:dyDescent="0.3">
      <c r="A5" s="171" t="s">
        <v>29</v>
      </c>
      <c r="B5" s="170">
        <f>IF(ISERROR(VLOOKUP($A5,'Man Tab'!$A:$Q,COLUMN()+2,0)),0,VLOOKUP($A5,'Man Tab'!$A:$Q,COLUMN()+2,0))</f>
        <v>762.43741000000205</v>
      </c>
      <c r="C5" s="170">
        <f>IF(ISERROR(VLOOKUP($A5,'Man Tab'!$A:$Q,COLUMN()+2,0)),0,VLOOKUP($A5,'Man Tab'!$A:$Q,COLUMN()+2,0))</f>
        <v>743.88366000000099</v>
      </c>
      <c r="D5" s="170">
        <f>IF(ISERROR(VLOOKUP($A5,'Man Tab'!$A:$Q,COLUMN()+2,0)),0,VLOOKUP($A5,'Man Tab'!$A:$Q,COLUMN()+2,0))</f>
        <v>764.99432999999794</v>
      </c>
      <c r="E5" s="170">
        <f>IF(ISERROR(VLOOKUP($A5,'Man Tab'!$A:$Q,COLUMN()+2,0)),0,VLOOKUP($A5,'Man Tab'!$A:$Q,COLUMN()+2,0))</f>
        <v>767.68775999999696</v>
      </c>
      <c r="F5" s="170">
        <f>IF(ISERROR(VLOOKUP($A5,'Man Tab'!$A:$Q,COLUMN()+2,0)),0,VLOOKUP($A5,'Man Tab'!$A:$Q,COLUMN()+2,0))</f>
        <v>0</v>
      </c>
      <c r="G5" s="170">
        <f>IF(ISERROR(VLOOKUP($A5,'Man Tab'!$A:$Q,COLUMN()+2,0)),0,VLOOKUP($A5,'Man Tab'!$A:$Q,COLUMN()+2,0))</f>
        <v>0</v>
      </c>
      <c r="H5" s="170">
        <f>IF(ISERROR(VLOOKUP($A5,'Man Tab'!$A:$Q,COLUMN()+2,0)),0,VLOOKUP($A5,'Man Tab'!$A:$Q,COLUMN()+2,0))</f>
        <v>0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52</v>
      </c>
      <c r="B6" s="172">
        <f>B5</f>
        <v>762.43741000000205</v>
      </c>
      <c r="C6" s="172">
        <f t="shared" ref="C6:M6" si="1">C5+B6</f>
        <v>1506.3210700000031</v>
      </c>
      <c r="D6" s="172">
        <f t="shared" si="1"/>
        <v>2271.3154000000013</v>
      </c>
      <c r="E6" s="172">
        <f t="shared" si="1"/>
        <v>3039.0031599999984</v>
      </c>
      <c r="F6" s="172">
        <f t="shared" si="1"/>
        <v>3039.0031599999984</v>
      </c>
      <c r="G6" s="172">
        <f t="shared" si="1"/>
        <v>3039.0031599999984</v>
      </c>
      <c r="H6" s="172">
        <f t="shared" si="1"/>
        <v>3039.0031599999984</v>
      </c>
      <c r="I6" s="172">
        <f t="shared" si="1"/>
        <v>3039.0031599999984</v>
      </c>
      <c r="J6" s="172">
        <f t="shared" si="1"/>
        <v>3039.0031599999984</v>
      </c>
      <c r="K6" s="172">
        <f t="shared" si="1"/>
        <v>3039.0031599999984</v>
      </c>
      <c r="L6" s="172">
        <f t="shared" si="1"/>
        <v>3039.0031599999984</v>
      </c>
      <c r="M6" s="172">
        <f t="shared" si="1"/>
        <v>3039.0031599999984</v>
      </c>
    </row>
    <row r="7" spans="1:13" ht="14.4" customHeight="1" x14ac:dyDescent="0.3">
      <c r="A7" s="171" t="s">
        <v>77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53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78</v>
      </c>
      <c r="B9" s="171">
        <v>513113.67</v>
      </c>
      <c r="C9" s="171">
        <v>442219</v>
      </c>
      <c r="D9" s="171">
        <v>449527.01</v>
      </c>
      <c r="E9" s="171">
        <v>508697.64999999997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54</v>
      </c>
      <c r="B10" s="172">
        <f>B9/1000</f>
        <v>513.11366999999996</v>
      </c>
      <c r="C10" s="172">
        <f t="shared" ref="C10:M10" si="3">C9/1000+B10</f>
        <v>955.33267000000001</v>
      </c>
      <c r="D10" s="172">
        <f t="shared" si="3"/>
        <v>1404.85968</v>
      </c>
      <c r="E10" s="172">
        <f t="shared" si="3"/>
        <v>1913.5573300000001</v>
      </c>
      <c r="F10" s="172">
        <f t="shared" si="3"/>
        <v>1913.5573300000001</v>
      </c>
      <c r="G10" s="172">
        <f t="shared" si="3"/>
        <v>1913.5573300000001</v>
      </c>
      <c r="H10" s="172">
        <f t="shared" si="3"/>
        <v>1913.5573300000001</v>
      </c>
      <c r="I10" s="172">
        <f t="shared" si="3"/>
        <v>1913.5573300000001</v>
      </c>
      <c r="J10" s="172">
        <f t="shared" si="3"/>
        <v>1913.5573300000001</v>
      </c>
      <c r="K10" s="172">
        <f t="shared" si="3"/>
        <v>1913.5573300000001</v>
      </c>
      <c r="L10" s="172">
        <f t="shared" si="3"/>
        <v>1913.5573300000001</v>
      </c>
      <c r="M10" s="172">
        <f t="shared" si="3"/>
        <v>1913.5573300000001</v>
      </c>
    </row>
    <row r="11" spans="1:13" ht="14.4" customHeight="1" x14ac:dyDescent="0.3">
      <c r="A11" s="167"/>
      <c r="B11" s="167" t="s">
        <v>69</v>
      </c>
      <c r="C11" s="167">
        <f ca="1">IF(MONTH(TODAY())=1,12,MONTH(TODAY())-1)</f>
        <v>4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0.6292597550928235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0.6292597550928235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73" customFormat="1" ht="18.600000000000001" customHeight="1" thickBot="1" x14ac:dyDescent="0.4">
      <c r="A1" s="287" t="s">
        <v>208</v>
      </c>
      <c r="B1" s="287"/>
      <c r="C1" s="287"/>
      <c r="D1" s="287"/>
      <c r="E1" s="287"/>
      <c r="F1" s="287"/>
      <c r="G1" s="287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s="173" customFormat="1" ht="14.4" customHeight="1" thickBot="1" x14ac:dyDescent="0.3">
      <c r="A2" s="192" t="s">
        <v>206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88" t="s">
        <v>5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109"/>
      <c r="Q3" s="111"/>
    </row>
    <row r="4" spans="1:17" ht="14.4" customHeight="1" x14ac:dyDescent="0.3">
      <c r="A4" s="60"/>
      <c r="B4" s="20">
        <v>2019</v>
      </c>
      <c r="C4" s="110" t="s">
        <v>6</v>
      </c>
      <c r="D4" s="210" t="s">
        <v>186</v>
      </c>
      <c r="E4" s="210" t="s">
        <v>187</v>
      </c>
      <c r="F4" s="210" t="s">
        <v>188</v>
      </c>
      <c r="G4" s="210" t="s">
        <v>189</v>
      </c>
      <c r="H4" s="210" t="s">
        <v>190</v>
      </c>
      <c r="I4" s="210" t="s">
        <v>191</v>
      </c>
      <c r="J4" s="210" t="s">
        <v>192</v>
      </c>
      <c r="K4" s="210" t="s">
        <v>193</v>
      </c>
      <c r="L4" s="210" t="s">
        <v>194</v>
      </c>
      <c r="M4" s="210" t="s">
        <v>195</v>
      </c>
      <c r="N4" s="210" t="s">
        <v>196</v>
      </c>
      <c r="O4" s="210" t="s">
        <v>197</v>
      </c>
      <c r="P4" s="290" t="s">
        <v>3</v>
      </c>
      <c r="Q4" s="291"/>
    </row>
    <row r="5" spans="1:17" ht="14.4" customHeight="1" thickBot="1" x14ac:dyDescent="0.3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" customHeight="1" x14ac:dyDescent="0.3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207</v>
      </c>
    </row>
    <row r="7" spans="1:17" ht="14.4" customHeight="1" x14ac:dyDescent="0.3">
      <c r="A7" s="15" t="s">
        <v>11</v>
      </c>
      <c r="B7" s="46">
        <v>1</v>
      </c>
      <c r="C7" s="47">
        <v>8.3333333332999998E-2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>
        <v>0</v>
      </c>
    </row>
    <row r="8" spans="1:17" ht="14.4" customHeight="1" x14ac:dyDescent="0.3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207</v>
      </c>
    </row>
    <row r="9" spans="1:17" ht="14.4" customHeight="1" x14ac:dyDescent="0.3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207</v>
      </c>
    </row>
    <row r="10" spans="1:17" ht="14.4" customHeight="1" x14ac:dyDescent="0.3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207</v>
      </c>
    </row>
    <row r="11" spans="1:17" ht="14.4" customHeight="1" x14ac:dyDescent="0.3">
      <c r="A11" s="15" t="s">
        <v>15</v>
      </c>
      <c r="B11" s="46">
        <v>74.495149576911999</v>
      </c>
      <c r="C11" s="47">
        <v>6.2079291314090002</v>
      </c>
      <c r="D11" s="47">
        <v>0.70272000000000001</v>
      </c>
      <c r="E11" s="47">
        <v>6.6210000000000005E-2</v>
      </c>
      <c r="F11" s="47">
        <v>0.46040999999900001</v>
      </c>
      <c r="G11" s="47">
        <v>0.907499999999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2.1368399999999999</v>
      </c>
      <c r="Q11" s="70">
        <v>8.6052850909E-2</v>
      </c>
    </row>
    <row r="12" spans="1:17" ht="14.4" customHeight="1" x14ac:dyDescent="0.3">
      <c r="A12" s="15" t="s">
        <v>16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207</v>
      </c>
    </row>
    <row r="13" spans="1:17" ht="14.4" customHeight="1" x14ac:dyDescent="0.3">
      <c r="A13" s="15" t="s">
        <v>17</v>
      </c>
      <c r="B13" s="46">
        <v>0</v>
      </c>
      <c r="C13" s="47">
        <v>0</v>
      </c>
      <c r="D13" s="47">
        <v>0</v>
      </c>
      <c r="E13" s="47">
        <v>0.31218000000000001</v>
      </c>
      <c r="F13" s="47">
        <v>0.31217999999899998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0.62436000000000003</v>
      </c>
      <c r="Q13" s="70" t="s">
        <v>207</v>
      </c>
    </row>
    <row r="14" spans="1:17" ht="14.4" customHeight="1" x14ac:dyDescent="0.3">
      <c r="A14" s="15" t="s">
        <v>18</v>
      </c>
      <c r="B14" s="46">
        <v>92.316108645998</v>
      </c>
      <c r="C14" s="47">
        <v>7.6930090538330003</v>
      </c>
      <c r="D14" s="47">
        <v>11.992000000000001</v>
      </c>
      <c r="E14" s="47">
        <v>9.5280000000000005</v>
      </c>
      <c r="F14" s="47">
        <v>8.7559999999990001</v>
      </c>
      <c r="G14" s="47">
        <v>7.1139999999989998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37.39</v>
      </c>
      <c r="Q14" s="70">
        <v>1.2150642140920001</v>
      </c>
    </row>
    <row r="15" spans="1:17" ht="14.4" customHeight="1" x14ac:dyDescent="0.3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207</v>
      </c>
    </row>
    <row r="16" spans="1:17" ht="14.4" customHeight="1" x14ac:dyDescent="0.3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207</v>
      </c>
    </row>
    <row r="17" spans="1:17" ht="14.4" customHeight="1" x14ac:dyDescent="0.3">
      <c r="A17" s="15" t="s">
        <v>21</v>
      </c>
      <c r="B17" s="46">
        <v>2.8046638596740001</v>
      </c>
      <c r="C17" s="47">
        <v>0.23372198830599999</v>
      </c>
      <c r="D17" s="47">
        <v>0</v>
      </c>
      <c r="E17" s="47">
        <v>0</v>
      </c>
      <c r="F17" s="47">
        <v>1.15499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1.15499</v>
      </c>
      <c r="Q17" s="70">
        <v>1.2354314717770001</v>
      </c>
    </row>
    <row r="18" spans="1:17" ht="14.4" customHeight="1" x14ac:dyDescent="0.3">
      <c r="A18" s="15" t="s">
        <v>22</v>
      </c>
      <c r="B18" s="46">
        <v>0</v>
      </c>
      <c r="C18" s="47">
        <v>0</v>
      </c>
      <c r="D18" s="47">
        <v>1.7869999999999999</v>
      </c>
      <c r="E18" s="47">
        <v>1.1160000000000001</v>
      </c>
      <c r="F18" s="47">
        <v>4.6319999999989996</v>
      </c>
      <c r="G18" s="47">
        <v>4.2779999999990004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11.813000000000001</v>
      </c>
      <c r="Q18" s="70" t="s">
        <v>207</v>
      </c>
    </row>
    <row r="19" spans="1:17" ht="14.4" customHeight="1" x14ac:dyDescent="0.3">
      <c r="A19" s="15" t="s">
        <v>23</v>
      </c>
      <c r="B19" s="46">
        <v>60.217706440549001</v>
      </c>
      <c r="C19" s="47">
        <v>5.018142203379</v>
      </c>
      <c r="D19" s="47">
        <v>5.1551499999999999</v>
      </c>
      <c r="E19" s="47">
        <v>5.1396100000000002</v>
      </c>
      <c r="F19" s="47">
        <v>4.3548599999990003</v>
      </c>
      <c r="G19" s="47">
        <v>3.8942099999990001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18.54383</v>
      </c>
      <c r="Q19" s="70">
        <v>0.92383940353000005</v>
      </c>
    </row>
    <row r="20" spans="1:17" ht="14.4" customHeight="1" x14ac:dyDescent="0.3">
      <c r="A20" s="15" t="s">
        <v>24</v>
      </c>
      <c r="B20" s="46">
        <v>8353.7184920000109</v>
      </c>
      <c r="C20" s="47">
        <v>696.14320766666697</v>
      </c>
      <c r="D20" s="47">
        <v>733.78085000000203</v>
      </c>
      <c r="E20" s="47">
        <v>719.53397000000098</v>
      </c>
      <c r="F20" s="47">
        <v>721.93619999999805</v>
      </c>
      <c r="G20" s="47">
        <v>728.79235999999696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2904.0433800000001</v>
      </c>
      <c r="Q20" s="70">
        <v>1.042904444091</v>
      </c>
    </row>
    <row r="21" spans="1:17" ht="14.4" customHeight="1" x14ac:dyDescent="0.3">
      <c r="A21" s="16" t="s">
        <v>25</v>
      </c>
      <c r="B21" s="46">
        <v>45.999999999998998</v>
      </c>
      <c r="C21" s="47">
        <v>3.833333333333</v>
      </c>
      <c r="D21" s="47">
        <v>3.8976899999999999</v>
      </c>
      <c r="E21" s="47">
        <v>3.8976899999999999</v>
      </c>
      <c r="F21" s="47">
        <v>3.8976899999989998</v>
      </c>
      <c r="G21" s="47">
        <v>3.7896899999990001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15.482760000000001</v>
      </c>
      <c r="Q21" s="70">
        <v>1.009745217391</v>
      </c>
    </row>
    <row r="22" spans="1:17" ht="14.4" customHeight="1" x14ac:dyDescent="0.3">
      <c r="A22" s="15" t="s">
        <v>26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8.7119999999989997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8.7119999999989997</v>
      </c>
      <c r="Q22" s="70" t="s">
        <v>207</v>
      </c>
    </row>
    <row r="23" spans="1:17" ht="14.4" customHeight="1" x14ac:dyDescent="0.3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207</v>
      </c>
    </row>
    <row r="24" spans="1:17" ht="14.4" customHeight="1" x14ac:dyDescent="0.3">
      <c r="A24" s="16" t="s">
        <v>28</v>
      </c>
      <c r="B24" s="46">
        <v>0</v>
      </c>
      <c r="C24" s="47">
        <v>1.13686837721616E-13</v>
      </c>
      <c r="D24" s="47">
        <v>5.1219999999999999</v>
      </c>
      <c r="E24" s="47">
        <v>4.2899999999989999</v>
      </c>
      <c r="F24" s="47">
        <v>19.489999999999998</v>
      </c>
      <c r="G24" s="47">
        <v>10.199999999999999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39.101999999999997</v>
      </c>
      <c r="Q24" s="70"/>
    </row>
    <row r="25" spans="1:17" ht="14.4" customHeight="1" x14ac:dyDescent="0.3">
      <c r="A25" s="17" t="s">
        <v>29</v>
      </c>
      <c r="B25" s="49">
        <v>8630.5521205231507</v>
      </c>
      <c r="C25" s="50">
        <v>719.21267671026203</v>
      </c>
      <c r="D25" s="50">
        <v>762.43741000000205</v>
      </c>
      <c r="E25" s="50">
        <v>743.88366000000099</v>
      </c>
      <c r="F25" s="50">
        <v>764.99432999999794</v>
      </c>
      <c r="G25" s="50">
        <v>767.68775999999696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3039.0031600000002</v>
      </c>
      <c r="Q25" s="71">
        <v>1.0563645700390001</v>
      </c>
    </row>
    <row r="26" spans="1:17" ht="14.4" customHeight="1" x14ac:dyDescent="0.3">
      <c r="A26" s="15" t="s">
        <v>30</v>
      </c>
      <c r="B26" s="46">
        <v>1101.8477241421599</v>
      </c>
      <c r="C26" s="47">
        <v>91.820643678512994</v>
      </c>
      <c r="D26" s="47">
        <v>90.016080000000002</v>
      </c>
      <c r="E26" s="47">
        <v>101.42375</v>
      </c>
      <c r="F26" s="47">
        <v>87.529750000000007</v>
      </c>
      <c r="G26" s="47">
        <v>111.49621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390.46579000000003</v>
      </c>
      <c r="Q26" s="70">
        <v>1.063120923457</v>
      </c>
    </row>
    <row r="27" spans="1:17" ht="14.4" customHeight="1" x14ac:dyDescent="0.3">
      <c r="A27" s="18" t="s">
        <v>31</v>
      </c>
      <c r="B27" s="49">
        <v>9732.3998446653095</v>
      </c>
      <c r="C27" s="50">
        <v>811.03332038877602</v>
      </c>
      <c r="D27" s="50">
        <v>852.45349000000203</v>
      </c>
      <c r="E27" s="50">
        <v>845.30741000000103</v>
      </c>
      <c r="F27" s="50">
        <v>852.52407999999798</v>
      </c>
      <c r="G27" s="50">
        <v>879.18396999999698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3429.4689499999999</v>
      </c>
      <c r="Q27" s="71">
        <v>1.057129486479</v>
      </c>
    </row>
    <row r="28" spans="1:17" ht="14.4" customHeight="1" x14ac:dyDescent="0.3">
      <c r="A28" s="16" t="s">
        <v>32</v>
      </c>
      <c r="B28" s="46">
        <v>31.103853884953999</v>
      </c>
      <c r="C28" s="47">
        <v>2.5919878237459999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207</v>
      </c>
    </row>
    <row r="30" spans="1:17" ht="14.4" customHeight="1" x14ac:dyDescent="0.3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207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5" t="s">
        <v>111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184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36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3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1" s="55" customFormat="1" ht="18.600000000000001" customHeight="1" thickBot="1" x14ac:dyDescent="0.4">
      <c r="A1" s="287" t="s">
        <v>37</v>
      </c>
      <c r="B1" s="287"/>
      <c r="C1" s="287"/>
      <c r="D1" s="287"/>
      <c r="E1" s="287"/>
      <c r="F1" s="287"/>
      <c r="G1" s="287"/>
      <c r="H1" s="292"/>
      <c r="I1" s="292"/>
      <c r="J1" s="292"/>
      <c r="K1" s="292"/>
    </row>
    <row r="2" spans="1:11" s="55" customFormat="1" ht="14.4" customHeight="1" thickBot="1" x14ac:dyDescent="0.35">
      <c r="A2" s="192" t="s">
        <v>206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88" t="s">
        <v>38</v>
      </c>
      <c r="C3" s="289"/>
      <c r="D3" s="289"/>
      <c r="E3" s="289"/>
      <c r="F3" s="295" t="s">
        <v>39</v>
      </c>
      <c r="G3" s="289"/>
      <c r="H3" s="289"/>
      <c r="I3" s="289"/>
      <c r="J3" s="289"/>
      <c r="K3" s="296"/>
    </row>
    <row r="4" spans="1:11" ht="14.4" customHeight="1" x14ac:dyDescent="0.3">
      <c r="A4" s="60"/>
      <c r="B4" s="293"/>
      <c r="C4" s="294"/>
      <c r="D4" s="294"/>
      <c r="E4" s="294"/>
      <c r="F4" s="297" t="s">
        <v>202</v>
      </c>
      <c r="G4" s="299" t="s">
        <v>40</v>
      </c>
      <c r="H4" s="112" t="s">
        <v>103</v>
      </c>
      <c r="I4" s="297" t="s">
        <v>41</v>
      </c>
      <c r="J4" s="299" t="s">
        <v>204</v>
      </c>
      <c r="K4" s="300" t="s">
        <v>205</v>
      </c>
    </row>
    <row r="5" spans="1:11" ht="42" thickBot="1" x14ac:dyDescent="0.35">
      <c r="A5" s="61"/>
      <c r="B5" s="24" t="s">
        <v>198</v>
      </c>
      <c r="C5" s="25" t="s">
        <v>199</v>
      </c>
      <c r="D5" s="26" t="s">
        <v>200</v>
      </c>
      <c r="E5" s="26" t="s">
        <v>201</v>
      </c>
      <c r="F5" s="298"/>
      <c r="G5" s="298"/>
      <c r="H5" s="25" t="s">
        <v>203</v>
      </c>
      <c r="I5" s="298"/>
      <c r="J5" s="298"/>
      <c r="K5" s="301"/>
    </row>
    <row r="6" spans="1:11" ht="14.4" customHeight="1" thickBot="1" x14ac:dyDescent="0.35">
      <c r="A6" s="386" t="s">
        <v>209</v>
      </c>
      <c r="B6" s="368">
        <v>8683.6446203580508</v>
      </c>
      <c r="C6" s="368">
        <v>9038.0078900000208</v>
      </c>
      <c r="D6" s="369">
        <v>354.36326964196502</v>
      </c>
      <c r="E6" s="370">
        <v>1.0408081266710001</v>
      </c>
      <c r="F6" s="368">
        <v>8630.5521205231507</v>
      </c>
      <c r="G6" s="369">
        <v>2876.8507068410499</v>
      </c>
      <c r="H6" s="371">
        <v>767.68775999999696</v>
      </c>
      <c r="I6" s="368">
        <v>3039.0031600000002</v>
      </c>
      <c r="J6" s="369">
        <v>162.15245315894899</v>
      </c>
      <c r="K6" s="372">
        <v>0.352121523346</v>
      </c>
    </row>
    <row r="7" spans="1:11" ht="14.4" customHeight="1" thickBot="1" x14ac:dyDescent="0.35">
      <c r="A7" s="387" t="s">
        <v>210</v>
      </c>
      <c r="B7" s="368">
        <v>171.72861099517601</v>
      </c>
      <c r="C7" s="368">
        <v>167.68790000000001</v>
      </c>
      <c r="D7" s="369">
        <v>-4.040710995175</v>
      </c>
      <c r="E7" s="370">
        <v>0.97647036814699995</v>
      </c>
      <c r="F7" s="368">
        <v>167.81125822291099</v>
      </c>
      <c r="G7" s="369">
        <v>55.937086074302997</v>
      </c>
      <c r="H7" s="371">
        <v>8.0214999999989995</v>
      </c>
      <c r="I7" s="368">
        <v>40.283200000000001</v>
      </c>
      <c r="J7" s="369">
        <v>-15.653886074302999</v>
      </c>
      <c r="K7" s="372">
        <v>0.240050640383</v>
      </c>
    </row>
    <row r="8" spans="1:11" ht="14.4" customHeight="1" thickBot="1" x14ac:dyDescent="0.35">
      <c r="A8" s="388" t="s">
        <v>211</v>
      </c>
      <c r="B8" s="368">
        <v>86.895379072704003</v>
      </c>
      <c r="C8" s="368">
        <v>84.870900000000006</v>
      </c>
      <c r="D8" s="369">
        <v>-2.0244790727040001</v>
      </c>
      <c r="E8" s="370">
        <v>0.976702108969</v>
      </c>
      <c r="F8" s="368">
        <v>75.495149576911999</v>
      </c>
      <c r="G8" s="369">
        <v>25.165049858970001</v>
      </c>
      <c r="H8" s="371">
        <v>0.907499999999</v>
      </c>
      <c r="I8" s="368">
        <v>2.8932000000000002</v>
      </c>
      <c r="J8" s="369">
        <v>-22.27184985897</v>
      </c>
      <c r="K8" s="372">
        <v>3.8322991824000001E-2</v>
      </c>
    </row>
    <row r="9" spans="1:11" ht="14.4" customHeight="1" thickBot="1" x14ac:dyDescent="0.35">
      <c r="A9" s="389" t="s">
        <v>212</v>
      </c>
      <c r="B9" s="373">
        <v>0</v>
      </c>
      <c r="C9" s="373">
        <v>0.96404000000000001</v>
      </c>
      <c r="D9" s="374">
        <v>0.96404000000000001</v>
      </c>
      <c r="E9" s="375" t="s">
        <v>213</v>
      </c>
      <c r="F9" s="373">
        <v>1</v>
      </c>
      <c r="G9" s="374">
        <v>0.33333333333300003</v>
      </c>
      <c r="H9" s="376">
        <v>0</v>
      </c>
      <c r="I9" s="373">
        <v>0</v>
      </c>
      <c r="J9" s="374">
        <v>-0.33333333333300003</v>
      </c>
      <c r="K9" s="377">
        <v>0</v>
      </c>
    </row>
    <row r="10" spans="1:11" ht="14.4" customHeight="1" thickBot="1" x14ac:dyDescent="0.35">
      <c r="A10" s="390" t="s">
        <v>214</v>
      </c>
      <c r="B10" s="368">
        <v>0</v>
      </c>
      <c r="C10" s="368">
        <v>0.96404000000000001</v>
      </c>
      <c r="D10" s="369">
        <v>0.96404000000000001</v>
      </c>
      <c r="E10" s="378" t="s">
        <v>213</v>
      </c>
      <c r="F10" s="368">
        <v>1</v>
      </c>
      <c r="G10" s="369">
        <v>0.33333333333300003</v>
      </c>
      <c r="H10" s="371">
        <v>0</v>
      </c>
      <c r="I10" s="368">
        <v>0</v>
      </c>
      <c r="J10" s="369">
        <v>-0.33333333333300003</v>
      </c>
      <c r="K10" s="372">
        <v>0</v>
      </c>
    </row>
    <row r="11" spans="1:11" ht="14.4" customHeight="1" thickBot="1" x14ac:dyDescent="0.35">
      <c r="A11" s="389" t="s">
        <v>215</v>
      </c>
      <c r="B11" s="373">
        <v>0</v>
      </c>
      <c r="C11" s="373">
        <v>4.7940000000000003E-2</v>
      </c>
      <c r="D11" s="374">
        <v>4.7940000000000003E-2</v>
      </c>
      <c r="E11" s="375" t="s">
        <v>213</v>
      </c>
      <c r="F11" s="373">
        <v>0</v>
      </c>
      <c r="G11" s="374">
        <v>0</v>
      </c>
      <c r="H11" s="376">
        <v>0</v>
      </c>
      <c r="I11" s="373">
        <v>0</v>
      </c>
      <c r="J11" s="374">
        <v>0</v>
      </c>
      <c r="K11" s="379" t="s">
        <v>207</v>
      </c>
    </row>
    <row r="12" spans="1:11" ht="14.4" customHeight="1" thickBot="1" x14ac:dyDescent="0.35">
      <c r="A12" s="390" t="s">
        <v>216</v>
      </c>
      <c r="B12" s="368">
        <v>0</v>
      </c>
      <c r="C12" s="368">
        <v>4.7940000000000003E-2</v>
      </c>
      <c r="D12" s="369">
        <v>4.7940000000000003E-2</v>
      </c>
      <c r="E12" s="378" t="s">
        <v>213</v>
      </c>
      <c r="F12" s="368">
        <v>0</v>
      </c>
      <c r="G12" s="369">
        <v>0</v>
      </c>
      <c r="H12" s="371">
        <v>0</v>
      </c>
      <c r="I12" s="368">
        <v>0</v>
      </c>
      <c r="J12" s="369">
        <v>0</v>
      </c>
      <c r="K12" s="380" t="s">
        <v>207</v>
      </c>
    </row>
    <row r="13" spans="1:11" ht="14.4" customHeight="1" thickBot="1" x14ac:dyDescent="0.35">
      <c r="A13" s="389" t="s">
        <v>217</v>
      </c>
      <c r="B13" s="373">
        <v>80.332166567963995</v>
      </c>
      <c r="C13" s="373">
        <v>76.714619999999996</v>
      </c>
      <c r="D13" s="374">
        <v>-3.6175465679640002</v>
      </c>
      <c r="E13" s="381">
        <v>0.95496764593100003</v>
      </c>
      <c r="F13" s="373">
        <v>74.495149576911999</v>
      </c>
      <c r="G13" s="374">
        <v>24.831716525636999</v>
      </c>
      <c r="H13" s="376">
        <v>0.907499999999</v>
      </c>
      <c r="I13" s="373">
        <v>2.1368399999999999</v>
      </c>
      <c r="J13" s="374">
        <v>-22.694876525637</v>
      </c>
      <c r="K13" s="377">
        <v>2.8684283636000001E-2</v>
      </c>
    </row>
    <row r="14" spans="1:11" ht="14.4" customHeight="1" thickBot="1" x14ac:dyDescent="0.35">
      <c r="A14" s="390" t="s">
        <v>218</v>
      </c>
      <c r="B14" s="368">
        <v>0</v>
      </c>
      <c r="C14" s="368">
        <v>1.1495</v>
      </c>
      <c r="D14" s="369">
        <v>1.1495</v>
      </c>
      <c r="E14" s="378" t="s">
        <v>207</v>
      </c>
      <c r="F14" s="368">
        <v>0</v>
      </c>
      <c r="G14" s="369">
        <v>0</v>
      </c>
      <c r="H14" s="371">
        <v>0</v>
      </c>
      <c r="I14" s="368">
        <v>0.35199999999999998</v>
      </c>
      <c r="J14" s="369">
        <v>0.35199999999999998</v>
      </c>
      <c r="K14" s="380" t="s">
        <v>207</v>
      </c>
    </row>
    <row r="15" spans="1:11" ht="14.4" customHeight="1" thickBot="1" x14ac:dyDescent="0.35">
      <c r="A15" s="390" t="s">
        <v>219</v>
      </c>
      <c r="B15" s="368">
        <v>1</v>
      </c>
      <c r="C15" s="368">
        <v>1.883</v>
      </c>
      <c r="D15" s="369">
        <v>0.88300000000000001</v>
      </c>
      <c r="E15" s="370">
        <v>1.883</v>
      </c>
      <c r="F15" s="368">
        <v>2</v>
      </c>
      <c r="G15" s="369">
        <v>0.66666666666600005</v>
      </c>
      <c r="H15" s="371">
        <v>0</v>
      </c>
      <c r="I15" s="368">
        <v>0</v>
      </c>
      <c r="J15" s="369">
        <v>-0.66666666666600005</v>
      </c>
      <c r="K15" s="372">
        <v>0</v>
      </c>
    </row>
    <row r="16" spans="1:11" ht="14.4" customHeight="1" thickBot="1" x14ac:dyDescent="0.35">
      <c r="A16" s="390" t="s">
        <v>220</v>
      </c>
      <c r="B16" s="368">
        <v>5</v>
      </c>
      <c r="C16" s="368">
        <v>2.9337</v>
      </c>
      <c r="D16" s="369">
        <v>-2.0663</v>
      </c>
      <c r="E16" s="370">
        <v>0.58674000000000004</v>
      </c>
      <c r="F16" s="368">
        <v>3</v>
      </c>
      <c r="G16" s="369">
        <v>1</v>
      </c>
      <c r="H16" s="371">
        <v>0</v>
      </c>
      <c r="I16" s="368">
        <v>0</v>
      </c>
      <c r="J16" s="369">
        <v>-1</v>
      </c>
      <c r="K16" s="372">
        <v>0</v>
      </c>
    </row>
    <row r="17" spans="1:11" ht="14.4" customHeight="1" thickBot="1" x14ac:dyDescent="0.35">
      <c r="A17" s="390" t="s">
        <v>221</v>
      </c>
      <c r="B17" s="368">
        <v>64.908027492928994</v>
      </c>
      <c r="C17" s="368">
        <v>60.750390000000003</v>
      </c>
      <c r="D17" s="369">
        <v>-4.1576374929290001</v>
      </c>
      <c r="E17" s="370">
        <v>0.93594571190099995</v>
      </c>
      <c r="F17" s="368">
        <v>60</v>
      </c>
      <c r="G17" s="369">
        <v>20</v>
      </c>
      <c r="H17" s="371">
        <v>0</v>
      </c>
      <c r="I17" s="368">
        <v>0.42359000000000002</v>
      </c>
      <c r="J17" s="369">
        <v>-19.576409999999999</v>
      </c>
      <c r="K17" s="372">
        <v>7.0598333329999997E-3</v>
      </c>
    </row>
    <row r="18" spans="1:11" ht="14.4" customHeight="1" thickBot="1" x14ac:dyDescent="0.35">
      <c r="A18" s="390" t="s">
        <v>222</v>
      </c>
      <c r="B18" s="368">
        <v>0.27425213025200001</v>
      </c>
      <c r="C18" s="368">
        <v>0</v>
      </c>
      <c r="D18" s="369">
        <v>-0.27425213025200001</v>
      </c>
      <c r="E18" s="370">
        <v>0</v>
      </c>
      <c r="F18" s="368">
        <v>0</v>
      </c>
      <c r="G18" s="369">
        <v>0</v>
      </c>
      <c r="H18" s="371">
        <v>0</v>
      </c>
      <c r="I18" s="368">
        <v>0</v>
      </c>
      <c r="J18" s="369">
        <v>0</v>
      </c>
      <c r="K18" s="372">
        <v>0</v>
      </c>
    </row>
    <row r="19" spans="1:11" ht="14.4" customHeight="1" thickBot="1" x14ac:dyDescent="0.35">
      <c r="A19" s="390" t="s">
        <v>223</v>
      </c>
      <c r="B19" s="368">
        <v>7.1498869447819997</v>
      </c>
      <c r="C19" s="368">
        <v>7.2011200000000004</v>
      </c>
      <c r="D19" s="369">
        <v>5.1233055217000001E-2</v>
      </c>
      <c r="E19" s="370">
        <v>1.0071655755690001</v>
      </c>
      <c r="F19" s="368">
        <v>6.4951495769119996</v>
      </c>
      <c r="G19" s="369">
        <v>2.1650498589699998</v>
      </c>
      <c r="H19" s="371">
        <v>0.907499999999</v>
      </c>
      <c r="I19" s="368">
        <v>1.3612500000000001</v>
      </c>
      <c r="J19" s="369">
        <v>-0.80379985896999995</v>
      </c>
      <c r="K19" s="372">
        <v>0.209579469091</v>
      </c>
    </row>
    <row r="20" spans="1:11" ht="14.4" customHeight="1" thickBot="1" x14ac:dyDescent="0.35">
      <c r="A20" s="390" t="s">
        <v>224</v>
      </c>
      <c r="B20" s="368">
        <v>2</v>
      </c>
      <c r="C20" s="368">
        <v>2.79691</v>
      </c>
      <c r="D20" s="369">
        <v>0.79691000000000001</v>
      </c>
      <c r="E20" s="370">
        <v>1.398455</v>
      </c>
      <c r="F20" s="368">
        <v>3</v>
      </c>
      <c r="G20" s="369">
        <v>1</v>
      </c>
      <c r="H20" s="371">
        <v>0</v>
      </c>
      <c r="I20" s="368">
        <v>0</v>
      </c>
      <c r="J20" s="369">
        <v>-1</v>
      </c>
      <c r="K20" s="372">
        <v>0</v>
      </c>
    </row>
    <row r="21" spans="1:11" ht="14.4" customHeight="1" thickBot="1" x14ac:dyDescent="0.35">
      <c r="A21" s="389" t="s">
        <v>225</v>
      </c>
      <c r="B21" s="373">
        <v>0.59468188385800003</v>
      </c>
      <c r="C21" s="373">
        <v>0.16800000000000001</v>
      </c>
      <c r="D21" s="374">
        <v>-0.42668188385799999</v>
      </c>
      <c r="E21" s="381">
        <v>0.28250398164099999</v>
      </c>
      <c r="F21" s="373">
        <v>0</v>
      </c>
      <c r="G21" s="374">
        <v>0</v>
      </c>
      <c r="H21" s="376">
        <v>0</v>
      </c>
      <c r="I21" s="373">
        <v>0</v>
      </c>
      <c r="J21" s="374">
        <v>0</v>
      </c>
      <c r="K21" s="377">
        <v>0</v>
      </c>
    </row>
    <row r="22" spans="1:11" ht="14.4" customHeight="1" thickBot="1" x14ac:dyDescent="0.35">
      <c r="A22" s="390" t="s">
        <v>226</v>
      </c>
      <c r="B22" s="368">
        <v>0.59468188385800003</v>
      </c>
      <c r="C22" s="368">
        <v>0.16800000000000001</v>
      </c>
      <c r="D22" s="369">
        <v>-0.42668188385799999</v>
      </c>
      <c r="E22" s="370">
        <v>0.28250398164099999</v>
      </c>
      <c r="F22" s="368">
        <v>0</v>
      </c>
      <c r="G22" s="369">
        <v>0</v>
      </c>
      <c r="H22" s="371">
        <v>0</v>
      </c>
      <c r="I22" s="368">
        <v>0</v>
      </c>
      <c r="J22" s="369">
        <v>0</v>
      </c>
      <c r="K22" s="372">
        <v>0</v>
      </c>
    </row>
    <row r="23" spans="1:11" ht="14.4" customHeight="1" thickBot="1" x14ac:dyDescent="0.35">
      <c r="A23" s="389" t="s">
        <v>227</v>
      </c>
      <c r="B23" s="373">
        <v>5.9685306208810003</v>
      </c>
      <c r="C23" s="373">
        <v>5.9363000000000001</v>
      </c>
      <c r="D23" s="374">
        <v>-3.2230620880999997E-2</v>
      </c>
      <c r="E23" s="381">
        <v>0.99459990692300004</v>
      </c>
      <c r="F23" s="373">
        <v>0</v>
      </c>
      <c r="G23" s="374">
        <v>0</v>
      </c>
      <c r="H23" s="376">
        <v>0</v>
      </c>
      <c r="I23" s="373">
        <v>0.62436000000000003</v>
      </c>
      <c r="J23" s="374">
        <v>0.62436000000000003</v>
      </c>
      <c r="K23" s="379" t="s">
        <v>207</v>
      </c>
    </row>
    <row r="24" spans="1:11" ht="14.4" customHeight="1" thickBot="1" x14ac:dyDescent="0.35">
      <c r="A24" s="390" t="s">
        <v>228</v>
      </c>
      <c r="B24" s="368">
        <v>5.9685306208810003</v>
      </c>
      <c r="C24" s="368">
        <v>5.9363000000000001</v>
      </c>
      <c r="D24" s="369">
        <v>-3.2230620880999997E-2</v>
      </c>
      <c r="E24" s="370">
        <v>0.99459990692300004</v>
      </c>
      <c r="F24" s="368">
        <v>0</v>
      </c>
      <c r="G24" s="369">
        <v>0</v>
      </c>
      <c r="H24" s="371">
        <v>0</v>
      </c>
      <c r="I24" s="368">
        <v>0.62436000000000003</v>
      </c>
      <c r="J24" s="369">
        <v>0.62436000000000003</v>
      </c>
      <c r="K24" s="380" t="s">
        <v>207</v>
      </c>
    </row>
    <row r="25" spans="1:11" ht="14.4" customHeight="1" thickBot="1" x14ac:dyDescent="0.35">
      <c r="A25" s="389" t="s">
        <v>229</v>
      </c>
      <c r="B25" s="373">
        <v>0</v>
      </c>
      <c r="C25" s="373">
        <v>1.04</v>
      </c>
      <c r="D25" s="374">
        <v>1.04</v>
      </c>
      <c r="E25" s="375" t="s">
        <v>213</v>
      </c>
      <c r="F25" s="373">
        <v>0</v>
      </c>
      <c r="G25" s="374">
        <v>0</v>
      </c>
      <c r="H25" s="376">
        <v>0</v>
      </c>
      <c r="I25" s="373">
        <v>0.13200000000000001</v>
      </c>
      <c r="J25" s="374">
        <v>0.13200000000000001</v>
      </c>
      <c r="K25" s="379" t="s">
        <v>207</v>
      </c>
    </row>
    <row r="26" spans="1:11" ht="14.4" customHeight="1" thickBot="1" x14ac:dyDescent="0.35">
      <c r="A26" s="390" t="s">
        <v>230</v>
      </c>
      <c r="B26" s="368">
        <v>0</v>
      </c>
      <c r="C26" s="368">
        <v>1.04</v>
      </c>
      <c r="D26" s="369">
        <v>1.04</v>
      </c>
      <c r="E26" s="378" t="s">
        <v>213</v>
      </c>
      <c r="F26" s="368">
        <v>0</v>
      </c>
      <c r="G26" s="369">
        <v>0</v>
      </c>
      <c r="H26" s="371">
        <v>0</v>
      </c>
      <c r="I26" s="368">
        <v>0.13200000000000001</v>
      </c>
      <c r="J26" s="369">
        <v>0.13200000000000001</v>
      </c>
      <c r="K26" s="380" t="s">
        <v>207</v>
      </c>
    </row>
    <row r="27" spans="1:11" ht="14.4" customHeight="1" thickBot="1" x14ac:dyDescent="0.35">
      <c r="A27" s="388" t="s">
        <v>18</v>
      </c>
      <c r="B27" s="368">
        <v>84.833231922471001</v>
      </c>
      <c r="C27" s="368">
        <v>82.816999999999993</v>
      </c>
      <c r="D27" s="369">
        <v>-2.0162319224699998</v>
      </c>
      <c r="E27" s="370">
        <v>0.97623299411300002</v>
      </c>
      <c r="F27" s="368">
        <v>92.316108645998</v>
      </c>
      <c r="G27" s="369">
        <v>30.772036215332001</v>
      </c>
      <c r="H27" s="371">
        <v>7.1139999999989998</v>
      </c>
      <c r="I27" s="368">
        <v>37.39</v>
      </c>
      <c r="J27" s="369">
        <v>6.6179637846670003</v>
      </c>
      <c r="K27" s="372">
        <v>0.40502140469699999</v>
      </c>
    </row>
    <row r="28" spans="1:11" ht="14.4" customHeight="1" thickBot="1" x14ac:dyDescent="0.35">
      <c r="A28" s="389" t="s">
        <v>231</v>
      </c>
      <c r="B28" s="373">
        <v>84.833231922471001</v>
      </c>
      <c r="C28" s="373">
        <v>82.816999999999993</v>
      </c>
      <c r="D28" s="374">
        <v>-2.0162319224699998</v>
      </c>
      <c r="E28" s="381">
        <v>0.97623299411300002</v>
      </c>
      <c r="F28" s="373">
        <v>92.316108645998</v>
      </c>
      <c r="G28" s="374">
        <v>30.772036215332001</v>
      </c>
      <c r="H28" s="376">
        <v>7.1139999999989998</v>
      </c>
      <c r="I28" s="373">
        <v>37.39</v>
      </c>
      <c r="J28" s="374">
        <v>6.6179637846670003</v>
      </c>
      <c r="K28" s="377">
        <v>0.40502140469699999</v>
      </c>
    </row>
    <row r="29" spans="1:11" ht="14.4" customHeight="1" thickBot="1" x14ac:dyDescent="0.35">
      <c r="A29" s="390" t="s">
        <v>232</v>
      </c>
      <c r="B29" s="368">
        <v>14.388757762097001</v>
      </c>
      <c r="C29" s="368">
        <v>14.993</v>
      </c>
      <c r="D29" s="369">
        <v>0.60424223790200005</v>
      </c>
      <c r="E29" s="370">
        <v>1.0419940517370001</v>
      </c>
      <c r="F29" s="368">
        <v>19.631147523683001</v>
      </c>
      <c r="G29" s="369">
        <v>6.5437158412269998</v>
      </c>
      <c r="H29" s="371">
        <v>1.6009999999989999</v>
      </c>
      <c r="I29" s="368">
        <v>6.726</v>
      </c>
      <c r="J29" s="369">
        <v>0.18228415877199999</v>
      </c>
      <c r="K29" s="372">
        <v>0.34261878944500002</v>
      </c>
    </row>
    <row r="30" spans="1:11" ht="14.4" customHeight="1" thickBot="1" x14ac:dyDescent="0.35">
      <c r="A30" s="390" t="s">
        <v>233</v>
      </c>
      <c r="B30" s="368">
        <v>14.138305552174</v>
      </c>
      <c r="C30" s="368">
        <v>14.798999999999999</v>
      </c>
      <c r="D30" s="369">
        <v>0.66069444782499998</v>
      </c>
      <c r="E30" s="370">
        <v>1.0467308083969999</v>
      </c>
      <c r="F30" s="368">
        <v>14.598734861521001</v>
      </c>
      <c r="G30" s="369">
        <v>4.8662449538399999</v>
      </c>
      <c r="H30" s="371">
        <v>1.254999999999</v>
      </c>
      <c r="I30" s="368">
        <v>5.0570000000000004</v>
      </c>
      <c r="J30" s="369">
        <v>0.19075504615899999</v>
      </c>
      <c r="K30" s="372">
        <v>0.34639987971300001</v>
      </c>
    </row>
    <row r="31" spans="1:11" ht="14.4" customHeight="1" thickBot="1" x14ac:dyDescent="0.35">
      <c r="A31" s="390" t="s">
        <v>234</v>
      </c>
      <c r="B31" s="368">
        <v>56.306168608198</v>
      </c>
      <c r="C31" s="368">
        <v>53.024999999999999</v>
      </c>
      <c r="D31" s="369">
        <v>-3.281168608198</v>
      </c>
      <c r="E31" s="370">
        <v>0.94172630300799998</v>
      </c>
      <c r="F31" s="368">
        <v>58.086226260792998</v>
      </c>
      <c r="G31" s="369">
        <v>19.362075420263999</v>
      </c>
      <c r="H31" s="371">
        <v>4.2579999999989999</v>
      </c>
      <c r="I31" s="368">
        <v>25.606999999999999</v>
      </c>
      <c r="J31" s="369">
        <v>6.2449245797349997</v>
      </c>
      <c r="K31" s="372">
        <v>0.44084461409199999</v>
      </c>
    </row>
    <row r="32" spans="1:11" ht="14.4" customHeight="1" thickBot="1" x14ac:dyDescent="0.35">
      <c r="A32" s="391" t="s">
        <v>235</v>
      </c>
      <c r="B32" s="373">
        <v>61.599674290537003</v>
      </c>
      <c r="C32" s="373">
        <v>98.586119999999994</v>
      </c>
      <c r="D32" s="374">
        <v>36.986445709462998</v>
      </c>
      <c r="E32" s="381">
        <v>1.6004324882459999</v>
      </c>
      <c r="F32" s="373">
        <v>63.022370300223997</v>
      </c>
      <c r="G32" s="374">
        <v>21.007456766741001</v>
      </c>
      <c r="H32" s="376">
        <v>8.1722099999989997</v>
      </c>
      <c r="I32" s="373">
        <v>31.51182</v>
      </c>
      <c r="J32" s="374">
        <v>10.504363233257999</v>
      </c>
      <c r="K32" s="377">
        <v>0.50001007340500003</v>
      </c>
    </row>
    <row r="33" spans="1:11" ht="14.4" customHeight="1" thickBot="1" x14ac:dyDescent="0.35">
      <c r="A33" s="388" t="s">
        <v>21</v>
      </c>
      <c r="B33" s="368">
        <v>3.5310529482659998</v>
      </c>
      <c r="C33" s="368">
        <v>2.62052</v>
      </c>
      <c r="D33" s="369">
        <v>-0.91053294826599995</v>
      </c>
      <c r="E33" s="370">
        <v>0.74213557213400005</v>
      </c>
      <c r="F33" s="368">
        <v>2.8046638596740001</v>
      </c>
      <c r="G33" s="369">
        <v>0.93488795322399998</v>
      </c>
      <c r="H33" s="371">
        <v>0</v>
      </c>
      <c r="I33" s="368">
        <v>1.15499</v>
      </c>
      <c r="J33" s="369">
        <v>0.220102046775</v>
      </c>
      <c r="K33" s="372">
        <v>0.41181049059199998</v>
      </c>
    </row>
    <row r="34" spans="1:11" ht="14.4" customHeight="1" thickBot="1" x14ac:dyDescent="0.35">
      <c r="A34" s="392" t="s">
        <v>236</v>
      </c>
      <c r="B34" s="368">
        <v>3.5310529482659998</v>
      </c>
      <c r="C34" s="368">
        <v>2.62052</v>
      </c>
      <c r="D34" s="369">
        <v>-0.91053294826599995</v>
      </c>
      <c r="E34" s="370">
        <v>0.74213557213400005</v>
      </c>
      <c r="F34" s="368">
        <v>2.8046638596740001</v>
      </c>
      <c r="G34" s="369">
        <v>0.93488795322399998</v>
      </c>
      <c r="H34" s="371">
        <v>0</v>
      </c>
      <c r="I34" s="368">
        <v>1.15499</v>
      </c>
      <c r="J34" s="369">
        <v>0.220102046775</v>
      </c>
      <c r="K34" s="372">
        <v>0.41181049059199998</v>
      </c>
    </row>
    <row r="35" spans="1:11" ht="14.4" customHeight="1" thickBot="1" x14ac:dyDescent="0.35">
      <c r="A35" s="390" t="s">
        <v>237</v>
      </c>
      <c r="B35" s="368">
        <v>0</v>
      </c>
      <c r="C35" s="368">
        <v>1.0285</v>
      </c>
      <c r="D35" s="369">
        <v>1.0285</v>
      </c>
      <c r="E35" s="378" t="s">
        <v>213</v>
      </c>
      <c r="F35" s="368">
        <v>1.6650830003570001</v>
      </c>
      <c r="G35" s="369">
        <v>0.55502766678500004</v>
      </c>
      <c r="H35" s="371">
        <v>0</v>
      </c>
      <c r="I35" s="368">
        <v>0</v>
      </c>
      <c r="J35" s="369">
        <v>-0.55502766678500004</v>
      </c>
      <c r="K35" s="372">
        <v>0</v>
      </c>
    </row>
    <row r="36" spans="1:11" ht="14.4" customHeight="1" thickBot="1" x14ac:dyDescent="0.35">
      <c r="A36" s="390" t="s">
        <v>238</v>
      </c>
      <c r="B36" s="368">
        <v>3.5310529482659998</v>
      </c>
      <c r="C36" s="368">
        <v>1.59202</v>
      </c>
      <c r="D36" s="369">
        <v>-1.939032948266</v>
      </c>
      <c r="E36" s="370">
        <v>0.45086268128000001</v>
      </c>
      <c r="F36" s="368">
        <v>1.1395808593159999</v>
      </c>
      <c r="G36" s="369">
        <v>0.37986028643800002</v>
      </c>
      <c r="H36" s="371">
        <v>0</v>
      </c>
      <c r="I36" s="368">
        <v>1.15499</v>
      </c>
      <c r="J36" s="369">
        <v>0.77512971356100002</v>
      </c>
      <c r="K36" s="372">
        <v>1.013521761582</v>
      </c>
    </row>
    <row r="37" spans="1:11" ht="14.4" customHeight="1" thickBot="1" x14ac:dyDescent="0.35">
      <c r="A37" s="393" t="s">
        <v>22</v>
      </c>
      <c r="B37" s="373">
        <v>0</v>
      </c>
      <c r="C37" s="373">
        <v>41.110999999999997</v>
      </c>
      <c r="D37" s="374">
        <v>41.110999999999997</v>
      </c>
      <c r="E37" s="375" t="s">
        <v>207</v>
      </c>
      <c r="F37" s="373">
        <v>0</v>
      </c>
      <c r="G37" s="374">
        <v>0</v>
      </c>
      <c r="H37" s="376">
        <v>4.2779999999990004</v>
      </c>
      <c r="I37" s="373">
        <v>11.813000000000001</v>
      </c>
      <c r="J37" s="374">
        <v>11.813000000000001</v>
      </c>
      <c r="K37" s="379" t="s">
        <v>207</v>
      </c>
    </row>
    <row r="38" spans="1:11" ht="14.4" customHeight="1" thickBot="1" x14ac:dyDescent="0.35">
      <c r="A38" s="389" t="s">
        <v>239</v>
      </c>
      <c r="B38" s="373">
        <v>0</v>
      </c>
      <c r="C38" s="373">
        <v>41.110999999999997</v>
      </c>
      <c r="D38" s="374">
        <v>41.110999999999997</v>
      </c>
      <c r="E38" s="375" t="s">
        <v>207</v>
      </c>
      <c r="F38" s="373">
        <v>0</v>
      </c>
      <c r="G38" s="374">
        <v>0</v>
      </c>
      <c r="H38" s="376">
        <v>4.2779999999990004</v>
      </c>
      <c r="I38" s="373">
        <v>11.813000000000001</v>
      </c>
      <c r="J38" s="374">
        <v>11.813000000000001</v>
      </c>
      <c r="K38" s="379" t="s">
        <v>207</v>
      </c>
    </row>
    <row r="39" spans="1:11" ht="14.4" customHeight="1" thickBot="1" x14ac:dyDescent="0.35">
      <c r="A39" s="390" t="s">
        <v>240</v>
      </c>
      <c r="B39" s="368">
        <v>0</v>
      </c>
      <c r="C39" s="368">
        <v>40.511000000000003</v>
      </c>
      <c r="D39" s="369">
        <v>40.511000000000003</v>
      </c>
      <c r="E39" s="378" t="s">
        <v>207</v>
      </c>
      <c r="F39" s="368">
        <v>0</v>
      </c>
      <c r="G39" s="369">
        <v>0</v>
      </c>
      <c r="H39" s="371">
        <v>4.2779999999990004</v>
      </c>
      <c r="I39" s="368">
        <v>10.696999999999999</v>
      </c>
      <c r="J39" s="369">
        <v>10.696999999999999</v>
      </c>
      <c r="K39" s="380" t="s">
        <v>207</v>
      </c>
    </row>
    <row r="40" spans="1:11" ht="14.4" customHeight="1" thickBot="1" x14ac:dyDescent="0.35">
      <c r="A40" s="390" t="s">
        <v>241</v>
      </c>
      <c r="B40" s="368">
        <v>0</v>
      </c>
      <c r="C40" s="368">
        <v>0.6</v>
      </c>
      <c r="D40" s="369">
        <v>0.6</v>
      </c>
      <c r="E40" s="378" t="s">
        <v>207</v>
      </c>
      <c r="F40" s="368">
        <v>0</v>
      </c>
      <c r="G40" s="369">
        <v>0</v>
      </c>
      <c r="H40" s="371">
        <v>0</v>
      </c>
      <c r="I40" s="368">
        <v>1.1160000000000001</v>
      </c>
      <c r="J40" s="369">
        <v>1.1160000000000001</v>
      </c>
      <c r="K40" s="380" t="s">
        <v>207</v>
      </c>
    </row>
    <row r="41" spans="1:11" ht="14.4" customHeight="1" thickBot="1" x14ac:dyDescent="0.35">
      <c r="A41" s="388" t="s">
        <v>23</v>
      </c>
      <c r="B41" s="368">
        <v>58.068621342269999</v>
      </c>
      <c r="C41" s="368">
        <v>54.854599999999998</v>
      </c>
      <c r="D41" s="369">
        <v>-3.2140213422700001</v>
      </c>
      <c r="E41" s="370">
        <v>0.94465132341699998</v>
      </c>
      <c r="F41" s="368">
        <v>60.217706440549001</v>
      </c>
      <c r="G41" s="369">
        <v>20.072568813516</v>
      </c>
      <c r="H41" s="371">
        <v>3.8942099999990001</v>
      </c>
      <c r="I41" s="368">
        <v>18.54383</v>
      </c>
      <c r="J41" s="369">
        <v>-1.5287388135160001</v>
      </c>
      <c r="K41" s="372">
        <v>0.307946467843</v>
      </c>
    </row>
    <row r="42" spans="1:11" ht="14.4" customHeight="1" thickBot="1" x14ac:dyDescent="0.35">
      <c r="A42" s="389" t="s">
        <v>242</v>
      </c>
      <c r="B42" s="373">
        <v>6.2104309664160002</v>
      </c>
      <c r="C42" s="373">
        <v>6.9417900000000001</v>
      </c>
      <c r="D42" s="374">
        <v>0.73135903358300003</v>
      </c>
      <c r="E42" s="381">
        <v>1.117763008322</v>
      </c>
      <c r="F42" s="373">
        <v>7.0738424542010003</v>
      </c>
      <c r="G42" s="374">
        <v>2.3579474847330002</v>
      </c>
      <c r="H42" s="376">
        <v>-8.8669999998999993E-2</v>
      </c>
      <c r="I42" s="373">
        <v>2.4717799999999999</v>
      </c>
      <c r="J42" s="374">
        <v>0.113832515266</v>
      </c>
      <c r="K42" s="377">
        <v>0.34942536761300003</v>
      </c>
    </row>
    <row r="43" spans="1:11" ht="14.4" customHeight="1" thickBot="1" x14ac:dyDescent="0.35">
      <c r="A43" s="390" t="s">
        <v>243</v>
      </c>
      <c r="B43" s="368">
        <v>3.8327793762139999</v>
      </c>
      <c r="C43" s="368">
        <v>4.3526999999999996</v>
      </c>
      <c r="D43" s="369">
        <v>0.51992062378500004</v>
      </c>
      <c r="E43" s="370">
        <v>1.135651070085</v>
      </c>
      <c r="F43" s="368">
        <v>4.4709878795759996</v>
      </c>
      <c r="G43" s="369">
        <v>1.490329293192</v>
      </c>
      <c r="H43" s="371">
        <v>0.351499999999</v>
      </c>
      <c r="I43" s="368">
        <v>1.3205</v>
      </c>
      <c r="J43" s="369">
        <v>-0.16982929319199999</v>
      </c>
      <c r="K43" s="372">
        <v>0.29534859757300003</v>
      </c>
    </row>
    <row r="44" spans="1:11" ht="14.4" customHeight="1" thickBot="1" x14ac:dyDescent="0.35">
      <c r="A44" s="390" t="s">
        <v>244</v>
      </c>
      <c r="B44" s="368">
        <v>2.3776515902009998</v>
      </c>
      <c r="C44" s="368">
        <v>2.5890900000000001</v>
      </c>
      <c r="D44" s="369">
        <v>0.21143840979799999</v>
      </c>
      <c r="E44" s="370">
        <v>1.088927415046</v>
      </c>
      <c r="F44" s="368">
        <v>2.6028545746240002</v>
      </c>
      <c r="G44" s="369">
        <v>0.86761819154099995</v>
      </c>
      <c r="H44" s="371">
        <v>-0.44016999999899997</v>
      </c>
      <c r="I44" s="368">
        <v>1.1512800000000001</v>
      </c>
      <c r="J44" s="369">
        <v>0.28366180845799999</v>
      </c>
      <c r="K44" s="372">
        <v>0.44231437715400002</v>
      </c>
    </row>
    <row r="45" spans="1:11" ht="14.4" customHeight="1" thickBot="1" x14ac:dyDescent="0.35">
      <c r="A45" s="389" t="s">
        <v>245</v>
      </c>
      <c r="B45" s="373">
        <v>4.5430985915489996</v>
      </c>
      <c r="C45" s="373">
        <v>1.08</v>
      </c>
      <c r="D45" s="374">
        <v>-3.463098591549</v>
      </c>
      <c r="E45" s="381">
        <v>0.23772321428500001</v>
      </c>
      <c r="F45" s="373">
        <v>0.99999999999900002</v>
      </c>
      <c r="G45" s="374">
        <v>0.33333333333300003</v>
      </c>
      <c r="H45" s="376">
        <v>0.26999999999899998</v>
      </c>
      <c r="I45" s="373">
        <v>0.53999999999899995</v>
      </c>
      <c r="J45" s="374">
        <v>0.206666666666</v>
      </c>
      <c r="K45" s="377">
        <v>0.54</v>
      </c>
    </row>
    <row r="46" spans="1:11" ht="14.4" customHeight="1" thickBot="1" x14ac:dyDescent="0.35">
      <c r="A46" s="390" t="s">
        <v>246</v>
      </c>
      <c r="B46" s="368">
        <v>4.5430985915489996</v>
      </c>
      <c r="C46" s="368">
        <v>1.08</v>
      </c>
      <c r="D46" s="369">
        <v>-3.463098591549</v>
      </c>
      <c r="E46" s="370">
        <v>0.23772321428500001</v>
      </c>
      <c r="F46" s="368">
        <v>0.99999999999900002</v>
      </c>
      <c r="G46" s="369">
        <v>0.33333333333300003</v>
      </c>
      <c r="H46" s="371">
        <v>0.26999999999899998</v>
      </c>
      <c r="I46" s="368">
        <v>0.53999999999899995</v>
      </c>
      <c r="J46" s="369">
        <v>0.206666666666</v>
      </c>
      <c r="K46" s="372">
        <v>0.54</v>
      </c>
    </row>
    <row r="47" spans="1:11" ht="14.4" customHeight="1" thickBot="1" x14ac:dyDescent="0.35">
      <c r="A47" s="389" t="s">
        <v>247</v>
      </c>
      <c r="B47" s="373">
        <v>47.315091784304002</v>
      </c>
      <c r="C47" s="373">
        <v>40.245809999999999</v>
      </c>
      <c r="D47" s="374">
        <v>-7.0692817843039997</v>
      </c>
      <c r="E47" s="381">
        <v>0.850591396577</v>
      </c>
      <c r="F47" s="373">
        <v>42.324723686721001</v>
      </c>
      <c r="G47" s="374">
        <v>14.108241228907</v>
      </c>
      <c r="H47" s="376">
        <v>3.7128799999990001</v>
      </c>
      <c r="I47" s="373">
        <v>15.53205</v>
      </c>
      <c r="J47" s="374">
        <v>1.423808771092</v>
      </c>
      <c r="K47" s="377">
        <v>0.366973453033</v>
      </c>
    </row>
    <row r="48" spans="1:11" ht="14.4" customHeight="1" thickBot="1" x14ac:dyDescent="0.35">
      <c r="A48" s="390" t="s">
        <v>248</v>
      </c>
      <c r="B48" s="368">
        <v>47.315091784304002</v>
      </c>
      <c r="C48" s="368">
        <v>40.245809999999999</v>
      </c>
      <c r="D48" s="369">
        <v>-7.0692817843039997</v>
      </c>
      <c r="E48" s="370">
        <v>0.850591396577</v>
      </c>
      <c r="F48" s="368">
        <v>42.324723686721001</v>
      </c>
      <c r="G48" s="369">
        <v>14.108241228907</v>
      </c>
      <c r="H48" s="371">
        <v>3.6876399999989999</v>
      </c>
      <c r="I48" s="368">
        <v>14.75056</v>
      </c>
      <c r="J48" s="369">
        <v>0.64231877109199997</v>
      </c>
      <c r="K48" s="372">
        <v>0.34850930413999998</v>
      </c>
    </row>
    <row r="49" spans="1:11" ht="14.4" customHeight="1" thickBot="1" x14ac:dyDescent="0.35">
      <c r="A49" s="390" t="s">
        <v>249</v>
      </c>
      <c r="B49" s="368">
        <v>0</v>
      </c>
      <c r="C49" s="368">
        <v>0</v>
      </c>
      <c r="D49" s="369">
        <v>0</v>
      </c>
      <c r="E49" s="370">
        <v>1</v>
      </c>
      <c r="F49" s="368">
        <v>0</v>
      </c>
      <c r="G49" s="369">
        <v>0</v>
      </c>
      <c r="H49" s="371">
        <v>0</v>
      </c>
      <c r="I49" s="368">
        <v>0.75624999999999998</v>
      </c>
      <c r="J49" s="369">
        <v>0.75624999999999998</v>
      </c>
      <c r="K49" s="380" t="s">
        <v>213</v>
      </c>
    </row>
    <row r="50" spans="1:11" ht="14.4" customHeight="1" thickBot="1" x14ac:dyDescent="0.35">
      <c r="A50" s="390" t="s">
        <v>250</v>
      </c>
      <c r="B50" s="368">
        <v>0</v>
      </c>
      <c r="C50" s="368">
        <v>0</v>
      </c>
      <c r="D50" s="369">
        <v>0</v>
      </c>
      <c r="E50" s="370">
        <v>1</v>
      </c>
      <c r="F50" s="368">
        <v>0</v>
      </c>
      <c r="G50" s="369">
        <v>0</v>
      </c>
      <c r="H50" s="371">
        <v>2.5239999999E-2</v>
      </c>
      <c r="I50" s="368">
        <v>2.5239999999E-2</v>
      </c>
      <c r="J50" s="369">
        <v>2.5239999999E-2</v>
      </c>
      <c r="K50" s="380" t="s">
        <v>213</v>
      </c>
    </row>
    <row r="51" spans="1:11" ht="14.4" customHeight="1" thickBot="1" x14ac:dyDescent="0.35">
      <c r="A51" s="389" t="s">
        <v>251</v>
      </c>
      <c r="B51" s="373">
        <v>0</v>
      </c>
      <c r="C51" s="373">
        <v>6.5869999999999997</v>
      </c>
      <c r="D51" s="374">
        <v>6.5869999999999997</v>
      </c>
      <c r="E51" s="375" t="s">
        <v>213</v>
      </c>
      <c r="F51" s="373">
        <v>9.8191402996259995</v>
      </c>
      <c r="G51" s="374">
        <v>3.273046766542</v>
      </c>
      <c r="H51" s="376">
        <v>0</v>
      </c>
      <c r="I51" s="373">
        <v>0</v>
      </c>
      <c r="J51" s="374">
        <v>-3.273046766542</v>
      </c>
      <c r="K51" s="377">
        <v>0</v>
      </c>
    </row>
    <row r="52" spans="1:11" ht="14.4" customHeight="1" thickBot="1" x14ac:dyDescent="0.35">
      <c r="A52" s="390" t="s">
        <v>252</v>
      </c>
      <c r="B52" s="368">
        <v>0</v>
      </c>
      <c r="C52" s="368">
        <v>6.5869999999999997</v>
      </c>
      <c r="D52" s="369">
        <v>6.5869999999999997</v>
      </c>
      <c r="E52" s="378" t="s">
        <v>213</v>
      </c>
      <c r="F52" s="368">
        <v>9.8191402996259995</v>
      </c>
      <c r="G52" s="369">
        <v>3.273046766542</v>
      </c>
      <c r="H52" s="371">
        <v>0</v>
      </c>
      <c r="I52" s="368">
        <v>0</v>
      </c>
      <c r="J52" s="369">
        <v>-3.273046766542</v>
      </c>
      <c r="K52" s="372">
        <v>0</v>
      </c>
    </row>
    <row r="53" spans="1:11" ht="14.4" customHeight="1" thickBot="1" x14ac:dyDescent="0.35">
      <c r="A53" s="387" t="s">
        <v>24</v>
      </c>
      <c r="B53" s="368">
        <v>8397.7299999999796</v>
      </c>
      <c r="C53" s="368">
        <v>8621.2191200000107</v>
      </c>
      <c r="D53" s="369">
        <v>223.489120000035</v>
      </c>
      <c r="E53" s="370">
        <v>1.026613039476</v>
      </c>
      <c r="F53" s="368">
        <v>8353.7184920000109</v>
      </c>
      <c r="G53" s="369">
        <v>2784.5728306666701</v>
      </c>
      <c r="H53" s="371">
        <v>728.79235999999696</v>
      </c>
      <c r="I53" s="368">
        <v>2904.0433800000001</v>
      </c>
      <c r="J53" s="369">
        <v>119.47054933332799</v>
      </c>
      <c r="K53" s="372">
        <v>0.34763481469700003</v>
      </c>
    </row>
    <row r="54" spans="1:11" ht="14.4" customHeight="1" thickBot="1" x14ac:dyDescent="0.35">
      <c r="A54" s="393" t="s">
        <v>253</v>
      </c>
      <c r="B54" s="373">
        <v>6178.6899999999796</v>
      </c>
      <c r="C54" s="373">
        <v>6342.0250000000096</v>
      </c>
      <c r="D54" s="374">
        <v>163.33500000002999</v>
      </c>
      <c r="E54" s="381">
        <v>1.0264352152309999</v>
      </c>
      <c r="F54" s="373">
        <v>6016.1000000000104</v>
      </c>
      <c r="G54" s="374">
        <v>2005.36666666667</v>
      </c>
      <c r="H54" s="376">
        <v>535.88499999999794</v>
      </c>
      <c r="I54" s="373">
        <v>2135.3330000000001</v>
      </c>
      <c r="J54" s="374">
        <v>129.96633333332801</v>
      </c>
      <c r="K54" s="377">
        <v>0.35493642060399999</v>
      </c>
    </row>
    <row r="55" spans="1:11" ht="14.4" customHeight="1" thickBot="1" x14ac:dyDescent="0.35">
      <c r="A55" s="389" t="s">
        <v>254</v>
      </c>
      <c r="B55" s="373">
        <v>6163.99999999998</v>
      </c>
      <c r="C55" s="373">
        <v>6324.3430000000099</v>
      </c>
      <c r="D55" s="374">
        <v>160.34300000003</v>
      </c>
      <c r="E55" s="381">
        <v>1.026012816353</v>
      </c>
      <c r="F55" s="373">
        <v>5994.5300000000097</v>
      </c>
      <c r="G55" s="374">
        <v>1998.1766666666699</v>
      </c>
      <c r="H55" s="376">
        <v>535.13499999999794</v>
      </c>
      <c r="I55" s="373">
        <v>2134.5830000000001</v>
      </c>
      <c r="J55" s="374">
        <v>136.40633333332801</v>
      </c>
      <c r="K55" s="377">
        <v>0.35608846731900001</v>
      </c>
    </row>
    <row r="56" spans="1:11" ht="14.4" customHeight="1" thickBot="1" x14ac:dyDescent="0.35">
      <c r="A56" s="390" t="s">
        <v>255</v>
      </c>
      <c r="B56" s="368">
        <v>6163.99999999998</v>
      </c>
      <c r="C56" s="368">
        <v>6324.3430000000099</v>
      </c>
      <c r="D56" s="369">
        <v>160.34300000003</v>
      </c>
      <c r="E56" s="370">
        <v>1.026012816353</v>
      </c>
      <c r="F56" s="368">
        <v>5994.5300000000097</v>
      </c>
      <c r="G56" s="369">
        <v>1998.1766666666699</v>
      </c>
      <c r="H56" s="371">
        <v>535.13499999999794</v>
      </c>
      <c r="I56" s="368">
        <v>2134.5830000000001</v>
      </c>
      <c r="J56" s="369">
        <v>136.40633333332801</v>
      </c>
      <c r="K56" s="372">
        <v>0.35608846731900001</v>
      </c>
    </row>
    <row r="57" spans="1:11" ht="14.4" customHeight="1" thickBot="1" x14ac:dyDescent="0.35">
      <c r="A57" s="389" t="s">
        <v>256</v>
      </c>
      <c r="B57" s="373">
        <v>14.69</v>
      </c>
      <c r="C57" s="373">
        <v>11.182</v>
      </c>
      <c r="D57" s="374">
        <v>-3.5079999999989999</v>
      </c>
      <c r="E57" s="381">
        <v>0.76119809394100002</v>
      </c>
      <c r="F57" s="373">
        <v>14.85</v>
      </c>
      <c r="G57" s="374">
        <v>4.95</v>
      </c>
      <c r="H57" s="376">
        <v>0</v>
      </c>
      <c r="I57" s="373">
        <v>0</v>
      </c>
      <c r="J57" s="374">
        <v>-4.95</v>
      </c>
      <c r="K57" s="377">
        <v>0</v>
      </c>
    </row>
    <row r="58" spans="1:11" ht="14.4" customHeight="1" thickBot="1" x14ac:dyDescent="0.35">
      <c r="A58" s="390" t="s">
        <v>257</v>
      </c>
      <c r="B58" s="368">
        <v>14.69</v>
      </c>
      <c r="C58" s="368">
        <v>11.182</v>
      </c>
      <c r="D58" s="369">
        <v>-3.5079999999989999</v>
      </c>
      <c r="E58" s="370">
        <v>0.76119809394100002</v>
      </c>
      <c r="F58" s="368">
        <v>14.85</v>
      </c>
      <c r="G58" s="369">
        <v>4.95</v>
      </c>
      <c r="H58" s="371">
        <v>0</v>
      </c>
      <c r="I58" s="368">
        <v>0</v>
      </c>
      <c r="J58" s="369">
        <v>-4.95</v>
      </c>
      <c r="K58" s="372">
        <v>0</v>
      </c>
    </row>
    <row r="59" spans="1:11" ht="14.4" customHeight="1" thickBot="1" x14ac:dyDescent="0.35">
      <c r="A59" s="392" t="s">
        <v>258</v>
      </c>
      <c r="B59" s="368">
        <v>0</v>
      </c>
      <c r="C59" s="368">
        <v>6.5</v>
      </c>
      <c r="D59" s="369">
        <v>6.5</v>
      </c>
      <c r="E59" s="378" t="s">
        <v>207</v>
      </c>
      <c r="F59" s="368">
        <v>6.72</v>
      </c>
      <c r="G59" s="369">
        <v>2.2400000000000002</v>
      </c>
      <c r="H59" s="371">
        <v>0.74999999999900002</v>
      </c>
      <c r="I59" s="368">
        <v>0.74999999999900002</v>
      </c>
      <c r="J59" s="369">
        <v>-1.49</v>
      </c>
      <c r="K59" s="372">
        <v>0.11160714285700001</v>
      </c>
    </row>
    <row r="60" spans="1:11" ht="14.4" customHeight="1" thickBot="1" x14ac:dyDescent="0.35">
      <c r="A60" s="390" t="s">
        <v>259</v>
      </c>
      <c r="B60" s="368">
        <v>0</v>
      </c>
      <c r="C60" s="368">
        <v>6.5</v>
      </c>
      <c r="D60" s="369">
        <v>6.5</v>
      </c>
      <c r="E60" s="378" t="s">
        <v>207</v>
      </c>
      <c r="F60" s="368">
        <v>6.72</v>
      </c>
      <c r="G60" s="369">
        <v>2.2400000000000002</v>
      </c>
      <c r="H60" s="371">
        <v>0.74999999999900002</v>
      </c>
      <c r="I60" s="368">
        <v>0.74999999999900002</v>
      </c>
      <c r="J60" s="369">
        <v>-1.49</v>
      </c>
      <c r="K60" s="372">
        <v>0.11160714285700001</v>
      </c>
    </row>
    <row r="61" spans="1:11" ht="14.4" customHeight="1" thickBot="1" x14ac:dyDescent="0.35">
      <c r="A61" s="388" t="s">
        <v>260</v>
      </c>
      <c r="B61" s="368">
        <v>2095.7600000000002</v>
      </c>
      <c r="C61" s="368">
        <v>2152.4799699999999</v>
      </c>
      <c r="D61" s="369">
        <v>56.719970000003997</v>
      </c>
      <c r="E61" s="370">
        <v>1.0270641533380001</v>
      </c>
      <c r="F61" s="368">
        <v>2182.37</v>
      </c>
      <c r="G61" s="369">
        <v>727.45666666666602</v>
      </c>
      <c r="H61" s="371">
        <v>182.20320999999899</v>
      </c>
      <c r="I61" s="368">
        <v>726.01414999999997</v>
      </c>
      <c r="J61" s="369">
        <v>-1.4425166666660001</v>
      </c>
      <c r="K61" s="372">
        <v>0.33267234703499998</v>
      </c>
    </row>
    <row r="62" spans="1:11" ht="14.4" customHeight="1" thickBot="1" x14ac:dyDescent="0.35">
      <c r="A62" s="389" t="s">
        <v>261</v>
      </c>
      <c r="B62" s="373">
        <v>554.76000000000101</v>
      </c>
      <c r="C62" s="373">
        <v>569.76922000000104</v>
      </c>
      <c r="D62" s="374">
        <v>15.009219999999001</v>
      </c>
      <c r="E62" s="381">
        <v>1.0270553392449999</v>
      </c>
      <c r="F62" s="373">
        <v>577.68999999999903</v>
      </c>
      <c r="G62" s="374">
        <v>192.56333333333299</v>
      </c>
      <c r="H62" s="376">
        <v>48.231959999998999</v>
      </c>
      <c r="I62" s="373">
        <v>192.18090000000001</v>
      </c>
      <c r="J62" s="374">
        <v>-0.382433333333</v>
      </c>
      <c r="K62" s="377">
        <v>0.332671328913</v>
      </c>
    </row>
    <row r="63" spans="1:11" ht="14.4" customHeight="1" thickBot="1" x14ac:dyDescent="0.35">
      <c r="A63" s="390" t="s">
        <v>262</v>
      </c>
      <c r="B63" s="368">
        <v>554.76000000000101</v>
      </c>
      <c r="C63" s="368">
        <v>569.76922000000104</v>
      </c>
      <c r="D63" s="369">
        <v>15.009219999999001</v>
      </c>
      <c r="E63" s="370">
        <v>1.0270553392449999</v>
      </c>
      <c r="F63" s="368">
        <v>577.68999999999903</v>
      </c>
      <c r="G63" s="369">
        <v>192.56333333333299</v>
      </c>
      <c r="H63" s="371">
        <v>48.231959999998999</v>
      </c>
      <c r="I63" s="368">
        <v>192.18090000000001</v>
      </c>
      <c r="J63" s="369">
        <v>-0.382433333333</v>
      </c>
      <c r="K63" s="372">
        <v>0.332671328913</v>
      </c>
    </row>
    <row r="64" spans="1:11" ht="14.4" customHeight="1" thickBot="1" x14ac:dyDescent="0.35">
      <c r="A64" s="389" t="s">
        <v>263</v>
      </c>
      <c r="B64" s="373">
        <v>1541</v>
      </c>
      <c r="C64" s="373">
        <v>1582.71075</v>
      </c>
      <c r="D64" s="374">
        <v>41.710750000003998</v>
      </c>
      <c r="E64" s="381">
        <v>1.027067326411</v>
      </c>
      <c r="F64" s="373">
        <v>1604.68</v>
      </c>
      <c r="G64" s="374">
        <v>534.89333333333298</v>
      </c>
      <c r="H64" s="376">
        <v>133.971249999999</v>
      </c>
      <c r="I64" s="373">
        <v>533.83325000000002</v>
      </c>
      <c r="J64" s="374">
        <v>-1.060083333333</v>
      </c>
      <c r="K64" s="377">
        <v>0.33267271356200001</v>
      </c>
    </row>
    <row r="65" spans="1:11" ht="14.4" customHeight="1" thickBot="1" x14ac:dyDescent="0.35">
      <c r="A65" s="390" t="s">
        <v>264</v>
      </c>
      <c r="B65" s="368">
        <v>1541</v>
      </c>
      <c r="C65" s="368">
        <v>1582.71075</v>
      </c>
      <c r="D65" s="369">
        <v>41.710750000003998</v>
      </c>
      <c r="E65" s="370">
        <v>1.027067326411</v>
      </c>
      <c r="F65" s="368">
        <v>1604.68</v>
      </c>
      <c r="G65" s="369">
        <v>534.89333333333298</v>
      </c>
      <c r="H65" s="371">
        <v>133.971249999999</v>
      </c>
      <c r="I65" s="368">
        <v>533.83325000000002</v>
      </c>
      <c r="J65" s="369">
        <v>-1.060083333333</v>
      </c>
      <c r="K65" s="372">
        <v>0.33267271356200001</v>
      </c>
    </row>
    <row r="66" spans="1:11" ht="14.4" customHeight="1" thickBot="1" x14ac:dyDescent="0.35">
      <c r="A66" s="388" t="s">
        <v>265</v>
      </c>
      <c r="B66" s="368">
        <v>0</v>
      </c>
      <c r="C66" s="368">
        <v>0</v>
      </c>
      <c r="D66" s="369">
        <v>0</v>
      </c>
      <c r="E66" s="370">
        <v>1</v>
      </c>
      <c r="F66" s="368">
        <v>26.868492</v>
      </c>
      <c r="G66" s="369">
        <v>8.9561639999999993</v>
      </c>
      <c r="H66" s="371">
        <v>0</v>
      </c>
      <c r="I66" s="368">
        <v>0</v>
      </c>
      <c r="J66" s="369">
        <v>-8.9561639999999993</v>
      </c>
      <c r="K66" s="372">
        <v>0</v>
      </c>
    </row>
    <row r="67" spans="1:11" ht="14.4" customHeight="1" thickBot="1" x14ac:dyDescent="0.35">
      <c r="A67" s="389" t="s">
        <v>266</v>
      </c>
      <c r="B67" s="373">
        <v>0</v>
      </c>
      <c r="C67" s="373">
        <v>0</v>
      </c>
      <c r="D67" s="374">
        <v>0</v>
      </c>
      <c r="E67" s="381">
        <v>1</v>
      </c>
      <c r="F67" s="373">
        <v>26.868492</v>
      </c>
      <c r="G67" s="374">
        <v>8.9561639999999993</v>
      </c>
      <c r="H67" s="376">
        <v>0</v>
      </c>
      <c r="I67" s="373">
        <v>0</v>
      </c>
      <c r="J67" s="374">
        <v>-8.9561639999999993</v>
      </c>
      <c r="K67" s="377">
        <v>0</v>
      </c>
    </row>
    <row r="68" spans="1:11" ht="14.4" customHeight="1" thickBot="1" x14ac:dyDescent="0.35">
      <c r="A68" s="390" t="s">
        <v>267</v>
      </c>
      <c r="B68" s="368">
        <v>0</v>
      </c>
      <c r="C68" s="368">
        <v>0</v>
      </c>
      <c r="D68" s="369">
        <v>0</v>
      </c>
      <c r="E68" s="370">
        <v>1</v>
      </c>
      <c r="F68" s="368">
        <v>26.868492</v>
      </c>
      <c r="G68" s="369">
        <v>8.9561639999999993</v>
      </c>
      <c r="H68" s="371">
        <v>0</v>
      </c>
      <c r="I68" s="368">
        <v>0</v>
      </c>
      <c r="J68" s="369">
        <v>-8.9561639999999993</v>
      </c>
      <c r="K68" s="372">
        <v>0</v>
      </c>
    </row>
    <row r="69" spans="1:11" ht="14.4" customHeight="1" thickBot="1" x14ac:dyDescent="0.35">
      <c r="A69" s="388" t="s">
        <v>268</v>
      </c>
      <c r="B69" s="368">
        <v>123.28</v>
      </c>
      <c r="C69" s="368">
        <v>126.71415</v>
      </c>
      <c r="D69" s="369">
        <v>3.4341499999990002</v>
      </c>
      <c r="E69" s="370">
        <v>1.027856505515</v>
      </c>
      <c r="F69" s="368">
        <v>128.38</v>
      </c>
      <c r="G69" s="369">
        <v>42.793333333333003</v>
      </c>
      <c r="H69" s="371">
        <v>10.70415</v>
      </c>
      <c r="I69" s="368">
        <v>42.69623</v>
      </c>
      <c r="J69" s="369">
        <v>-9.7103333333000003E-2</v>
      </c>
      <c r="K69" s="372">
        <v>0.33257695902700002</v>
      </c>
    </row>
    <row r="70" spans="1:11" ht="14.4" customHeight="1" thickBot="1" x14ac:dyDescent="0.35">
      <c r="A70" s="389" t="s">
        <v>269</v>
      </c>
      <c r="B70" s="373">
        <v>123.28</v>
      </c>
      <c r="C70" s="373">
        <v>126.71415</v>
      </c>
      <c r="D70" s="374">
        <v>3.4341499999990002</v>
      </c>
      <c r="E70" s="381">
        <v>1.027856505515</v>
      </c>
      <c r="F70" s="373">
        <v>128.38</v>
      </c>
      <c r="G70" s="374">
        <v>42.793333333333003</v>
      </c>
      <c r="H70" s="376">
        <v>10.70415</v>
      </c>
      <c r="I70" s="373">
        <v>42.69623</v>
      </c>
      <c r="J70" s="374">
        <v>-9.7103333333000003E-2</v>
      </c>
      <c r="K70" s="377">
        <v>0.33257695902700002</v>
      </c>
    </row>
    <row r="71" spans="1:11" ht="14.4" customHeight="1" thickBot="1" x14ac:dyDescent="0.35">
      <c r="A71" s="390" t="s">
        <v>270</v>
      </c>
      <c r="B71" s="368">
        <v>123.28</v>
      </c>
      <c r="C71" s="368">
        <v>126.71415</v>
      </c>
      <c r="D71" s="369">
        <v>3.4341499999990002</v>
      </c>
      <c r="E71" s="370">
        <v>1.027856505515</v>
      </c>
      <c r="F71" s="368">
        <v>128.38</v>
      </c>
      <c r="G71" s="369">
        <v>42.793333333333003</v>
      </c>
      <c r="H71" s="371">
        <v>10.70415</v>
      </c>
      <c r="I71" s="368">
        <v>42.69623</v>
      </c>
      <c r="J71" s="369">
        <v>-9.7103333333000003E-2</v>
      </c>
      <c r="K71" s="372">
        <v>0.33257695902700002</v>
      </c>
    </row>
    <row r="72" spans="1:11" ht="14.4" customHeight="1" thickBot="1" x14ac:dyDescent="0.35">
      <c r="A72" s="387" t="s">
        <v>271</v>
      </c>
      <c r="B72" s="368">
        <v>4.741059715964</v>
      </c>
      <c r="C72" s="368">
        <v>104.03075</v>
      </c>
      <c r="D72" s="369">
        <v>99.289690284035999</v>
      </c>
      <c r="E72" s="370">
        <v>21.942509951879</v>
      </c>
      <c r="F72" s="368">
        <v>0</v>
      </c>
      <c r="G72" s="369">
        <v>0</v>
      </c>
      <c r="H72" s="371">
        <v>10.199999999999999</v>
      </c>
      <c r="I72" s="368">
        <v>38.969999999998997</v>
      </c>
      <c r="J72" s="369">
        <v>38.969999999998997</v>
      </c>
      <c r="K72" s="380" t="s">
        <v>207</v>
      </c>
    </row>
    <row r="73" spans="1:11" ht="14.4" customHeight="1" thickBot="1" x14ac:dyDescent="0.35">
      <c r="A73" s="388" t="s">
        <v>272</v>
      </c>
      <c r="B73" s="368">
        <v>4.741059715964</v>
      </c>
      <c r="C73" s="368">
        <v>104.03075</v>
      </c>
      <c r="D73" s="369">
        <v>99.289690284035999</v>
      </c>
      <c r="E73" s="370">
        <v>21.942509951879</v>
      </c>
      <c r="F73" s="368">
        <v>0</v>
      </c>
      <c r="G73" s="369">
        <v>0</v>
      </c>
      <c r="H73" s="371">
        <v>10.199999999999999</v>
      </c>
      <c r="I73" s="368">
        <v>38.969999999998997</v>
      </c>
      <c r="J73" s="369">
        <v>38.969999999998997</v>
      </c>
      <c r="K73" s="380" t="s">
        <v>207</v>
      </c>
    </row>
    <row r="74" spans="1:11" ht="14.4" customHeight="1" thickBot="1" x14ac:dyDescent="0.35">
      <c r="A74" s="389" t="s">
        <v>273</v>
      </c>
      <c r="B74" s="373">
        <v>0</v>
      </c>
      <c r="C74" s="373">
        <v>30.05875</v>
      </c>
      <c r="D74" s="374">
        <v>30.05875</v>
      </c>
      <c r="E74" s="375" t="s">
        <v>207</v>
      </c>
      <c r="F74" s="373">
        <v>0</v>
      </c>
      <c r="G74" s="374">
        <v>0</v>
      </c>
      <c r="H74" s="376">
        <v>0</v>
      </c>
      <c r="I74" s="373">
        <v>9.49</v>
      </c>
      <c r="J74" s="374">
        <v>9.49</v>
      </c>
      <c r="K74" s="379" t="s">
        <v>207</v>
      </c>
    </row>
    <row r="75" spans="1:11" ht="14.4" customHeight="1" thickBot="1" x14ac:dyDescent="0.35">
      <c r="A75" s="390" t="s">
        <v>274</v>
      </c>
      <c r="B75" s="368">
        <v>0</v>
      </c>
      <c r="C75" s="368">
        <v>0.31874999999999998</v>
      </c>
      <c r="D75" s="369">
        <v>0.31874999999999998</v>
      </c>
      <c r="E75" s="378" t="s">
        <v>207</v>
      </c>
      <c r="F75" s="368">
        <v>0</v>
      </c>
      <c r="G75" s="369">
        <v>0</v>
      </c>
      <c r="H75" s="371">
        <v>0</v>
      </c>
      <c r="I75" s="368">
        <v>0</v>
      </c>
      <c r="J75" s="369">
        <v>0</v>
      </c>
      <c r="K75" s="380" t="s">
        <v>207</v>
      </c>
    </row>
    <row r="76" spans="1:11" ht="14.4" customHeight="1" thickBot="1" x14ac:dyDescent="0.35">
      <c r="A76" s="390" t="s">
        <v>275</v>
      </c>
      <c r="B76" s="368">
        <v>0</v>
      </c>
      <c r="C76" s="368">
        <v>29.74</v>
      </c>
      <c r="D76" s="369">
        <v>29.74</v>
      </c>
      <c r="E76" s="378" t="s">
        <v>207</v>
      </c>
      <c r="F76" s="368">
        <v>0</v>
      </c>
      <c r="G76" s="369">
        <v>0</v>
      </c>
      <c r="H76" s="371">
        <v>0</v>
      </c>
      <c r="I76" s="368">
        <v>9.49</v>
      </c>
      <c r="J76" s="369">
        <v>9.49</v>
      </c>
      <c r="K76" s="380" t="s">
        <v>207</v>
      </c>
    </row>
    <row r="77" spans="1:11" ht="14.4" customHeight="1" thickBot="1" x14ac:dyDescent="0.35">
      <c r="A77" s="392" t="s">
        <v>276</v>
      </c>
      <c r="B77" s="368">
        <v>4.741059715964</v>
      </c>
      <c r="C77" s="368">
        <v>0.622</v>
      </c>
      <c r="D77" s="369">
        <v>-4.1190597159640001</v>
      </c>
      <c r="E77" s="370">
        <v>0.13119429774399999</v>
      </c>
      <c r="F77" s="368">
        <v>0</v>
      </c>
      <c r="G77" s="369">
        <v>0</v>
      </c>
      <c r="H77" s="371">
        <v>0</v>
      </c>
      <c r="I77" s="368">
        <v>0</v>
      </c>
      <c r="J77" s="369">
        <v>0</v>
      </c>
      <c r="K77" s="380" t="s">
        <v>207</v>
      </c>
    </row>
    <row r="78" spans="1:11" ht="14.4" customHeight="1" thickBot="1" x14ac:dyDescent="0.35">
      <c r="A78" s="390" t="s">
        <v>277</v>
      </c>
      <c r="B78" s="368">
        <v>4.741059715964</v>
      </c>
      <c r="C78" s="368">
        <v>0.622</v>
      </c>
      <c r="D78" s="369">
        <v>-4.1190597159640001</v>
      </c>
      <c r="E78" s="370">
        <v>0.13119429774399999</v>
      </c>
      <c r="F78" s="368">
        <v>0</v>
      </c>
      <c r="G78" s="369">
        <v>0</v>
      </c>
      <c r="H78" s="371">
        <v>0</v>
      </c>
      <c r="I78" s="368">
        <v>0</v>
      </c>
      <c r="J78" s="369">
        <v>0</v>
      </c>
      <c r="K78" s="380" t="s">
        <v>207</v>
      </c>
    </row>
    <row r="79" spans="1:11" ht="14.4" customHeight="1" thickBot="1" x14ac:dyDescent="0.35">
      <c r="A79" s="392" t="s">
        <v>278</v>
      </c>
      <c r="B79" s="368">
        <v>0</v>
      </c>
      <c r="C79" s="368">
        <v>73.349999999999994</v>
      </c>
      <c r="D79" s="369">
        <v>73.349999999999994</v>
      </c>
      <c r="E79" s="378" t="s">
        <v>207</v>
      </c>
      <c r="F79" s="368">
        <v>0</v>
      </c>
      <c r="G79" s="369">
        <v>0</v>
      </c>
      <c r="H79" s="371">
        <v>10.199999999999999</v>
      </c>
      <c r="I79" s="368">
        <v>29.479999999998999</v>
      </c>
      <c r="J79" s="369">
        <v>29.479999999998999</v>
      </c>
      <c r="K79" s="380" t="s">
        <v>207</v>
      </c>
    </row>
    <row r="80" spans="1:11" ht="14.4" customHeight="1" thickBot="1" x14ac:dyDescent="0.35">
      <c r="A80" s="390" t="s">
        <v>279</v>
      </c>
      <c r="B80" s="368">
        <v>0</v>
      </c>
      <c r="C80" s="368">
        <v>73.349999999999994</v>
      </c>
      <c r="D80" s="369">
        <v>73.349999999999994</v>
      </c>
      <c r="E80" s="378" t="s">
        <v>207</v>
      </c>
      <c r="F80" s="368">
        <v>0</v>
      </c>
      <c r="G80" s="369">
        <v>0</v>
      </c>
      <c r="H80" s="371">
        <v>10.199999999999999</v>
      </c>
      <c r="I80" s="368">
        <v>29.479999999998999</v>
      </c>
      <c r="J80" s="369">
        <v>29.479999999998999</v>
      </c>
      <c r="K80" s="380" t="s">
        <v>207</v>
      </c>
    </row>
    <row r="81" spans="1:11" ht="14.4" customHeight="1" thickBot="1" x14ac:dyDescent="0.35">
      <c r="A81" s="387" t="s">
        <v>280</v>
      </c>
      <c r="B81" s="368">
        <v>47.845275356393998</v>
      </c>
      <c r="C81" s="368">
        <v>46.484000000000002</v>
      </c>
      <c r="D81" s="369">
        <v>-1.3612753563940001</v>
      </c>
      <c r="E81" s="370">
        <v>0.97154838494999995</v>
      </c>
      <c r="F81" s="368">
        <v>45.999999999998998</v>
      </c>
      <c r="G81" s="369">
        <v>15.333333333333</v>
      </c>
      <c r="H81" s="371">
        <v>12.501689999999</v>
      </c>
      <c r="I81" s="368">
        <v>24.194759999999999</v>
      </c>
      <c r="J81" s="369">
        <v>8.8614266666660004</v>
      </c>
      <c r="K81" s="372">
        <v>0.525973043478</v>
      </c>
    </row>
    <row r="82" spans="1:11" ht="14.4" customHeight="1" thickBot="1" x14ac:dyDescent="0.35">
      <c r="A82" s="388" t="s">
        <v>281</v>
      </c>
      <c r="B82" s="368">
        <v>47.845275356393998</v>
      </c>
      <c r="C82" s="368">
        <v>46.484000000000002</v>
      </c>
      <c r="D82" s="369">
        <v>-1.3612753563940001</v>
      </c>
      <c r="E82" s="370">
        <v>0.97154838494999995</v>
      </c>
      <c r="F82" s="368">
        <v>45.999999999998998</v>
      </c>
      <c r="G82" s="369">
        <v>15.333333333333</v>
      </c>
      <c r="H82" s="371">
        <v>3.7896899999990001</v>
      </c>
      <c r="I82" s="368">
        <v>15.482760000000001</v>
      </c>
      <c r="J82" s="369">
        <v>0.14942666666599999</v>
      </c>
      <c r="K82" s="372">
        <v>0.33658173913</v>
      </c>
    </row>
    <row r="83" spans="1:11" ht="14.4" customHeight="1" thickBot="1" x14ac:dyDescent="0.35">
      <c r="A83" s="389" t="s">
        <v>282</v>
      </c>
      <c r="B83" s="373">
        <v>47.845275356393998</v>
      </c>
      <c r="C83" s="373">
        <v>46.484000000000002</v>
      </c>
      <c r="D83" s="374">
        <v>-1.3612753563940001</v>
      </c>
      <c r="E83" s="381">
        <v>0.97154838494999995</v>
      </c>
      <c r="F83" s="373">
        <v>45.999999999998998</v>
      </c>
      <c r="G83" s="374">
        <v>15.333333333333</v>
      </c>
      <c r="H83" s="376">
        <v>3.7896899999990001</v>
      </c>
      <c r="I83" s="373">
        <v>15.482760000000001</v>
      </c>
      <c r="J83" s="374">
        <v>0.14942666666599999</v>
      </c>
      <c r="K83" s="377">
        <v>0.33658173913</v>
      </c>
    </row>
    <row r="84" spans="1:11" ht="14.4" customHeight="1" thickBot="1" x14ac:dyDescent="0.35">
      <c r="A84" s="390" t="s">
        <v>283</v>
      </c>
      <c r="B84" s="368">
        <v>28.849574518539999</v>
      </c>
      <c r="C84" s="368">
        <v>28.164000000000001</v>
      </c>
      <c r="D84" s="369">
        <v>-0.68557451853999996</v>
      </c>
      <c r="E84" s="370">
        <v>0.97623623467599996</v>
      </c>
      <c r="F84" s="368">
        <v>27.999999999999002</v>
      </c>
      <c r="G84" s="369">
        <v>9.333333333333</v>
      </c>
      <c r="H84" s="371">
        <v>2.302209999999</v>
      </c>
      <c r="I84" s="368">
        <v>9.4600100000000005</v>
      </c>
      <c r="J84" s="369">
        <v>0.126676666666</v>
      </c>
      <c r="K84" s="372">
        <v>0.33785749999999998</v>
      </c>
    </row>
    <row r="85" spans="1:11" ht="14.4" customHeight="1" thickBot="1" x14ac:dyDescent="0.35">
      <c r="A85" s="390" t="s">
        <v>284</v>
      </c>
      <c r="B85" s="368">
        <v>10.534037524045999</v>
      </c>
      <c r="C85" s="368">
        <v>9.9120000000000008</v>
      </c>
      <c r="D85" s="369">
        <v>-0.62203752404599999</v>
      </c>
      <c r="E85" s="370">
        <v>0.94094975239699996</v>
      </c>
      <c r="F85" s="368">
        <v>9.9999999999989999</v>
      </c>
      <c r="G85" s="369">
        <v>3.333333333333</v>
      </c>
      <c r="H85" s="371">
        <v>0.82599999999899998</v>
      </c>
      <c r="I85" s="368">
        <v>3.3039999999999998</v>
      </c>
      <c r="J85" s="369">
        <v>-2.9333333332999999E-2</v>
      </c>
      <c r="K85" s="372">
        <v>0.33040000000000003</v>
      </c>
    </row>
    <row r="86" spans="1:11" ht="14.4" customHeight="1" thickBot="1" x14ac:dyDescent="0.35">
      <c r="A86" s="390" t="s">
        <v>285</v>
      </c>
      <c r="B86" s="368">
        <v>8.4616633138069997</v>
      </c>
      <c r="C86" s="368">
        <v>8.4079999999999995</v>
      </c>
      <c r="D86" s="369">
        <v>-5.3663313806999999E-2</v>
      </c>
      <c r="E86" s="370">
        <v>0.99365806558100001</v>
      </c>
      <c r="F86" s="368">
        <v>7.9999999999989999</v>
      </c>
      <c r="G86" s="369">
        <v>2.6666666666659999</v>
      </c>
      <c r="H86" s="371">
        <v>0.66147999999899998</v>
      </c>
      <c r="I86" s="368">
        <v>2.71875</v>
      </c>
      <c r="J86" s="369">
        <v>5.2083333332999998E-2</v>
      </c>
      <c r="K86" s="372">
        <v>0.33984375</v>
      </c>
    </row>
    <row r="87" spans="1:11" ht="14.4" customHeight="1" thickBot="1" x14ac:dyDescent="0.35">
      <c r="A87" s="388" t="s">
        <v>286</v>
      </c>
      <c r="B87" s="368">
        <v>0</v>
      </c>
      <c r="C87" s="368">
        <v>0</v>
      </c>
      <c r="D87" s="369">
        <v>0</v>
      </c>
      <c r="E87" s="370">
        <v>1</v>
      </c>
      <c r="F87" s="368">
        <v>0</v>
      </c>
      <c r="G87" s="369">
        <v>0</v>
      </c>
      <c r="H87" s="371">
        <v>8.7119999999989997</v>
      </c>
      <c r="I87" s="368">
        <v>8.7119999999989997</v>
      </c>
      <c r="J87" s="369">
        <v>8.7119999999989997</v>
      </c>
      <c r="K87" s="380" t="s">
        <v>207</v>
      </c>
    </row>
    <row r="88" spans="1:11" ht="14.4" customHeight="1" thickBot="1" x14ac:dyDescent="0.35">
      <c r="A88" s="389" t="s">
        <v>287</v>
      </c>
      <c r="B88" s="373">
        <v>0</v>
      </c>
      <c r="C88" s="373">
        <v>0</v>
      </c>
      <c r="D88" s="374">
        <v>0</v>
      </c>
      <c r="E88" s="381">
        <v>1</v>
      </c>
      <c r="F88" s="373">
        <v>0</v>
      </c>
      <c r="G88" s="374">
        <v>0</v>
      </c>
      <c r="H88" s="376">
        <v>8.7119999999989997</v>
      </c>
      <c r="I88" s="373">
        <v>8.7119999999989997</v>
      </c>
      <c r="J88" s="374">
        <v>8.7119999999989997</v>
      </c>
      <c r="K88" s="379" t="s">
        <v>213</v>
      </c>
    </row>
    <row r="89" spans="1:11" ht="14.4" customHeight="1" thickBot="1" x14ac:dyDescent="0.35">
      <c r="A89" s="390" t="s">
        <v>288</v>
      </c>
      <c r="B89" s="368">
        <v>0</v>
      </c>
      <c r="C89" s="368">
        <v>0</v>
      </c>
      <c r="D89" s="369">
        <v>0</v>
      </c>
      <c r="E89" s="370">
        <v>1</v>
      </c>
      <c r="F89" s="368">
        <v>0</v>
      </c>
      <c r="G89" s="369">
        <v>0</v>
      </c>
      <c r="H89" s="371">
        <v>8.7119999999989997</v>
      </c>
      <c r="I89" s="368">
        <v>8.7119999999989997</v>
      </c>
      <c r="J89" s="369">
        <v>8.7119999999989997</v>
      </c>
      <c r="K89" s="380" t="s">
        <v>213</v>
      </c>
    </row>
    <row r="90" spans="1:11" ht="14.4" customHeight="1" thickBot="1" x14ac:dyDescent="0.35">
      <c r="A90" s="386" t="s">
        <v>289</v>
      </c>
      <c r="B90" s="368">
        <v>9961.0150164060706</v>
      </c>
      <c r="C90" s="368">
        <v>11898.167729999999</v>
      </c>
      <c r="D90" s="369">
        <v>1937.15271359394</v>
      </c>
      <c r="E90" s="370">
        <v>1.19447342569</v>
      </c>
      <c r="F90" s="368">
        <v>15489.170341773201</v>
      </c>
      <c r="G90" s="369">
        <v>5163.0567805910696</v>
      </c>
      <c r="H90" s="371">
        <v>979.65346</v>
      </c>
      <c r="I90" s="368">
        <v>4325.4115899999997</v>
      </c>
      <c r="J90" s="369">
        <v>-837.64519059106794</v>
      </c>
      <c r="K90" s="372">
        <v>0.27925392351900002</v>
      </c>
    </row>
    <row r="91" spans="1:11" ht="14.4" customHeight="1" thickBot="1" x14ac:dyDescent="0.35">
      <c r="A91" s="387" t="s">
        <v>290</v>
      </c>
      <c r="B91" s="368">
        <v>9903.0358056514197</v>
      </c>
      <c r="C91" s="368">
        <v>11865.92354</v>
      </c>
      <c r="D91" s="369">
        <v>1962.8877343485799</v>
      </c>
      <c r="E91" s="370">
        <v>1.1982107075920001</v>
      </c>
      <c r="F91" s="368">
        <v>15489.170341773201</v>
      </c>
      <c r="G91" s="369">
        <v>5163.0567805910696</v>
      </c>
      <c r="H91" s="371">
        <v>976.82090000000005</v>
      </c>
      <c r="I91" s="368">
        <v>4317.8188499999997</v>
      </c>
      <c r="J91" s="369">
        <v>-845.23793059106799</v>
      </c>
      <c r="K91" s="372">
        <v>0.27876372683099998</v>
      </c>
    </row>
    <row r="92" spans="1:11" ht="14.4" customHeight="1" thickBot="1" x14ac:dyDescent="0.35">
      <c r="A92" s="388" t="s">
        <v>291</v>
      </c>
      <c r="B92" s="368">
        <v>9903.0358056514197</v>
      </c>
      <c r="C92" s="368">
        <v>11865.92354</v>
      </c>
      <c r="D92" s="369">
        <v>1962.8877343485799</v>
      </c>
      <c r="E92" s="370">
        <v>1.1982107075920001</v>
      </c>
      <c r="F92" s="368">
        <v>15489.170341773201</v>
      </c>
      <c r="G92" s="369">
        <v>5163.0567805910696</v>
      </c>
      <c r="H92" s="371">
        <v>976.82090000000005</v>
      </c>
      <c r="I92" s="368">
        <v>4317.8188499999997</v>
      </c>
      <c r="J92" s="369">
        <v>-845.23793059106799</v>
      </c>
      <c r="K92" s="372">
        <v>0.27876372683099998</v>
      </c>
    </row>
    <row r="93" spans="1:11" ht="14.4" customHeight="1" thickBot="1" x14ac:dyDescent="0.35">
      <c r="A93" s="389" t="s">
        <v>292</v>
      </c>
      <c r="B93" s="373">
        <v>61.461561239787002</v>
      </c>
      <c r="C93" s="373">
        <v>29.8111</v>
      </c>
      <c r="D93" s="374">
        <v>-31.650461239786999</v>
      </c>
      <c r="E93" s="381">
        <v>0.48503649107899999</v>
      </c>
      <c r="F93" s="373">
        <v>31.103853884953999</v>
      </c>
      <c r="G93" s="374">
        <v>10.367951294984</v>
      </c>
      <c r="H93" s="376">
        <v>0</v>
      </c>
      <c r="I93" s="373">
        <v>0</v>
      </c>
      <c r="J93" s="374">
        <v>-10.367951294984</v>
      </c>
      <c r="K93" s="377">
        <v>0</v>
      </c>
    </row>
    <row r="94" spans="1:11" ht="14.4" customHeight="1" thickBot="1" x14ac:dyDescent="0.35">
      <c r="A94" s="390" t="s">
        <v>293</v>
      </c>
      <c r="B94" s="368">
        <v>61.461561239787002</v>
      </c>
      <c r="C94" s="368">
        <v>26.843399999999999</v>
      </c>
      <c r="D94" s="369">
        <v>-34.618161239787</v>
      </c>
      <c r="E94" s="370">
        <v>0.43675102712199998</v>
      </c>
      <c r="F94" s="368">
        <v>28.064811304188002</v>
      </c>
      <c r="G94" s="369">
        <v>9.3549371013960005</v>
      </c>
      <c r="H94" s="371">
        <v>0</v>
      </c>
      <c r="I94" s="368">
        <v>0</v>
      </c>
      <c r="J94" s="369">
        <v>-9.3549371013960005</v>
      </c>
      <c r="K94" s="372">
        <v>0</v>
      </c>
    </row>
    <row r="95" spans="1:11" ht="14.4" customHeight="1" thickBot="1" x14ac:dyDescent="0.35">
      <c r="A95" s="390" t="s">
        <v>294</v>
      </c>
      <c r="B95" s="368">
        <v>0</v>
      </c>
      <c r="C95" s="368">
        <v>2.9148000000000001</v>
      </c>
      <c r="D95" s="369">
        <v>2.9148000000000001</v>
      </c>
      <c r="E95" s="378" t="s">
        <v>213</v>
      </c>
      <c r="F95" s="368">
        <v>2.988733883798</v>
      </c>
      <c r="G95" s="369">
        <v>0.99624462793199997</v>
      </c>
      <c r="H95" s="371">
        <v>0</v>
      </c>
      <c r="I95" s="368">
        <v>0</v>
      </c>
      <c r="J95" s="369">
        <v>-0.99624462793199997</v>
      </c>
      <c r="K95" s="372">
        <v>0</v>
      </c>
    </row>
    <row r="96" spans="1:11" ht="14.4" customHeight="1" thickBot="1" x14ac:dyDescent="0.35">
      <c r="A96" s="390" t="s">
        <v>295</v>
      </c>
      <c r="B96" s="368">
        <v>0</v>
      </c>
      <c r="C96" s="368">
        <v>5.2900000000000003E-2</v>
      </c>
      <c r="D96" s="369">
        <v>5.2900000000000003E-2</v>
      </c>
      <c r="E96" s="378" t="s">
        <v>213</v>
      </c>
      <c r="F96" s="368">
        <v>5.0308696967000001E-2</v>
      </c>
      <c r="G96" s="369">
        <v>1.6769565654999999E-2</v>
      </c>
      <c r="H96" s="371">
        <v>0</v>
      </c>
      <c r="I96" s="368">
        <v>0</v>
      </c>
      <c r="J96" s="369">
        <v>-1.6769565654999999E-2</v>
      </c>
      <c r="K96" s="372">
        <v>0</v>
      </c>
    </row>
    <row r="97" spans="1:11" ht="14.4" customHeight="1" thickBot="1" x14ac:dyDescent="0.35">
      <c r="A97" s="389" t="s">
        <v>296</v>
      </c>
      <c r="B97" s="373">
        <v>0</v>
      </c>
      <c r="C97" s="373">
        <v>0.59745000000000004</v>
      </c>
      <c r="D97" s="374">
        <v>0.59745000000000004</v>
      </c>
      <c r="E97" s="375" t="s">
        <v>207</v>
      </c>
      <c r="F97" s="373">
        <v>0</v>
      </c>
      <c r="G97" s="374">
        <v>0</v>
      </c>
      <c r="H97" s="376">
        <v>0</v>
      </c>
      <c r="I97" s="373">
        <v>0</v>
      </c>
      <c r="J97" s="374">
        <v>0</v>
      </c>
      <c r="K97" s="379" t="s">
        <v>207</v>
      </c>
    </row>
    <row r="98" spans="1:11" ht="14.4" customHeight="1" thickBot="1" x14ac:dyDescent="0.35">
      <c r="A98" s="390" t="s">
        <v>297</v>
      </c>
      <c r="B98" s="368">
        <v>0</v>
      </c>
      <c r="C98" s="368">
        <v>0.59745000000000004</v>
      </c>
      <c r="D98" s="369">
        <v>0.59745000000000004</v>
      </c>
      <c r="E98" s="378" t="s">
        <v>207</v>
      </c>
      <c r="F98" s="368">
        <v>0</v>
      </c>
      <c r="G98" s="369">
        <v>0</v>
      </c>
      <c r="H98" s="371">
        <v>0</v>
      </c>
      <c r="I98" s="368">
        <v>0</v>
      </c>
      <c r="J98" s="369">
        <v>0</v>
      </c>
      <c r="K98" s="380" t="s">
        <v>207</v>
      </c>
    </row>
    <row r="99" spans="1:11" ht="14.4" customHeight="1" thickBot="1" x14ac:dyDescent="0.35">
      <c r="A99" s="392" t="s">
        <v>298</v>
      </c>
      <c r="B99" s="368">
        <v>2.4112980502369998</v>
      </c>
      <c r="C99" s="368">
        <v>7.8660300000000003</v>
      </c>
      <c r="D99" s="369">
        <v>5.4547319497620004</v>
      </c>
      <c r="E99" s="370">
        <v>3.26215583313</v>
      </c>
      <c r="F99" s="368">
        <v>5.597910298495</v>
      </c>
      <c r="G99" s="369">
        <v>1.865970099498</v>
      </c>
      <c r="H99" s="371">
        <v>0.48987000000000003</v>
      </c>
      <c r="I99" s="368">
        <v>2.37202</v>
      </c>
      <c r="J99" s="369">
        <v>0.50604990050099996</v>
      </c>
      <c r="K99" s="372">
        <v>0.42373312066699997</v>
      </c>
    </row>
    <row r="100" spans="1:11" ht="14.4" customHeight="1" thickBot="1" x14ac:dyDescent="0.35">
      <c r="A100" s="390" t="s">
        <v>299</v>
      </c>
      <c r="B100" s="368">
        <v>0</v>
      </c>
      <c r="C100" s="368">
        <v>0</v>
      </c>
      <c r="D100" s="369">
        <v>0</v>
      </c>
      <c r="E100" s="370">
        <v>1</v>
      </c>
      <c r="F100" s="368">
        <v>5.597910298495</v>
      </c>
      <c r="G100" s="369">
        <v>1.865970099498</v>
      </c>
      <c r="H100" s="371">
        <v>0.48987000000000003</v>
      </c>
      <c r="I100" s="368">
        <v>2.37202</v>
      </c>
      <c r="J100" s="369">
        <v>0.50604990050099996</v>
      </c>
      <c r="K100" s="372">
        <v>0.42373312066699997</v>
      </c>
    </row>
    <row r="101" spans="1:11" ht="14.4" customHeight="1" thickBot="1" x14ac:dyDescent="0.35">
      <c r="A101" s="390" t="s">
        <v>300</v>
      </c>
      <c r="B101" s="368">
        <v>2.4112980502369998</v>
      </c>
      <c r="C101" s="368">
        <v>7.8660300000000003</v>
      </c>
      <c r="D101" s="369">
        <v>5.4547319497620004</v>
      </c>
      <c r="E101" s="370">
        <v>3.26215583313</v>
      </c>
      <c r="F101" s="368">
        <v>0</v>
      </c>
      <c r="G101" s="369">
        <v>0</v>
      </c>
      <c r="H101" s="371">
        <v>0</v>
      </c>
      <c r="I101" s="368">
        <v>0</v>
      </c>
      <c r="J101" s="369">
        <v>0</v>
      </c>
      <c r="K101" s="380" t="s">
        <v>207</v>
      </c>
    </row>
    <row r="102" spans="1:11" ht="14.4" customHeight="1" thickBot="1" x14ac:dyDescent="0.35">
      <c r="A102" s="389" t="s">
        <v>301</v>
      </c>
      <c r="B102" s="373">
        <v>9839.1629463614008</v>
      </c>
      <c r="C102" s="373">
        <v>11208.37111</v>
      </c>
      <c r="D102" s="374">
        <v>1369.2081636385999</v>
      </c>
      <c r="E102" s="381">
        <v>1.139159008861</v>
      </c>
      <c r="F102" s="373">
        <v>15452.4685775898</v>
      </c>
      <c r="G102" s="374">
        <v>5150.8228591965799</v>
      </c>
      <c r="H102" s="376">
        <v>976.33103000000006</v>
      </c>
      <c r="I102" s="373">
        <v>4018.4894199999999</v>
      </c>
      <c r="J102" s="374">
        <v>-1132.33343919658</v>
      </c>
      <c r="K102" s="377">
        <v>0.260054851418</v>
      </c>
    </row>
    <row r="103" spans="1:11" ht="14.4" customHeight="1" thickBot="1" x14ac:dyDescent="0.35">
      <c r="A103" s="390" t="s">
        <v>302</v>
      </c>
      <c r="B103" s="368">
        <v>3515.4525986119202</v>
      </c>
      <c r="C103" s="368">
        <v>3754.9680499999999</v>
      </c>
      <c r="D103" s="369">
        <v>239.51545138807899</v>
      </c>
      <c r="E103" s="370">
        <v>1.068132180613</v>
      </c>
      <c r="F103" s="368">
        <v>0</v>
      </c>
      <c r="G103" s="369">
        <v>0</v>
      </c>
      <c r="H103" s="371">
        <v>0</v>
      </c>
      <c r="I103" s="368">
        <v>0</v>
      </c>
      <c r="J103" s="369">
        <v>0</v>
      </c>
      <c r="K103" s="380" t="s">
        <v>207</v>
      </c>
    </row>
    <row r="104" spans="1:11" ht="14.4" customHeight="1" thickBot="1" x14ac:dyDescent="0.35">
      <c r="A104" s="390" t="s">
        <v>303</v>
      </c>
      <c r="B104" s="368">
        <v>6323.7103477494702</v>
      </c>
      <c r="C104" s="368">
        <v>7453.4030599999996</v>
      </c>
      <c r="D104" s="369">
        <v>1129.6927122505299</v>
      </c>
      <c r="E104" s="370">
        <v>1.1786439685129999</v>
      </c>
      <c r="F104" s="368">
        <v>15452.4685775898</v>
      </c>
      <c r="G104" s="369">
        <v>5150.8228591965799</v>
      </c>
      <c r="H104" s="371">
        <v>976.33103000000006</v>
      </c>
      <c r="I104" s="368">
        <v>4018.4894199999999</v>
      </c>
      <c r="J104" s="369">
        <v>-1132.33343919658</v>
      </c>
      <c r="K104" s="372">
        <v>0.260054851418</v>
      </c>
    </row>
    <row r="105" spans="1:11" ht="14.4" customHeight="1" thickBot="1" x14ac:dyDescent="0.35">
      <c r="A105" s="389" t="s">
        <v>304</v>
      </c>
      <c r="B105" s="373">
        <v>0</v>
      </c>
      <c r="C105" s="373">
        <v>619.27784999999994</v>
      </c>
      <c r="D105" s="374">
        <v>619.27784999999994</v>
      </c>
      <c r="E105" s="375" t="s">
        <v>207</v>
      </c>
      <c r="F105" s="373">
        <v>0</v>
      </c>
      <c r="G105" s="374">
        <v>0</v>
      </c>
      <c r="H105" s="376">
        <v>0</v>
      </c>
      <c r="I105" s="373">
        <v>296.95740999999998</v>
      </c>
      <c r="J105" s="374">
        <v>296.95740999999998</v>
      </c>
      <c r="K105" s="379" t="s">
        <v>207</v>
      </c>
    </row>
    <row r="106" spans="1:11" ht="14.4" customHeight="1" thickBot="1" x14ac:dyDescent="0.35">
      <c r="A106" s="390" t="s">
        <v>305</v>
      </c>
      <c r="B106" s="368">
        <v>0</v>
      </c>
      <c r="C106" s="368">
        <v>185.78094999999999</v>
      </c>
      <c r="D106" s="369">
        <v>185.78094999999999</v>
      </c>
      <c r="E106" s="378" t="s">
        <v>207</v>
      </c>
      <c r="F106" s="368">
        <v>0</v>
      </c>
      <c r="G106" s="369">
        <v>0</v>
      </c>
      <c r="H106" s="371">
        <v>0</v>
      </c>
      <c r="I106" s="368">
        <v>0</v>
      </c>
      <c r="J106" s="369">
        <v>0</v>
      </c>
      <c r="K106" s="380" t="s">
        <v>207</v>
      </c>
    </row>
    <row r="107" spans="1:11" ht="14.4" customHeight="1" thickBot="1" x14ac:dyDescent="0.35">
      <c r="A107" s="390" t="s">
        <v>306</v>
      </c>
      <c r="B107" s="368">
        <v>0</v>
      </c>
      <c r="C107" s="368">
        <v>433.49689999999998</v>
      </c>
      <c r="D107" s="369">
        <v>433.49689999999998</v>
      </c>
      <c r="E107" s="378" t="s">
        <v>207</v>
      </c>
      <c r="F107" s="368">
        <v>0</v>
      </c>
      <c r="G107" s="369">
        <v>0</v>
      </c>
      <c r="H107" s="371">
        <v>0</v>
      </c>
      <c r="I107" s="368">
        <v>296.95740999999998</v>
      </c>
      <c r="J107" s="369">
        <v>296.95740999999998</v>
      </c>
      <c r="K107" s="380" t="s">
        <v>207</v>
      </c>
    </row>
    <row r="108" spans="1:11" ht="14.4" customHeight="1" thickBot="1" x14ac:dyDescent="0.35">
      <c r="A108" s="387" t="s">
        <v>307</v>
      </c>
      <c r="B108" s="368">
        <v>57.979210754644001</v>
      </c>
      <c r="C108" s="368">
        <v>32.244190000000003</v>
      </c>
      <c r="D108" s="369">
        <v>-25.735020754644001</v>
      </c>
      <c r="E108" s="370">
        <v>0.55613364825599998</v>
      </c>
      <c r="F108" s="368">
        <v>0</v>
      </c>
      <c r="G108" s="369">
        <v>0</v>
      </c>
      <c r="H108" s="371">
        <v>2.83256</v>
      </c>
      <c r="I108" s="368">
        <v>7.59274</v>
      </c>
      <c r="J108" s="369">
        <v>7.59274</v>
      </c>
      <c r="K108" s="380" t="s">
        <v>207</v>
      </c>
    </row>
    <row r="109" spans="1:11" ht="14.4" customHeight="1" thickBot="1" x14ac:dyDescent="0.35">
      <c r="A109" s="388" t="s">
        <v>308</v>
      </c>
      <c r="B109" s="368">
        <v>0</v>
      </c>
      <c r="C109" s="368">
        <v>6.5</v>
      </c>
      <c r="D109" s="369">
        <v>6.5</v>
      </c>
      <c r="E109" s="378" t="s">
        <v>207</v>
      </c>
      <c r="F109" s="368">
        <v>0</v>
      </c>
      <c r="G109" s="369">
        <v>0</v>
      </c>
      <c r="H109" s="371">
        <v>0.75</v>
      </c>
      <c r="I109" s="368">
        <v>0.75</v>
      </c>
      <c r="J109" s="369">
        <v>0.75</v>
      </c>
      <c r="K109" s="380" t="s">
        <v>207</v>
      </c>
    </row>
    <row r="110" spans="1:11" ht="14.4" customHeight="1" thickBot="1" x14ac:dyDescent="0.35">
      <c r="A110" s="389" t="s">
        <v>309</v>
      </c>
      <c r="B110" s="373">
        <v>0</v>
      </c>
      <c r="C110" s="373">
        <v>6.5</v>
      </c>
      <c r="D110" s="374">
        <v>6.5</v>
      </c>
      <c r="E110" s="375" t="s">
        <v>207</v>
      </c>
      <c r="F110" s="373">
        <v>0</v>
      </c>
      <c r="G110" s="374">
        <v>0</v>
      </c>
      <c r="H110" s="376">
        <v>0.75</v>
      </c>
      <c r="I110" s="373">
        <v>0.75</v>
      </c>
      <c r="J110" s="374">
        <v>0.75</v>
      </c>
      <c r="K110" s="379" t="s">
        <v>207</v>
      </c>
    </row>
    <row r="111" spans="1:11" ht="14.4" customHeight="1" thickBot="1" x14ac:dyDescent="0.35">
      <c r="A111" s="390" t="s">
        <v>310</v>
      </c>
      <c r="B111" s="368">
        <v>0</v>
      </c>
      <c r="C111" s="368">
        <v>6.5</v>
      </c>
      <c r="D111" s="369">
        <v>6.5</v>
      </c>
      <c r="E111" s="378" t="s">
        <v>207</v>
      </c>
      <c r="F111" s="368">
        <v>0</v>
      </c>
      <c r="G111" s="369">
        <v>0</v>
      </c>
      <c r="H111" s="371">
        <v>0.75</v>
      </c>
      <c r="I111" s="368">
        <v>0.75</v>
      </c>
      <c r="J111" s="369">
        <v>0.75</v>
      </c>
      <c r="K111" s="380" t="s">
        <v>207</v>
      </c>
    </row>
    <row r="112" spans="1:11" ht="14.4" customHeight="1" thickBot="1" x14ac:dyDescent="0.35">
      <c r="A112" s="393" t="s">
        <v>311</v>
      </c>
      <c r="B112" s="373">
        <v>57.979210754644001</v>
      </c>
      <c r="C112" s="373">
        <v>25.74419</v>
      </c>
      <c r="D112" s="374">
        <v>-32.235020754643998</v>
      </c>
      <c r="E112" s="381">
        <v>0.44402449886599998</v>
      </c>
      <c r="F112" s="373">
        <v>0</v>
      </c>
      <c r="G112" s="374">
        <v>0</v>
      </c>
      <c r="H112" s="376">
        <v>2.08256</v>
      </c>
      <c r="I112" s="373">
        <v>6.84274</v>
      </c>
      <c r="J112" s="374">
        <v>6.84274</v>
      </c>
      <c r="K112" s="379" t="s">
        <v>207</v>
      </c>
    </row>
    <row r="113" spans="1:11" ht="14.4" customHeight="1" thickBot="1" x14ac:dyDescent="0.35">
      <c r="A113" s="389" t="s">
        <v>312</v>
      </c>
      <c r="B113" s="373">
        <v>0</v>
      </c>
      <c r="C113" s="373">
        <v>1.0000000000000001E-5</v>
      </c>
      <c r="D113" s="374">
        <v>1.0000000000000001E-5</v>
      </c>
      <c r="E113" s="375" t="s">
        <v>207</v>
      </c>
      <c r="F113" s="373">
        <v>0</v>
      </c>
      <c r="G113" s="374">
        <v>0</v>
      </c>
      <c r="H113" s="376">
        <v>0</v>
      </c>
      <c r="I113" s="373">
        <v>0</v>
      </c>
      <c r="J113" s="374">
        <v>0</v>
      </c>
      <c r="K113" s="379" t="s">
        <v>207</v>
      </c>
    </row>
    <row r="114" spans="1:11" ht="14.4" customHeight="1" thickBot="1" x14ac:dyDescent="0.35">
      <c r="A114" s="390" t="s">
        <v>313</v>
      </c>
      <c r="B114" s="368">
        <v>0</v>
      </c>
      <c r="C114" s="368">
        <v>1.0000000000000001E-5</v>
      </c>
      <c r="D114" s="369">
        <v>1.0000000000000001E-5</v>
      </c>
      <c r="E114" s="378" t="s">
        <v>207</v>
      </c>
      <c r="F114" s="368">
        <v>0</v>
      </c>
      <c r="G114" s="369">
        <v>0</v>
      </c>
      <c r="H114" s="371">
        <v>0</v>
      </c>
      <c r="I114" s="368">
        <v>0</v>
      </c>
      <c r="J114" s="369">
        <v>0</v>
      </c>
      <c r="K114" s="380" t="s">
        <v>207</v>
      </c>
    </row>
    <row r="115" spans="1:11" ht="14.4" customHeight="1" thickBot="1" x14ac:dyDescent="0.35">
      <c r="A115" s="389" t="s">
        <v>314</v>
      </c>
      <c r="B115" s="373">
        <v>57.979210754644001</v>
      </c>
      <c r="C115" s="373">
        <v>25.74418</v>
      </c>
      <c r="D115" s="374">
        <v>-32.235030754644001</v>
      </c>
      <c r="E115" s="381">
        <v>0.44402432639</v>
      </c>
      <c r="F115" s="373">
        <v>0</v>
      </c>
      <c r="G115" s="374">
        <v>0</v>
      </c>
      <c r="H115" s="376">
        <v>2.08256</v>
      </c>
      <c r="I115" s="373">
        <v>6.84274</v>
      </c>
      <c r="J115" s="374">
        <v>6.84274</v>
      </c>
      <c r="K115" s="379" t="s">
        <v>207</v>
      </c>
    </row>
    <row r="116" spans="1:11" ht="14.4" customHeight="1" thickBot="1" x14ac:dyDescent="0.35">
      <c r="A116" s="390" t="s">
        <v>315</v>
      </c>
      <c r="B116" s="368">
        <v>0</v>
      </c>
      <c r="C116" s="368">
        <v>9.4999999999999998E-3</v>
      </c>
      <c r="D116" s="369">
        <v>9.4999999999999998E-3</v>
      </c>
      <c r="E116" s="378" t="s">
        <v>213</v>
      </c>
      <c r="F116" s="368">
        <v>0</v>
      </c>
      <c r="G116" s="369">
        <v>0</v>
      </c>
      <c r="H116" s="371">
        <v>0</v>
      </c>
      <c r="I116" s="368">
        <v>0</v>
      </c>
      <c r="J116" s="369">
        <v>0</v>
      </c>
      <c r="K116" s="380" t="s">
        <v>207</v>
      </c>
    </row>
    <row r="117" spans="1:11" ht="14.4" customHeight="1" thickBot="1" x14ac:dyDescent="0.35">
      <c r="A117" s="390" t="s">
        <v>316</v>
      </c>
      <c r="B117" s="368">
        <v>57.979210754644001</v>
      </c>
      <c r="C117" s="368">
        <v>25.734680000000001</v>
      </c>
      <c r="D117" s="369">
        <v>-32.244530754644003</v>
      </c>
      <c r="E117" s="370">
        <v>0.44386047455700001</v>
      </c>
      <c r="F117" s="368">
        <v>0</v>
      </c>
      <c r="G117" s="369">
        <v>0</v>
      </c>
      <c r="H117" s="371">
        <v>2.08256</v>
      </c>
      <c r="I117" s="368">
        <v>6.84274</v>
      </c>
      <c r="J117" s="369">
        <v>6.84274</v>
      </c>
      <c r="K117" s="380" t="s">
        <v>207</v>
      </c>
    </row>
    <row r="118" spans="1:11" ht="14.4" customHeight="1" thickBot="1" x14ac:dyDescent="0.35">
      <c r="A118" s="386" t="s">
        <v>317</v>
      </c>
      <c r="B118" s="368">
        <v>1050.06826315077</v>
      </c>
      <c r="C118" s="368">
        <v>1096.7466099999999</v>
      </c>
      <c r="D118" s="369">
        <v>46.678346849232</v>
      </c>
      <c r="E118" s="370">
        <v>1.044452678446</v>
      </c>
      <c r="F118" s="368">
        <v>1101.8477241421599</v>
      </c>
      <c r="G118" s="369">
        <v>367.28257471405402</v>
      </c>
      <c r="H118" s="371">
        <v>111.49621</v>
      </c>
      <c r="I118" s="368">
        <v>390.46579000000003</v>
      </c>
      <c r="J118" s="369">
        <v>23.183215285946002</v>
      </c>
      <c r="K118" s="372">
        <v>0.35437364115199999</v>
      </c>
    </row>
    <row r="119" spans="1:11" ht="14.4" customHeight="1" thickBot="1" x14ac:dyDescent="0.35">
      <c r="A119" s="391" t="s">
        <v>318</v>
      </c>
      <c r="B119" s="373">
        <v>1050.06826315077</v>
      </c>
      <c r="C119" s="373">
        <v>1096.7466099999999</v>
      </c>
      <c r="D119" s="374">
        <v>46.678346849232</v>
      </c>
      <c r="E119" s="381">
        <v>1.044452678446</v>
      </c>
      <c r="F119" s="373">
        <v>1101.8477241421599</v>
      </c>
      <c r="G119" s="374">
        <v>367.28257471405402</v>
      </c>
      <c r="H119" s="376">
        <v>111.49621</v>
      </c>
      <c r="I119" s="373">
        <v>390.46579000000003</v>
      </c>
      <c r="J119" s="374">
        <v>23.183215285946002</v>
      </c>
      <c r="K119" s="377">
        <v>0.35437364115199999</v>
      </c>
    </row>
    <row r="120" spans="1:11" ht="14.4" customHeight="1" thickBot="1" x14ac:dyDescent="0.35">
      <c r="A120" s="393" t="s">
        <v>30</v>
      </c>
      <c r="B120" s="373">
        <v>1050.06826315077</v>
      </c>
      <c r="C120" s="373">
        <v>1096.7466099999999</v>
      </c>
      <c r="D120" s="374">
        <v>46.678346849232</v>
      </c>
      <c r="E120" s="381">
        <v>1.044452678446</v>
      </c>
      <c r="F120" s="373">
        <v>1101.8477241421599</v>
      </c>
      <c r="G120" s="374">
        <v>367.28257471405402</v>
      </c>
      <c r="H120" s="376">
        <v>111.49621</v>
      </c>
      <c r="I120" s="373">
        <v>390.46579000000003</v>
      </c>
      <c r="J120" s="374">
        <v>23.183215285946002</v>
      </c>
      <c r="K120" s="377">
        <v>0.35437364115199999</v>
      </c>
    </row>
    <row r="121" spans="1:11" ht="14.4" customHeight="1" thickBot="1" x14ac:dyDescent="0.35">
      <c r="A121" s="392" t="s">
        <v>319</v>
      </c>
      <c r="B121" s="368">
        <v>0</v>
      </c>
      <c r="C121" s="368">
        <v>6.7000000000000002E-3</v>
      </c>
      <c r="D121" s="369">
        <v>6.7000000000000002E-3</v>
      </c>
      <c r="E121" s="378" t="s">
        <v>213</v>
      </c>
      <c r="F121" s="368">
        <v>0</v>
      </c>
      <c r="G121" s="369">
        <v>0</v>
      </c>
      <c r="H121" s="371">
        <v>0</v>
      </c>
      <c r="I121" s="368">
        <v>0</v>
      </c>
      <c r="J121" s="369">
        <v>0</v>
      </c>
      <c r="K121" s="372">
        <v>0</v>
      </c>
    </row>
    <row r="122" spans="1:11" ht="14.4" customHeight="1" thickBot="1" x14ac:dyDescent="0.35">
      <c r="A122" s="390" t="s">
        <v>320</v>
      </c>
      <c r="B122" s="368">
        <v>0</v>
      </c>
      <c r="C122" s="368">
        <v>6.7000000000000002E-3</v>
      </c>
      <c r="D122" s="369">
        <v>6.7000000000000002E-3</v>
      </c>
      <c r="E122" s="378" t="s">
        <v>213</v>
      </c>
      <c r="F122" s="368">
        <v>0</v>
      </c>
      <c r="G122" s="369">
        <v>0</v>
      </c>
      <c r="H122" s="371">
        <v>0</v>
      </c>
      <c r="I122" s="368">
        <v>0</v>
      </c>
      <c r="J122" s="369">
        <v>0</v>
      </c>
      <c r="K122" s="372">
        <v>0</v>
      </c>
    </row>
    <row r="123" spans="1:11" ht="14.4" customHeight="1" thickBot="1" x14ac:dyDescent="0.35">
      <c r="A123" s="389" t="s">
        <v>321</v>
      </c>
      <c r="B123" s="373">
        <v>2.8997982971259999</v>
      </c>
      <c r="C123" s="373">
        <v>2.37</v>
      </c>
      <c r="D123" s="374">
        <v>-0.52979829712600002</v>
      </c>
      <c r="E123" s="381">
        <v>0.81729822462000001</v>
      </c>
      <c r="F123" s="373">
        <v>0</v>
      </c>
      <c r="G123" s="374">
        <v>0</v>
      </c>
      <c r="H123" s="376">
        <v>0</v>
      </c>
      <c r="I123" s="373">
        <v>0</v>
      </c>
      <c r="J123" s="374">
        <v>0</v>
      </c>
      <c r="K123" s="377">
        <v>0</v>
      </c>
    </row>
    <row r="124" spans="1:11" ht="14.4" customHeight="1" thickBot="1" x14ac:dyDescent="0.35">
      <c r="A124" s="390" t="s">
        <v>322</v>
      </c>
      <c r="B124" s="368">
        <v>2.8997982971259999</v>
      </c>
      <c r="C124" s="368">
        <v>2.37</v>
      </c>
      <c r="D124" s="369">
        <v>-0.52979829712600002</v>
      </c>
      <c r="E124" s="370">
        <v>0.81729822462000001</v>
      </c>
      <c r="F124" s="368">
        <v>0</v>
      </c>
      <c r="G124" s="369">
        <v>0</v>
      </c>
      <c r="H124" s="371">
        <v>0</v>
      </c>
      <c r="I124" s="368">
        <v>0</v>
      </c>
      <c r="J124" s="369">
        <v>0</v>
      </c>
      <c r="K124" s="372">
        <v>0</v>
      </c>
    </row>
    <row r="125" spans="1:11" ht="14.4" customHeight="1" thickBot="1" x14ac:dyDescent="0.35">
      <c r="A125" s="389" t="s">
        <v>323</v>
      </c>
      <c r="B125" s="373">
        <v>0.68415123552599999</v>
      </c>
      <c r="C125" s="373">
        <v>0.73499999999999999</v>
      </c>
      <c r="D125" s="374">
        <v>5.0848764472999998E-2</v>
      </c>
      <c r="E125" s="381">
        <v>1.0743238655909999</v>
      </c>
      <c r="F125" s="373">
        <v>0</v>
      </c>
      <c r="G125" s="374">
        <v>0</v>
      </c>
      <c r="H125" s="376">
        <v>0</v>
      </c>
      <c r="I125" s="373">
        <v>0</v>
      </c>
      <c r="J125" s="374">
        <v>0</v>
      </c>
      <c r="K125" s="377">
        <v>0</v>
      </c>
    </row>
    <row r="126" spans="1:11" ht="14.4" customHeight="1" thickBot="1" x14ac:dyDescent="0.35">
      <c r="A126" s="390" t="s">
        <v>324</v>
      </c>
      <c r="B126" s="368">
        <v>0.68415123552599999</v>
      </c>
      <c r="C126" s="368">
        <v>0.73499999999999999</v>
      </c>
      <c r="D126" s="369">
        <v>5.0848764472999998E-2</v>
      </c>
      <c r="E126" s="370">
        <v>1.0743238655909999</v>
      </c>
      <c r="F126" s="368">
        <v>0</v>
      </c>
      <c r="G126" s="369">
        <v>0</v>
      </c>
      <c r="H126" s="371">
        <v>0</v>
      </c>
      <c r="I126" s="368">
        <v>0</v>
      </c>
      <c r="J126" s="369">
        <v>0</v>
      </c>
      <c r="K126" s="372">
        <v>0</v>
      </c>
    </row>
    <row r="127" spans="1:11" ht="14.4" customHeight="1" thickBot="1" x14ac:dyDescent="0.35">
      <c r="A127" s="389" t="s">
        <v>325</v>
      </c>
      <c r="B127" s="373">
        <v>0</v>
      </c>
      <c r="C127" s="373">
        <v>0.16800000000000001</v>
      </c>
      <c r="D127" s="374">
        <v>0.16800000000000001</v>
      </c>
      <c r="E127" s="375" t="s">
        <v>213</v>
      </c>
      <c r="F127" s="373">
        <v>0</v>
      </c>
      <c r="G127" s="374">
        <v>0</v>
      </c>
      <c r="H127" s="376">
        <v>0</v>
      </c>
      <c r="I127" s="373">
        <v>0</v>
      </c>
      <c r="J127" s="374">
        <v>0</v>
      </c>
      <c r="K127" s="377">
        <v>0</v>
      </c>
    </row>
    <row r="128" spans="1:11" ht="14.4" customHeight="1" thickBot="1" x14ac:dyDescent="0.35">
      <c r="A128" s="390" t="s">
        <v>326</v>
      </c>
      <c r="B128" s="368">
        <v>0</v>
      </c>
      <c r="C128" s="368">
        <v>0.16800000000000001</v>
      </c>
      <c r="D128" s="369">
        <v>0.16800000000000001</v>
      </c>
      <c r="E128" s="378" t="s">
        <v>213</v>
      </c>
      <c r="F128" s="368">
        <v>0</v>
      </c>
      <c r="G128" s="369">
        <v>0</v>
      </c>
      <c r="H128" s="371">
        <v>0</v>
      </c>
      <c r="I128" s="368">
        <v>0</v>
      </c>
      <c r="J128" s="369">
        <v>0</v>
      </c>
      <c r="K128" s="372">
        <v>0</v>
      </c>
    </row>
    <row r="129" spans="1:11" ht="14.4" customHeight="1" thickBot="1" x14ac:dyDescent="0.35">
      <c r="A129" s="389" t="s">
        <v>327</v>
      </c>
      <c r="B129" s="373">
        <v>242.67492875270901</v>
      </c>
      <c r="C129" s="373">
        <v>203.25269</v>
      </c>
      <c r="D129" s="374">
        <v>-39.422238752707997</v>
      </c>
      <c r="E129" s="381">
        <v>0.83755125032699995</v>
      </c>
      <c r="F129" s="373">
        <v>272.907352826188</v>
      </c>
      <c r="G129" s="374">
        <v>90.969117608728993</v>
      </c>
      <c r="H129" s="376">
        <v>14.24492</v>
      </c>
      <c r="I129" s="373">
        <v>73.384839999999997</v>
      </c>
      <c r="J129" s="374">
        <v>-17.584277608729</v>
      </c>
      <c r="K129" s="377">
        <v>0.26890019356299999</v>
      </c>
    </row>
    <row r="130" spans="1:11" ht="14.4" customHeight="1" thickBot="1" x14ac:dyDescent="0.35">
      <c r="A130" s="390" t="s">
        <v>328</v>
      </c>
      <c r="B130" s="368">
        <v>242.67492875270901</v>
      </c>
      <c r="C130" s="368">
        <v>203.25269</v>
      </c>
      <c r="D130" s="369">
        <v>-39.422238752707997</v>
      </c>
      <c r="E130" s="370">
        <v>0.83755125032699995</v>
      </c>
      <c r="F130" s="368">
        <v>272.907352826188</v>
      </c>
      <c r="G130" s="369">
        <v>90.969117608728993</v>
      </c>
      <c r="H130" s="371">
        <v>14.24492</v>
      </c>
      <c r="I130" s="368">
        <v>73.384839999999997</v>
      </c>
      <c r="J130" s="369">
        <v>-17.584277608729</v>
      </c>
      <c r="K130" s="372">
        <v>0.26890019356299999</v>
      </c>
    </row>
    <row r="131" spans="1:11" ht="14.4" customHeight="1" thickBot="1" x14ac:dyDescent="0.35">
      <c r="A131" s="389" t="s">
        <v>329</v>
      </c>
      <c r="B131" s="373">
        <v>803.80938486540595</v>
      </c>
      <c r="C131" s="373">
        <v>890.21421999999995</v>
      </c>
      <c r="D131" s="374">
        <v>86.404835134593</v>
      </c>
      <c r="E131" s="381">
        <v>1.1074941855130001</v>
      </c>
      <c r="F131" s="373">
        <v>828.94037131597395</v>
      </c>
      <c r="G131" s="374">
        <v>276.31345710532503</v>
      </c>
      <c r="H131" s="376">
        <v>97.251289999999997</v>
      </c>
      <c r="I131" s="373">
        <v>317.08094999999997</v>
      </c>
      <c r="J131" s="374">
        <v>40.767492894675001</v>
      </c>
      <c r="K131" s="377">
        <v>0.38251358115900003</v>
      </c>
    </row>
    <row r="132" spans="1:11" ht="14.4" customHeight="1" thickBot="1" x14ac:dyDescent="0.35">
      <c r="A132" s="390" t="s">
        <v>330</v>
      </c>
      <c r="B132" s="368">
        <v>803.80938486540595</v>
      </c>
      <c r="C132" s="368">
        <v>890.21421999999995</v>
      </c>
      <c r="D132" s="369">
        <v>86.404835134593</v>
      </c>
      <c r="E132" s="370">
        <v>1.1074941855130001</v>
      </c>
      <c r="F132" s="368">
        <v>828.94037131597395</v>
      </c>
      <c r="G132" s="369">
        <v>276.31345710532503</v>
      </c>
      <c r="H132" s="371">
        <v>97.251289999999997</v>
      </c>
      <c r="I132" s="368">
        <v>317.08094999999997</v>
      </c>
      <c r="J132" s="369">
        <v>40.767492894675001</v>
      </c>
      <c r="K132" s="372">
        <v>0.38251358115900003</v>
      </c>
    </row>
    <row r="133" spans="1:11" ht="14.4" customHeight="1" thickBot="1" x14ac:dyDescent="0.35">
      <c r="A133" s="394"/>
      <c r="B133" s="368">
        <v>227.302132897246</v>
      </c>
      <c r="C133" s="368">
        <v>1763.4132299999901</v>
      </c>
      <c r="D133" s="369">
        <v>1536.1110971027399</v>
      </c>
      <c r="E133" s="370">
        <v>7.7580144432570002</v>
      </c>
      <c r="F133" s="368">
        <v>5756.7704971079002</v>
      </c>
      <c r="G133" s="369">
        <v>1918.9234990359701</v>
      </c>
      <c r="H133" s="371">
        <v>100.46949000000301</v>
      </c>
      <c r="I133" s="368">
        <v>895.94264000000101</v>
      </c>
      <c r="J133" s="369">
        <v>-1022.98085903596</v>
      </c>
      <c r="K133" s="372">
        <v>0.155632857076</v>
      </c>
    </row>
    <row r="134" spans="1:11" ht="14.4" customHeight="1" thickBot="1" x14ac:dyDescent="0.35">
      <c r="A134" s="395" t="s">
        <v>42</v>
      </c>
      <c r="B134" s="382">
        <v>227.302132897246</v>
      </c>
      <c r="C134" s="382">
        <v>1763.4132299999901</v>
      </c>
      <c r="D134" s="383">
        <v>1536.1110971027399</v>
      </c>
      <c r="E134" s="384">
        <v>-0.89078737942800001</v>
      </c>
      <c r="F134" s="382">
        <v>5756.7704971079002</v>
      </c>
      <c r="G134" s="383">
        <v>1918.9234990359701</v>
      </c>
      <c r="H134" s="382">
        <v>100.46949000000301</v>
      </c>
      <c r="I134" s="382">
        <v>895.94264000000203</v>
      </c>
      <c r="J134" s="383">
        <v>-1022.98085903596</v>
      </c>
      <c r="K134" s="385">
        <v>0.155632857076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7" customWidth="1"/>
    <col min="2" max="2" width="61.109375" style="177" customWidth="1"/>
    <col min="3" max="3" width="9.5546875" style="101" hidden="1" customWidth="1" outlineLevel="1"/>
    <col min="4" max="4" width="9.5546875" style="178" customWidth="1" collapsed="1"/>
    <col min="5" max="5" width="2.21875" style="178" customWidth="1"/>
    <col min="6" max="6" width="9.5546875" style="179" customWidth="1"/>
    <col min="7" max="7" width="9.5546875" style="176" customWidth="1"/>
    <col min="8" max="9" width="9.5546875" style="101" customWidth="1"/>
    <col min="10" max="10" width="0" style="101" hidden="1" customWidth="1"/>
    <col min="11" max="16384" width="8.88671875" style="101"/>
  </cols>
  <sheetData>
    <row r="1" spans="1:10" ht="18.600000000000001" customHeight="1" thickBot="1" x14ac:dyDescent="0.4">
      <c r="A1" s="305" t="s">
        <v>101</v>
      </c>
      <c r="B1" s="306"/>
      <c r="C1" s="306"/>
      <c r="D1" s="306"/>
      <c r="E1" s="306"/>
      <c r="F1" s="306"/>
      <c r="G1" s="276"/>
      <c r="H1" s="307"/>
      <c r="I1" s="307"/>
    </row>
    <row r="2" spans="1:10" ht="14.4" customHeight="1" thickBot="1" x14ac:dyDescent="0.35">
      <c r="A2" s="192" t="s">
        <v>206</v>
      </c>
      <c r="B2" s="175"/>
      <c r="C2" s="175"/>
      <c r="D2" s="175"/>
      <c r="E2" s="175"/>
      <c r="F2" s="175"/>
    </row>
    <row r="3" spans="1:10" ht="14.4" customHeight="1" thickBot="1" x14ac:dyDescent="0.35">
      <c r="A3" s="192"/>
      <c r="B3" s="219"/>
      <c r="C3" s="218">
        <v>2015</v>
      </c>
      <c r="D3" s="198">
        <v>2018</v>
      </c>
      <c r="E3" s="7"/>
      <c r="F3" s="284">
        <v>2019</v>
      </c>
      <c r="G3" s="302"/>
      <c r="H3" s="302"/>
      <c r="I3" s="285"/>
    </row>
    <row r="4" spans="1:10" ht="14.4" customHeight="1" thickBot="1" x14ac:dyDescent="0.35">
      <c r="A4" s="202" t="s">
        <v>0</v>
      </c>
      <c r="B4" s="203" t="s">
        <v>143</v>
      </c>
      <c r="C4" s="303" t="s">
        <v>48</v>
      </c>
      <c r="D4" s="304"/>
      <c r="E4" s="204"/>
      <c r="F4" s="199" t="s">
        <v>48</v>
      </c>
      <c r="G4" s="200" t="s">
        <v>49</v>
      </c>
      <c r="H4" s="200" t="s">
        <v>43</v>
      </c>
      <c r="I4" s="201" t="s">
        <v>50</v>
      </c>
    </row>
    <row r="5" spans="1:10" ht="14.4" customHeight="1" x14ac:dyDescent="0.3">
      <c r="A5" s="396" t="s">
        <v>331</v>
      </c>
      <c r="B5" s="397" t="s">
        <v>332</v>
      </c>
      <c r="C5" s="398" t="s">
        <v>333</v>
      </c>
      <c r="D5" s="398" t="s">
        <v>333</v>
      </c>
      <c r="E5" s="398"/>
      <c r="F5" s="398" t="s">
        <v>333</v>
      </c>
      <c r="G5" s="398" t="s">
        <v>333</v>
      </c>
      <c r="H5" s="398" t="s">
        <v>333</v>
      </c>
      <c r="I5" s="399" t="s">
        <v>333</v>
      </c>
      <c r="J5" s="400" t="s">
        <v>44</v>
      </c>
    </row>
    <row r="6" spans="1:10" ht="14.4" customHeight="1" x14ac:dyDescent="0.3">
      <c r="A6" s="396" t="s">
        <v>331</v>
      </c>
      <c r="B6" s="397" t="s">
        <v>334</v>
      </c>
      <c r="C6" s="398">
        <v>0</v>
      </c>
      <c r="D6" s="398">
        <v>0</v>
      </c>
      <c r="E6" s="398"/>
      <c r="F6" s="398">
        <v>0</v>
      </c>
      <c r="G6" s="398">
        <v>0.33333334350585936</v>
      </c>
      <c r="H6" s="398">
        <v>-0.33333334350585936</v>
      </c>
      <c r="I6" s="399">
        <v>0</v>
      </c>
      <c r="J6" s="400" t="s">
        <v>1</v>
      </c>
    </row>
    <row r="7" spans="1:10" ht="14.4" customHeight="1" x14ac:dyDescent="0.3">
      <c r="A7" s="396" t="s">
        <v>331</v>
      </c>
      <c r="B7" s="397" t="s">
        <v>335</v>
      </c>
      <c r="C7" s="398">
        <v>0</v>
      </c>
      <c r="D7" s="398">
        <v>0</v>
      </c>
      <c r="E7" s="398"/>
      <c r="F7" s="398">
        <v>0</v>
      </c>
      <c r="G7" s="398">
        <v>0.33333334350585936</v>
      </c>
      <c r="H7" s="398">
        <v>-0.33333334350585936</v>
      </c>
      <c r="I7" s="399">
        <v>0</v>
      </c>
      <c r="J7" s="400" t="s">
        <v>336</v>
      </c>
    </row>
    <row r="9" spans="1:10" ht="14.4" customHeight="1" x14ac:dyDescent="0.3">
      <c r="A9" s="396" t="s">
        <v>331</v>
      </c>
      <c r="B9" s="397" t="s">
        <v>332</v>
      </c>
      <c r="C9" s="398" t="s">
        <v>333</v>
      </c>
      <c r="D9" s="398" t="s">
        <v>333</v>
      </c>
      <c r="E9" s="398"/>
      <c r="F9" s="398" t="s">
        <v>333</v>
      </c>
      <c r="G9" s="398" t="s">
        <v>333</v>
      </c>
      <c r="H9" s="398" t="s">
        <v>333</v>
      </c>
      <c r="I9" s="399" t="s">
        <v>333</v>
      </c>
      <c r="J9" s="400" t="s">
        <v>44</v>
      </c>
    </row>
    <row r="10" spans="1:10" ht="14.4" customHeight="1" x14ac:dyDescent="0.3">
      <c r="A10" s="396" t="s">
        <v>337</v>
      </c>
      <c r="B10" s="397" t="s">
        <v>338</v>
      </c>
      <c r="C10" s="398" t="s">
        <v>333</v>
      </c>
      <c r="D10" s="398" t="s">
        <v>333</v>
      </c>
      <c r="E10" s="398"/>
      <c r="F10" s="398" t="s">
        <v>333</v>
      </c>
      <c r="G10" s="398" t="s">
        <v>333</v>
      </c>
      <c r="H10" s="398" t="s">
        <v>333</v>
      </c>
      <c r="I10" s="399" t="s">
        <v>333</v>
      </c>
      <c r="J10" s="400" t="s">
        <v>0</v>
      </c>
    </row>
    <row r="11" spans="1:10" ht="14.4" customHeight="1" x14ac:dyDescent="0.3">
      <c r="A11" s="396" t="s">
        <v>337</v>
      </c>
      <c r="B11" s="397" t="s">
        <v>334</v>
      </c>
      <c r="C11" s="398">
        <v>0</v>
      </c>
      <c r="D11" s="398">
        <v>0</v>
      </c>
      <c r="E11" s="398"/>
      <c r="F11" s="398">
        <v>0</v>
      </c>
      <c r="G11" s="398">
        <v>0</v>
      </c>
      <c r="H11" s="398">
        <v>0</v>
      </c>
      <c r="I11" s="399" t="s">
        <v>333</v>
      </c>
      <c r="J11" s="400" t="s">
        <v>1</v>
      </c>
    </row>
    <row r="12" spans="1:10" ht="14.4" customHeight="1" x14ac:dyDescent="0.3">
      <c r="A12" s="396" t="s">
        <v>337</v>
      </c>
      <c r="B12" s="397" t="s">
        <v>339</v>
      </c>
      <c r="C12" s="398">
        <v>0</v>
      </c>
      <c r="D12" s="398">
        <v>0</v>
      </c>
      <c r="E12" s="398"/>
      <c r="F12" s="398">
        <v>0</v>
      </c>
      <c r="G12" s="398">
        <v>0</v>
      </c>
      <c r="H12" s="398">
        <v>0</v>
      </c>
      <c r="I12" s="399" t="s">
        <v>333</v>
      </c>
      <c r="J12" s="400" t="s">
        <v>340</v>
      </c>
    </row>
    <row r="13" spans="1:10" ht="14.4" customHeight="1" x14ac:dyDescent="0.3">
      <c r="A13" s="396" t="s">
        <v>333</v>
      </c>
      <c r="B13" s="397" t="s">
        <v>333</v>
      </c>
      <c r="C13" s="398" t="s">
        <v>333</v>
      </c>
      <c r="D13" s="398" t="s">
        <v>333</v>
      </c>
      <c r="E13" s="398"/>
      <c r="F13" s="398" t="s">
        <v>333</v>
      </c>
      <c r="G13" s="398" t="s">
        <v>333</v>
      </c>
      <c r="H13" s="398" t="s">
        <v>333</v>
      </c>
      <c r="I13" s="399" t="s">
        <v>333</v>
      </c>
      <c r="J13" s="400" t="s">
        <v>341</v>
      </c>
    </row>
    <row r="14" spans="1:10" ht="14.4" customHeight="1" x14ac:dyDescent="0.3">
      <c r="A14" s="396" t="s">
        <v>331</v>
      </c>
      <c r="B14" s="397" t="s">
        <v>335</v>
      </c>
      <c r="C14" s="398">
        <v>0</v>
      </c>
      <c r="D14" s="398">
        <v>0</v>
      </c>
      <c r="E14" s="398"/>
      <c r="F14" s="398">
        <v>0</v>
      </c>
      <c r="G14" s="398">
        <v>0</v>
      </c>
      <c r="H14" s="398">
        <v>0</v>
      </c>
      <c r="I14" s="399" t="s">
        <v>333</v>
      </c>
      <c r="J14" s="400" t="s">
        <v>336</v>
      </c>
    </row>
  </sheetData>
  <mergeCells count="3">
    <mergeCell ref="F3:I3"/>
    <mergeCell ref="C4:D4"/>
    <mergeCell ref="A1:I1"/>
  </mergeCells>
  <conditionalFormatting sqref="F8 F15:F65537">
    <cfRule type="cellIs" dxfId="20" priority="18" stopIfTrue="1" operator="greaterThan">
      <formula>1</formula>
    </cfRule>
  </conditionalFormatting>
  <conditionalFormatting sqref="H5:H7">
    <cfRule type="expression" dxfId="19" priority="14">
      <formula>$H5&gt;0</formula>
    </cfRule>
  </conditionalFormatting>
  <conditionalFormatting sqref="I5:I7">
    <cfRule type="expression" dxfId="18" priority="15">
      <formula>$I5&gt;1</formula>
    </cfRule>
  </conditionalFormatting>
  <conditionalFormatting sqref="B5:B7">
    <cfRule type="expression" dxfId="17" priority="11">
      <formula>OR($J5="NS",$J5="SumaNS",$J5="Účet")</formula>
    </cfRule>
  </conditionalFormatting>
  <conditionalFormatting sqref="B5:D7 F5:I7">
    <cfRule type="expression" dxfId="16" priority="17">
      <formula>AND($J5&lt;&gt;"",$J5&lt;&gt;"mezeraKL")</formula>
    </cfRule>
  </conditionalFormatting>
  <conditionalFormatting sqref="B5:D7 F5:I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14" priority="13">
      <formula>OR($J5="SumaNS",$J5="NS")</formula>
    </cfRule>
  </conditionalFormatting>
  <conditionalFormatting sqref="A5:A7">
    <cfRule type="expression" dxfId="13" priority="9">
      <formula>AND($J5&lt;&gt;"mezeraKL",$J5&lt;&gt;"")</formula>
    </cfRule>
  </conditionalFormatting>
  <conditionalFormatting sqref="A5:A7">
    <cfRule type="expression" dxfId="12" priority="10">
      <formula>AND($J5&lt;&gt;"",$J5&lt;&gt;"mezeraKL")</formula>
    </cfRule>
  </conditionalFormatting>
  <conditionalFormatting sqref="H9:H14">
    <cfRule type="expression" dxfId="11" priority="5">
      <formula>$H9&gt;0</formula>
    </cfRule>
  </conditionalFormatting>
  <conditionalFormatting sqref="A9:A14">
    <cfRule type="expression" dxfId="10" priority="2">
      <formula>AND($J9&lt;&gt;"mezeraKL",$J9&lt;&gt;"")</formula>
    </cfRule>
  </conditionalFormatting>
  <conditionalFormatting sqref="I9:I14">
    <cfRule type="expression" dxfId="9" priority="6">
      <formula>$I9&gt;1</formula>
    </cfRule>
  </conditionalFormatting>
  <conditionalFormatting sqref="B9:B14">
    <cfRule type="expression" dxfId="8" priority="1">
      <formula>OR($J9="NS",$J9="SumaNS",$J9="Účet")</formula>
    </cfRule>
  </conditionalFormatting>
  <conditionalFormatting sqref="A9:D14 F9:I14">
    <cfRule type="expression" dxfId="7" priority="8">
      <formula>AND($J9&lt;&gt;"",$J9&lt;&gt;"mezeraKL")</formula>
    </cfRule>
  </conditionalFormatting>
  <conditionalFormatting sqref="B9:D14 F9:I14">
    <cfRule type="expression" dxfId="6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5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23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1" customWidth="1"/>
    <col min="18" max="18" width="7.33203125" style="222" customWidth="1"/>
    <col min="19" max="19" width="8" style="191" customWidth="1"/>
    <col min="21" max="21" width="11.21875" bestFit="1" customWidth="1"/>
  </cols>
  <sheetData>
    <row r="1" spans="1:19" ht="18.600000000000001" thickBot="1" x14ac:dyDescent="0.4">
      <c r="A1" s="324" t="s">
        <v>81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</row>
    <row r="2" spans="1:19" ht="15" thickBot="1" x14ac:dyDescent="0.35">
      <c r="A2" s="192" t="s">
        <v>206</v>
      </c>
      <c r="B2" s="193"/>
    </row>
    <row r="3" spans="1:19" x14ac:dyDescent="0.3">
      <c r="A3" s="336" t="s">
        <v>139</v>
      </c>
      <c r="B3" s="337"/>
      <c r="C3" s="338" t="s">
        <v>128</v>
      </c>
      <c r="D3" s="339"/>
      <c r="E3" s="339"/>
      <c r="F3" s="340"/>
      <c r="G3" s="341" t="s">
        <v>129</v>
      </c>
      <c r="H3" s="342"/>
      <c r="I3" s="342"/>
      <c r="J3" s="343"/>
      <c r="K3" s="344" t="s">
        <v>138</v>
      </c>
      <c r="L3" s="345"/>
      <c r="M3" s="345"/>
      <c r="N3" s="345"/>
      <c r="O3" s="346"/>
      <c r="P3" s="342" t="s">
        <v>181</v>
      </c>
      <c r="Q3" s="342"/>
      <c r="R3" s="342"/>
      <c r="S3" s="343"/>
    </row>
    <row r="4" spans="1:19" ht="15" thickBot="1" x14ac:dyDescent="0.35">
      <c r="A4" s="316">
        <v>2019</v>
      </c>
      <c r="B4" s="317"/>
      <c r="C4" s="318" t="s">
        <v>180</v>
      </c>
      <c r="D4" s="320" t="s">
        <v>82</v>
      </c>
      <c r="E4" s="320" t="s">
        <v>50</v>
      </c>
      <c r="F4" s="322" t="s">
        <v>43</v>
      </c>
      <c r="G4" s="310" t="s">
        <v>130</v>
      </c>
      <c r="H4" s="312" t="s">
        <v>134</v>
      </c>
      <c r="I4" s="312" t="s">
        <v>179</v>
      </c>
      <c r="J4" s="314" t="s">
        <v>131</v>
      </c>
      <c r="K4" s="333" t="s">
        <v>178</v>
      </c>
      <c r="L4" s="334"/>
      <c r="M4" s="334"/>
      <c r="N4" s="335"/>
      <c r="O4" s="322" t="s">
        <v>177</v>
      </c>
      <c r="P4" s="325" t="s">
        <v>176</v>
      </c>
      <c r="Q4" s="325" t="s">
        <v>141</v>
      </c>
      <c r="R4" s="327" t="s">
        <v>50</v>
      </c>
      <c r="S4" s="329" t="s">
        <v>140</v>
      </c>
    </row>
    <row r="5" spans="1:19" s="257" customFormat="1" ht="19.2" customHeight="1" x14ac:dyDescent="0.3">
      <c r="A5" s="331" t="s">
        <v>175</v>
      </c>
      <c r="B5" s="332"/>
      <c r="C5" s="319"/>
      <c r="D5" s="321"/>
      <c r="E5" s="321"/>
      <c r="F5" s="323"/>
      <c r="G5" s="311"/>
      <c r="H5" s="313"/>
      <c r="I5" s="313"/>
      <c r="J5" s="315"/>
      <c r="K5" s="260" t="s">
        <v>132</v>
      </c>
      <c r="L5" s="259" t="s">
        <v>133</v>
      </c>
      <c r="M5" s="259" t="s">
        <v>174</v>
      </c>
      <c r="N5" s="258" t="s">
        <v>3</v>
      </c>
      <c r="O5" s="323"/>
      <c r="P5" s="326"/>
      <c r="Q5" s="326"/>
      <c r="R5" s="328"/>
      <c r="S5" s="330"/>
    </row>
    <row r="6" spans="1:19" ht="15" thickBot="1" x14ac:dyDescent="0.35">
      <c r="A6" s="308" t="s">
        <v>127</v>
      </c>
      <c r="B6" s="309"/>
      <c r="C6" s="256">
        <f ca="1">SUM(Tabulka[01 uv_sk])/2</f>
        <v>12.8</v>
      </c>
      <c r="D6" s="254"/>
      <c r="E6" s="254"/>
      <c r="F6" s="253"/>
      <c r="G6" s="255">
        <f ca="1">SUM(Tabulka[05 h_vram])/2</f>
        <v>8263.9</v>
      </c>
      <c r="H6" s="254">
        <f ca="1">SUM(Tabulka[06 h_naduv])/2</f>
        <v>0</v>
      </c>
      <c r="I6" s="254">
        <f ca="1">SUM(Tabulka[07 h_nadzk])/2</f>
        <v>0</v>
      </c>
      <c r="J6" s="253">
        <f ca="1">SUM(Tabulka[08 h_oon])/2</f>
        <v>0</v>
      </c>
      <c r="K6" s="255">
        <f ca="1">SUM(Tabulka[09 m_kl])/2</f>
        <v>0</v>
      </c>
      <c r="L6" s="254">
        <f ca="1">SUM(Tabulka[10 m_gr])/2</f>
        <v>0</v>
      </c>
      <c r="M6" s="254">
        <f ca="1">SUM(Tabulka[11 m_jo])/2</f>
        <v>750</v>
      </c>
      <c r="N6" s="254">
        <f ca="1">SUM(Tabulka[12 m_oc])/2</f>
        <v>750</v>
      </c>
      <c r="O6" s="253">
        <f ca="1">SUM(Tabulka[13 m_sk])/2</f>
        <v>2134583</v>
      </c>
      <c r="P6" s="252">
        <f ca="1">SUM(Tabulka[14_vzsk])/2</f>
        <v>45270</v>
      </c>
      <c r="Q6" s="252">
        <f ca="1">SUM(Tabulka[15_vzpl])/2</f>
        <v>28325.760009543785</v>
      </c>
      <c r="R6" s="251">
        <f ca="1">IF(Q6=0,0,P6/Q6)</f>
        <v>1.5981918926357916</v>
      </c>
      <c r="S6" s="250">
        <f ca="1">Q6-P6</f>
        <v>-16944.239990456215</v>
      </c>
    </row>
    <row r="7" spans="1:19" hidden="1" x14ac:dyDescent="0.3">
      <c r="A7" s="249" t="s">
        <v>173</v>
      </c>
      <c r="B7" s="248" t="s">
        <v>172</v>
      </c>
      <c r="C7" s="247" t="s">
        <v>171</v>
      </c>
      <c r="D7" s="246" t="s">
        <v>170</v>
      </c>
      <c r="E7" s="245" t="s">
        <v>169</v>
      </c>
      <c r="F7" s="244" t="s">
        <v>168</v>
      </c>
      <c r="G7" s="243" t="s">
        <v>167</v>
      </c>
      <c r="H7" s="241" t="s">
        <v>166</v>
      </c>
      <c r="I7" s="241" t="s">
        <v>165</v>
      </c>
      <c r="J7" s="240" t="s">
        <v>164</v>
      </c>
      <c r="K7" s="242" t="s">
        <v>163</v>
      </c>
      <c r="L7" s="241" t="s">
        <v>162</v>
      </c>
      <c r="M7" s="241" t="s">
        <v>161</v>
      </c>
      <c r="N7" s="240" t="s">
        <v>160</v>
      </c>
      <c r="O7" s="239" t="s">
        <v>159</v>
      </c>
      <c r="P7" s="238" t="s">
        <v>158</v>
      </c>
      <c r="Q7" s="237" t="s">
        <v>157</v>
      </c>
      <c r="R7" s="236" t="s">
        <v>156</v>
      </c>
      <c r="S7" s="235" t="s">
        <v>155</v>
      </c>
    </row>
    <row r="8" spans="1:19" x14ac:dyDescent="0.3">
      <c r="A8" s="232" t="s">
        <v>342</v>
      </c>
      <c r="B8" s="231"/>
      <c r="C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11.8</v>
      </c>
      <c r="D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7591.9</v>
      </c>
      <c r="H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8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2037785</v>
      </c>
      <c r="P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30980</v>
      </c>
      <c r="Q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28325.760009543785</v>
      </c>
      <c r="R8" s="234">
        <f ca="1">IF(Tabulka[[#This Row],[15_vzpl]]=0,"",Tabulka[[#This Row],[14_vzsk]]/Tabulka[[#This Row],[15_vzpl]])</f>
        <v>1.0937041050111955</v>
      </c>
      <c r="S8" s="233">
        <f ca="1">IF(Tabulka[[#This Row],[15_vzpl]]-Tabulka[[#This Row],[14_vzsk]]=0,"",Tabulka[[#This Row],[15_vzpl]]-Tabulka[[#This Row],[14_vzsk]])</f>
        <v>-2654.2399904562153</v>
      </c>
    </row>
    <row r="9" spans="1:19" x14ac:dyDescent="0.3">
      <c r="A9" s="232">
        <v>520</v>
      </c>
      <c r="B9" s="231" t="s">
        <v>350</v>
      </c>
      <c r="C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2567</v>
      </c>
      <c r="H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9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558629</v>
      </c>
      <c r="P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34" t="str">
        <f ca="1">IF(Tabulka[[#This Row],[15_vzpl]]=0,"",Tabulka[[#This Row],[14_vzsk]]/Tabulka[[#This Row],[15_vzpl]])</f>
        <v/>
      </c>
      <c r="S9" s="233" t="str">
        <f ca="1">IF(Tabulka[[#This Row],[15_vzpl]]-Tabulka[[#This Row],[14_vzsk]]=0,"",Tabulka[[#This Row],[15_vzpl]]-Tabulka[[#This Row],[14_vzsk]])</f>
        <v/>
      </c>
    </row>
    <row r="10" spans="1:19" x14ac:dyDescent="0.3">
      <c r="A10" s="232">
        <v>521</v>
      </c>
      <c r="B10" s="231" t="s">
        <v>351</v>
      </c>
      <c r="C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6.8</v>
      </c>
      <c r="D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4388.8999999999996</v>
      </c>
      <c r="H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1192969</v>
      </c>
      <c r="P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34" t="str">
        <f ca="1">IF(Tabulka[[#This Row],[15_vzpl]]=0,"",Tabulka[[#This Row],[14_vzsk]]/Tabulka[[#This Row],[15_vzpl]])</f>
        <v/>
      </c>
      <c r="S10" s="233" t="str">
        <f ca="1">IF(Tabulka[[#This Row],[15_vzpl]]-Tabulka[[#This Row],[14_vzsk]]=0,"",Tabulka[[#This Row],[15_vzpl]]-Tabulka[[#This Row],[14_vzsk]])</f>
        <v/>
      </c>
    </row>
    <row r="11" spans="1:19" x14ac:dyDescent="0.3">
      <c r="A11" s="232">
        <v>522</v>
      </c>
      <c r="B11" s="231" t="s">
        <v>352</v>
      </c>
      <c r="C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636</v>
      </c>
      <c r="H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286187</v>
      </c>
      <c r="P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34" t="str">
        <f ca="1">IF(Tabulka[[#This Row],[15_vzpl]]=0,"",Tabulka[[#This Row],[14_vzsk]]/Tabulka[[#This Row],[15_vzpl]])</f>
        <v/>
      </c>
      <c r="S11" s="233" t="str">
        <f ca="1">IF(Tabulka[[#This Row],[15_vzpl]]-Tabulka[[#This Row],[14_vzsk]]=0,"",Tabulka[[#This Row],[15_vzpl]]-Tabulka[[#This Row],[14_vzsk]])</f>
        <v/>
      </c>
    </row>
    <row r="12" spans="1:19" x14ac:dyDescent="0.3">
      <c r="A12" s="232">
        <v>526</v>
      </c>
      <c r="B12" s="231" t="s">
        <v>353</v>
      </c>
      <c r="C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30980</v>
      </c>
      <c r="Q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28325.760009543785</v>
      </c>
      <c r="R12" s="234">
        <f ca="1">IF(Tabulka[[#This Row],[15_vzpl]]=0,"",Tabulka[[#This Row],[14_vzsk]]/Tabulka[[#This Row],[15_vzpl]])</f>
        <v>1.0937041050111955</v>
      </c>
      <c r="S12" s="233">
        <f ca="1">IF(Tabulka[[#This Row],[15_vzpl]]-Tabulka[[#This Row],[14_vzsk]]=0,"",Tabulka[[#This Row],[15_vzpl]]-Tabulka[[#This Row],[14_vzsk]])</f>
        <v>-2654.2399904562153</v>
      </c>
    </row>
    <row r="13" spans="1:19" x14ac:dyDescent="0.3">
      <c r="A13" s="232" t="s">
        <v>347</v>
      </c>
      <c r="B13" s="231"/>
      <c r="C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14290</v>
      </c>
      <c r="Q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34" t="str">
        <f ca="1">IF(Tabulka[[#This Row],[15_vzpl]]=0,"",Tabulka[[#This Row],[14_vzsk]]/Tabulka[[#This Row],[15_vzpl]])</f>
        <v/>
      </c>
      <c r="S13" s="233">
        <f ca="1">IF(Tabulka[[#This Row],[15_vzpl]]-Tabulka[[#This Row],[14_vzsk]]=0,"",Tabulka[[#This Row],[15_vzpl]]-Tabulka[[#This Row],[14_vzsk]])</f>
        <v>-14290</v>
      </c>
    </row>
    <row r="14" spans="1:19" x14ac:dyDescent="0.3">
      <c r="A14" s="232">
        <v>303</v>
      </c>
      <c r="B14" s="231" t="s">
        <v>354</v>
      </c>
      <c r="C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14290</v>
      </c>
      <c r="Q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34" t="str">
        <f ca="1">IF(Tabulka[[#This Row],[15_vzpl]]=0,"",Tabulka[[#This Row],[14_vzsk]]/Tabulka[[#This Row],[15_vzpl]])</f>
        <v/>
      </c>
      <c r="S14" s="233">
        <f ca="1">IF(Tabulka[[#This Row],[15_vzpl]]-Tabulka[[#This Row],[14_vzsk]]=0,"",Tabulka[[#This Row],[15_vzpl]]-Tabulka[[#This Row],[14_vzsk]])</f>
        <v>-14290</v>
      </c>
    </row>
    <row r="15" spans="1:19" x14ac:dyDescent="0.3">
      <c r="A15" s="232" t="s">
        <v>343</v>
      </c>
      <c r="B15" s="231"/>
      <c r="C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</v>
      </c>
      <c r="H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96798</v>
      </c>
      <c r="P15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34" t="str">
        <f ca="1">IF(Tabulka[[#This Row],[15_vzpl]]=0,"",Tabulka[[#This Row],[14_vzsk]]/Tabulka[[#This Row],[15_vzpl]])</f>
        <v/>
      </c>
      <c r="S15" s="233" t="str">
        <f ca="1">IF(Tabulka[[#This Row],[15_vzpl]]-Tabulka[[#This Row],[14_vzsk]]=0,"",Tabulka[[#This Row],[15_vzpl]]-Tabulka[[#This Row],[14_vzsk]])</f>
        <v/>
      </c>
    </row>
    <row r="16" spans="1:19" x14ac:dyDescent="0.3">
      <c r="A16" s="232">
        <v>30</v>
      </c>
      <c r="B16" s="231" t="s">
        <v>355</v>
      </c>
      <c r="C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</v>
      </c>
      <c r="H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96798</v>
      </c>
      <c r="P16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34" t="str">
        <f ca="1">IF(Tabulka[[#This Row],[15_vzpl]]=0,"",Tabulka[[#This Row],[14_vzsk]]/Tabulka[[#This Row],[15_vzpl]])</f>
        <v/>
      </c>
      <c r="S16" s="233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183</v>
      </c>
    </row>
    <row r="18" spans="1:1" x14ac:dyDescent="0.3">
      <c r="A18" s="85" t="s">
        <v>111</v>
      </c>
    </row>
    <row r="19" spans="1:1" x14ac:dyDescent="0.3">
      <c r="A19" s="86" t="s">
        <v>154</v>
      </c>
    </row>
    <row r="20" spans="1:1" x14ac:dyDescent="0.3">
      <c r="A20" s="224" t="s">
        <v>153</v>
      </c>
    </row>
    <row r="21" spans="1:1" x14ac:dyDescent="0.3">
      <c r="A21" s="195" t="s">
        <v>137</v>
      </c>
    </row>
    <row r="22" spans="1:1" x14ac:dyDescent="0.3">
      <c r="A22" s="197" t="s">
        <v>142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3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349</v>
      </c>
    </row>
    <row r="2" spans="1:19" x14ac:dyDescent="0.3">
      <c r="A2" s="192" t="s">
        <v>206</v>
      </c>
    </row>
    <row r="3" spans="1:19" x14ac:dyDescent="0.3">
      <c r="A3" s="270" t="s">
        <v>114</v>
      </c>
      <c r="B3" s="269">
        <v>2019</v>
      </c>
      <c r="C3" t="s">
        <v>182</v>
      </c>
      <c r="D3" t="s">
        <v>173</v>
      </c>
      <c r="E3" t="s">
        <v>171</v>
      </c>
      <c r="F3" t="s">
        <v>170</v>
      </c>
      <c r="G3" t="s">
        <v>169</v>
      </c>
      <c r="H3" t="s">
        <v>168</v>
      </c>
      <c r="I3" t="s">
        <v>167</v>
      </c>
      <c r="J3" t="s">
        <v>166</v>
      </c>
      <c r="K3" t="s">
        <v>165</v>
      </c>
      <c r="L3" t="s">
        <v>164</v>
      </c>
      <c r="M3" t="s">
        <v>163</v>
      </c>
      <c r="N3" t="s">
        <v>162</v>
      </c>
      <c r="O3" t="s">
        <v>161</v>
      </c>
      <c r="P3" t="s">
        <v>160</v>
      </c>
      <c r="Q3" t="s">
        <v>159</v>
      </c>
      <c r="R3" t="s">
        <v>158</v>
      </c>
      <c r="S3" t="s">
        <v>157</v>
      </c>
    </row>
    <row r="4" spans="1:19" x14ac:dyDescent="0.3">
      <c r="A4" s="268" t="s">
        <v>115</v>
      </c>
      <c r="B4" s="267">
        <v>1</v>
      </c>
      <c r="C4" s="262">
        <v>1</v>
      </c>
      <c r="D4" s="262" t="s">
        <v>342</v>
      </c>
      <c r="E4" s="261">
        <v>11.8</v>
      </c>
      <c r="F4" s="261"/>
      <c r="G4" s="261"/>
      <c r="H4" s="261"/>
      <c r="I4" s="261">
        <v>2057.4</v>
      </c>
      <c r="J4" s="261"/>
      <c r="K4" s="261"/>
      <c r="L4" s="261"/>
      <c r="M4" s="261"/>
      <c r="N4" s="261"/>
      <c r="O4" s="261"/>
      <c r="P4" s="261"/>
      <c r="Q4" s="261">
        <v>514723</v>
      </c>
      <c r="R4" s="261">
        <v>6300</v>
      </c>
      <c r="S4" s="261">
        <v>7081.4400023859462</v>
      </c>
    </row>
    <row r="5" spans="1:19" x14ac:dyDescent="0.3">
      <c r="A5" s="266" t="s">
        <v>116</v>
      </c>
      <c r="B5" s="265">
        <v>2</v>
      </c>
      <c r="C5">
        <v>1</v>
      </c>
      <c r="D5">
        <v>520</v>
      </c>
      <c r="E5">
        <v>4</v>
      </c>
      <c r="I5">
        <v>676</v>
      </c>
      <c r="Q5">
        <v>140189</v>
      </c>
    </row>
    <row r="6" spans="1:19" x14ac:dyDescent="0.3">
      <c r="A6" s="268" t="s">
        <v>117</v>
      </c>
      <c r="B6" s="267">
        <v>3</v>
      </c>
      <c r="C6">
        <v>1</v>
      </c>
      <c r="D6">
        <v>521</v>
      </c>
      <c r="E6">
        <v>6.8</v>
      </c>
      <c r="I6">
        <v>1221.4000000000001</v>
      </c>
      <c r="Q6">
        <v>301955</v>
      </c>
    </row>
    <row r="7" spans="1:19" x14ac:dyDescent="0.3">
      <c r="A7" s="266" t="s">
        <v>118</v>
      </c>
      <c r="B7" s="265">
        <v>4</v>
      </c>
      <c r="C7">
        <v>1</v>
      </c>
      <c r="D7">
        <v>522</v>
      </c>
      <c r="E7">
        <v>1</v>
      </c>
      <c r="I7">
        <v>160</v>
      </c>
      <c r="Q7">
        <v>72579</v>
      </c>
    </row>
    <row r="8" spans="1:19" x14ac:dyDescent="0.3">
      <c r="A8" s="268" t="s">
        <v>119</v>
      </c>
      <c r="B8" s="267">
        <v>5</v>
      </c>
      <c r="C8">
        <v>1</v>
      </c>
      <c r="D8">
        <v>526</v>
      </c>
      <c r="R8">
        <v>6300</v>
      </c>
      <c r="S8">
        <v>7081.4400023859462</v>
      </c>
    </row>
    <row r="9" spans="1:19" x14ac:dyDescent="0.3">
      <c r="A9" s="266" t="s">
        <v>120</v>
      </c>
      <c r="B9" s="265">
        <v>6</v>
      </c>
      <c r="C9">
        <v>1</v>
      </c>
      <c r="D9" t="s">
        <v>343</v>
      </c>
      <c r="E9">
        <v>1</v>
      </c>
      <c r="I9">
        <v>184</v>
      </c>
      <c r="Q9">
        <v>24820</v>
      </c>
    </row>
    <row r="10" spans="1:19" x14ac:dyDescent="0.3">
      <c r="A10" s="268" t="s">
        <v>121</v>
      </c>
      <c r="B10" s="267">
        <v>7</v>
      </c>
      <c r="C10">
        <v>1</v>
      </c>
      <c r="D10">
        <v>30</v>
      </c>
      <c r="E10">
        <v>1</v>
      </c>
      <c r="I10">
        <v>184</v>
      </c>
      <c r="Q10">
        <v>24820</v>
      </c>
    </row>
    <row r="11" spans="1:19" x14ac:dyDescent="0.3">
      <c r="A11" s="266" t="s">
        <v>122</v>
      </c>
      <c r="B11" s="265">
        <v>8</v>
      </c>
      <c r="C11" t="s">
        <v>344</v>
      </c>
      <c r="E11">
        <v>12.8</v>
      </c>
      <c r="I11">
        <v>2241.4</v>
      </c>
      <c r="Q11">
        <v>539543</v>
      </c>
      <c r="R11">
        <v>6300</v>
      </c>
      <c r="S11">
        <v>7081.4400023859462</v>
      </c>
    </row>
    <row r="12" spans="1:19" x14ac:dyDescent="0.3">
      <c r="A12" s="268" t="s">
        <v>123</v>
      </c>
      <c r="B12" s="267">
        <v>9</v>
      </c>
      <c r="C12">
        <v>2</v>
      </c>
      <c r="D12" t="s">
        <v>342</v>
      </c>
      <c r="E12">
        <v>11.8</v>
      </c>
      <c r="I12">
        <v>1753.5</v>
      </c>
      <c r="Q12">
        <v>506733</v>
      </c>
      <c r="R12">
        <v>9280</v>
      </c>
      <c r="S12">
        <v>7081.4400023859462</v>
      </c>
    </row>
    <row r="13" spans="1:19" x14ac:dyDescent="0.3">
      <c r="A13" s="266" t="s">
        <v>124</v>
      </c>
      <c r="B13" s="265">
        <v>10</v>
      </c>
      <c r="C13">
        <v>2</v>
      </c>
      <c r="D13">
        <v>520</v>
      </c>
      <c r="E13">
        <v>4</v>
      </c>
      <c r="I13">
        <v>602</v>
      </c>
      <c r="Q13">
        <v>138803</v>
      </c>
    </row>
    <row r="14" spans="1:19" x14ac:dyDescent="0.3">
      <c r="A14" s="268" t="s">
        <v>125</v>
      </c>
      <c r="B14" s="267">
        <v>11</v>
      </c>
      <c r="C14">
        <v>2</v>
      </c>
      <c r="D14">
        <v>521</v>
      </c>
      <c r="E14">
        <v>6.8</v>
      </c>
      <c r="I14">
        <v>999.5</v>
      </c>
      <c r="Q14">
        <v>296880</v>
      </c>
    </row>
    <row r="15" spans="1:19" x14ac:dyDescent="0.3">
      <c r="A15" s="266" t="s">
        <v>126</v>
      </c>
      <c r="B15" s="265">
        <v>12</v>
      </c>
      <c r="C15">
        <v>2</v>
      </c>
      <c r="D15">
        <v>522</v>
      </c>
      <c r="E15">
        <v>1</v>
      </c>
      <c r="I15">
        <v>152</v>
      </c>
      <c r="Q15">
        <v>71050</v>
      </c>
    </row>
    <row r="16" spans="1:19" x14ac:dyDescent="0.3">
      <c r="A16" s="264" t="s">
        <v>114</v>
      </c>
      <c r="B16" s="263">
        <v>2019</v>
      </c>
      <c r="C16">
        <v>2</v>
      </c>
      <c r="D16">
        <v>526</v>
      </c>
      <c r="R16">
        <v>9280</v>
      </c>
      <c r="S16">
        <v>7081.4400023859462</v>
      </c>
    </row>
    <row r="17" spans="3:19" x14ac:dyDescent="0.3">
      <c r="C17">
        <v>2</v>
      </c>
      <c r="D17" t="s">
        <v>343</v>
      </c>
      <c r="E17">
        <v>1</v>
      </c>
      <c r="I17">
        <v>144</v>
      </c>
      <c r="Q17">
        <v>22338</v>
      </c>
    </row>
    <row r="18" spans="3:19" x14ac:dyDescent="0.3">
      <c r="C18">
        <v>2</v>
      </c>
      <c r="D18">
        <v>30</v>
      </c>
      <c r="E18">
        <v>1</v>
      </c>
      <c r="I18">
        <v>144</v>
      </c>
      <c r="Q18">
        <v>22338</v>
      </c>
    </row>
    <row r="19" spans="3:19" x14ac:dyDescent="0.3">
      <c r="C19" t="s">
        <v>345</v>
      </c>
      <c r="E19">
        <v>12.8</v>
      </c>
      <c r="I19">
        <v>1897.5</v>
      </c>
      <c r="Q19">
        <v>529071</v>
      </c>
      <c r="R19">
        <v>9280</v>
      </c>
      <c r="S19">
        <v>7081.4400023859462</v>
      </c>
    </row>
    <row r="20" spans="3:19" x14ac:dyDescent="0.3">
      <c r="C20">
        <v>3</v>
      </c>
      <c r="D20" t="s">
        <v>342</v>
      </c>
      <c r="E20">
        <v>11.8</v>
      </c>
      <c r="I20">
        <v>1801</v>
      </c>
      <c r="Q20">
        <v>506014</v>
      </c>
      <c r="R20">
        <v>5200</v>
      </c>
      <c r="S20">
        <v>7081.4400023859462</v>
      </c>
    </row>
    <row r="21" spans="3:19" x14ac:dyDescent="0.3">
      <c r="C21">
        <v>3</v>
      </c>
      <c r="D21">
        <v>520</v>
      </c>
      <c r="E21">
        <v>4</v>
      </c>
      <c r="I21">
        <v>641</v>
      </c>
      <c r="Q21">
        <v>139275</v>
      </c>
    </row>
    <row r="22" spans="3:19" x14ac:dyDescent="0.3">
      <c r="C22">
        <v>3</v>
      </c>
      <c r="D22">
        <v>521</v>
      </c>
      <c r="E22">
        <v>6.8</v>
      </c>
      <c r="I22">
        <v>1012</v>
      </c>
      <c r="Q22">
        <v>295161</v>
      </c>
    </row>
    <row r="23" spans="3:19" x14ac:dyDescent="0.3">
      <c r="C23">
        <v>3</v>
      </c>
      <c r="D23">
        <v>522</v>
      </c>
      <c r="E23">
        <v>1</v>
      </c>
      <c r="I23">
        <v>148</v>
      </c>
      <c r="Q23">
        <v>71578</v>
      </c>
    </row>
    <row r="24" spans="3:19" x14ac:dyDescent="0.3">
      <c r="C24">
        <v>3</v>
      </c>
      <c r="D24">
        <v>526</v>
      </c>
      <c r="R24">
        <v>5200</v>
      </c>
      <c r="S24">
        <v>7081.4400023859462</v>
      </c>
    </row>
    <row r="25" spans="3:19" x14ac:dyDescent="0.3">
      <c r="C25">
        <v>3</v>
      </c>
      <c r="D25" t="s">
        <v>343</v>
      </c>
      <c r="E25">
        <v>1</v>
      </c>
      <c r="I25">
        <v>168</v>
      </c>
      <c r="Q25">
        <v>24820</v>
      </c>
    </row>
    <row r="26" spans="3:19" x14ac:dyDescent="0.3">
      <c r="C26">
        <v>3</v>
      </c>
      <c r="D26">
        <v>30</v>
      </c>
      <c r="E26">
        <v>1</v>
      </c>
      <c r="I26">
        <v>168</v>
      </c>
      <c r="Q26">
        <v>24820</v>
      </c>
    </row>
    <row r="27" spans="3:19" x14ac:dyDescent="0.3">
      <c r="C27" t="s">
        <v>346</v>
      </c>
      <c r="E27">
        <v>12.8</v>
      </c>
      <c r="I27">
        <v>1969</v>
      </c>
      <c r="Q27">
        <v>530834</v>
      </c>
      <c r="R27">
        <v>5200</v>
      </c>
      <c r="S27">
        <v>7081.4400023859462</v>
      </c>
    </row>
    <row r="28" spans="3:19" x14ac:dyDescent="0.3">
      <c r="C28">
        <v>4</v>
      </c>
      <c r="D28" t="s">
        <v>342</v>
      </c>
      <c r="E28">
        <v>11.8</v>
      </c>
      <c r="I28">
        <v>1980</v>
      </c>
      <c r="O28">
        <v>750</v>
      </c>
      <c r="P28">
        <v>750</v>
      </c>
      <c r="Q28">
        <v>510315</v>
      </c>
      <c r="R28">
        <v>10200</v>
      </c>
      <c r="S28">
        <v>7081.4400023859462</v>
      </c>
    </row>
    <row r="29" spans="3:19" x14ac:dyDescent="0.3">
      <c r="C29">
        <v>4</v>
      </c>
      <c r="D29">
        <v>520</v>
      </c>
      <c r="E29">
        <v>4</v>
      </c>
      <c r="I29">
        <v>648</v>
      </c>
      <c r="O29">
        <v>750</v>
      </c>
      <c r="P29">
        <v>750</v>
      </c>
      <c r="Q29">
        <v>140362</v>
      </c>
    </row>
    <row r="30" spans="3:19" x14ac:dyDescent="0.3">
      <c r="C30">
        <v>4</v>
      </c>
      <c r="D30">
        <v>521</v>
      </c>
      <c r="E30">
        <v>6.8</v>
      </c>
      <c r="I30">
        <v>1156</v>
      </c>
      <c r="Q30">
        <v>298973</v>
      </c>
    </row>
    <row r="31" spans="3:19" x14ac:dyDescent="0.3">
      <c r="C31">
        <v>4</v>
      </c>
      <c r="D31">
        <v>522</v>
      </c>
      <c r="E31">
        <v>1</v>
      </c>
      <c r="I31">
        <v>176</v>
      </c>
      <c r="Q31">
        <v>70980</v>
      </c>
    </row>
    <row r="32" spans="3:19" x14ac:dyDescent="0.3">
      <c r="C32">
        <v>4</v>
      </c>
      <c r="D32">
        <v>526</v>
      </c>
      <c r="R32">
        <v>10200</v>
      </c>
      <c r="S32">
        <v>7081.4400023859462</v>
      </c>
    </row>
    <row r="33" spans="3:19" x14ac:dyDescent="0.3">
      <c r="C33">
        <v>4</v>
      </c>
      <c r="D33" t="s">
        <v>347</v>
      </c>
      <c r="R33">
        <v>14290</v>
      </c>
    </row>
    <row r="34" spans="3:19" x14ac:dyDescent="0.3">
      <c r="C34">
        <v>4</v>
      </c>
      <c r="D34">
        <v>303</v>
      </c>
      <c r="R34">
        <v>14290</v>
      </c>
    </row>
    <row r="35" spans="3:19" x14ac:dyDescent="0.3">
      <c r="C35">
        <v>4</v>
      </c>
      <c r="D35" t="s">
        <v>343</v>
      </c>
      <c r="E35">
        <v>1</v>
      </c>
      <c r="I35">
        <v>176</v>
      </c>
      <c r="Q35">
        <v>24820</v>
      </c>
    </row>
    <row r="36" spans="3:19" x14ac:dyDescent="0.3">
      <c r="C36">
        <v>4</v>
      </c>
      <c r="D36">
        <v>30</v>
      </c>
      <c r="E36">
        <v>1</v>
      </c>
      <c r="I36">
        <v>176</v>
      </c>
      <c r="Q36">
        <v>24820</v>
      </c>
    </row>
    <row r="37" spans="3:19" x14ac:dyDescent="0.3">
      <c r="C37" t="s">
        <v>348</v>
      </c>
      <c r="E37">
        <v>12.8</v>
      </c>
      <c r="I37">
        <v>2156</v>
      </c>
      <c r="O37">
        <v>750</v>
      </c>
      <c r="P37">
        <v>750</v>
      </c>
      <c r="Q37">
        <v>535135</v>
      </c>
      <c r="R37">
        <v>24490</v>
      </c>
      <c r="S37">
        <v>7081.4400023859462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3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Léky Žádanky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2019-05-29T07:03:54Z</dcterms:modified>
</cp:coreProperties>
</file>