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06E94585-7E5A-4E07-B615-D12CD21F0B62}" xr6:coauthVersionLast="41" xr6:coauthVersionMax="41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Materiál Žádanky" sheetId="420" r:id="rId8"/>
    <sheet name="Osobní náklady" sheetId="431" r:id="rId9"/>
    <sheet name="ON Data" sheetId="432" state="hidden" r:id="rId10"/>
    <sheet name="ZV Vykáz.-A" sheetId="344" r:id="rId11"/>
    <sheet name="ZV Vykáz.-A Lékaři" sheetId="429" r:id="rId12"/>
    <sheet name="ZV Vykáz.-A Detail" sheetId="345" r:id="rId13"/>
    <sheet name="ZV Vykáz.-A Det.Lék." sheetId="430" r:id="rId14"/>
    <sheet name="ZV Vykáz.-H" sheetId="410" r:id="rId15"/>
    <sheet name="ZV Vykáz.-H Detail" sheetId="377" r:id="rId16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4" hidden="1">'Man Tab'!$A$5:$A$31</definedName>
    <definedName name="_xlnm._FilterDatabase" localSheetId="7" hidden="1">'Materiál Žádanky'!$A$4:$I$4</definedName>
    <definedName name="_xlnm._FilterDatabase" localSheetId="13" hidden="1">'ZV Vykáz.-A Det.Lék.'!$A$5:$S$5</definedName>
    <definedName name="_xlnm._FilterDatabase" localSheetId="12" hidden="1">'ZV Vykáz.-A Detail'!$A$5:$R$5</definedName>
    <definedName name="_xlnm._FilterDatabase" localSheetId="11" hidden="1">'ZV Vykáz.-A Lékaři'!$A$4:$A$5</definedName>
    <definedName name="_xlnm._FilterDatabase" localSheetId="15" hidden="1">'ZV Vykáz.-H Detail'!$A$5:$Q$5</definedName>
    <definedName name="doměsíce">'HI Graf'!$C$11</definedName>
    <definedName name="Obdobi" localSheetId="9">'ON Data'!$B$3:$B$16</definedName>
    <definedName name="Obdobi" localSheetId="8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431" l="1"/>
  <c r="D9" i="431"/>
  <c r="E9" i="431"/>
  <c r="F9" i="431"/>
  <c r="G9" i="431"/>
  <c r="H9" i="431"/>
  <c r="I9" i="431"/>
  <c r="J9" i="431"/>
  <c r="K9" i="431"/>
  <c r="L9" i="431"/>
  <c r="M9" i="431"/>
  <c r="N9" i="431"/>
  <c r="O9" i="431"/>
  <c r="P9" i="431"/>
  <c r="Q9" i="431"/>
  <c r="D10" i="431"/>
  <c r="G10" i="431"/>
  <c r="I10" i="431"/>
  <c r="L10" i="431"/>
  <c r="N10" i="431"/>
  <c r="Q10" i="431"/>
  <c r="C11" i="431"/>
  <c r="I11" i="431"/>
  <c r="O11" i="431"/>
  <c r="D12" i="431"/>
  <c r="I12" i="431"/>
  <c r="O12" i="431"/>
  <c r="C10" i="431"/>
  <c r="J10" i="431"/>
  <c r="O10" i="431"/>
  <c r="G11" i="431"/>
  <c r="N11" i="431"/>
  <c r="C12" i="431"/>
  <c r="M12" i="431"/>
  <c r="C13" i="431"/>
  <c r="D13" i="431"/>
  <c r="E13" i="431"/>
  <c r="F13" i="431"/>
  <c r="G13" i="431"/>
  <c r="H13" i="431"/>
  <c r="I13" i="431"/>
  <c r="J13" i="431"/>
  <c r="K13" i="431"/>
  <c r="L13" i="431"/>
  <c r="M13" i="431"/>
  <c r="N13" i="431"/>
  <c r="O13" i="431"/>
  <c r="P13" i="431"/>
  <c r="Q13" i="431"/>
  <c r="E15" i="431"/>
  <c r="G15" i="431"/>
  <c r="I15" i="431"/>
  <c r="L15" i="431"/>
  <c r="N15" i="431"/>
  <c r="Q15" i="431"/>
  <c r="F11" i="431"/>
  <c r="J11" i="431"/>
  <c r="P11" i="431"/>
  <c r="E12" i="431"/>
  <c r="J12" i="431"/>
  <c r="P12" i="431"/>
  <c r="C14" i="431"/>
  <c r="D14" i="431"/>
  <c r="E14" i="431"/>
  <c r="F14" i="431"/>
  <c r="G14" i="431"/>
  <c r="H14" i="431"/>
  <c r="I14" i="431"/>
  <c r="J14" i="431"/>
  <c r="K14" i="431"/>
  <c r="L14" i="431"/>
  <c r="M14" i="431"/>
  <c r="N14" i="431"/>
  <c r="O14" i="431"/>
  <c r="P14" i="431"/>
  <c r="Q14" i="431"/>
  <c r="D15" i="431"/>
  <c r="F15" i="431"/>
  <c r="H15" i="431"/>
  <c r="K15" i="431"/>
  <c r="M15" i="431"/>
  <c r="P15" i="431"/>
  <c r="E11" i="431"/>
  <c r="K11" i="431"/>
  <c r="Q11" i="431"/>
  <c r="G12" i="431"/>
  <c r="K12" i="431"/>
  <c r="Q12" i="431"/>
  <c r="C15" i="431"/>
  <c r="J15" i="431"/>
  <c r="O15" i="431"/>
  <c r="H11" i="431"/>
  <c r="M11" i="431"/>
  <c r="H12" i="431"/>
  <c r="N12" i="431"/>
  <c r="C16" i="431"/>
  <c r="D16" i="431"/>
  <c r="E16" i="431"/>
  <c r="F16" i="431"/>
  <c r="G16" i="431"/>
  <c r="H16" i="431"/>
  <c r="I16" i="431"/>
  <c r="J16" i="431"/>
  <c r="K16" i="431"/>
  <c r="L16" i="431"/>
  <c r="M16" i="431"/>
  <c r="N16" i="431"/>
  <c r="O16" i="431"/>
  <c r="P16" i="431"/>
  <c r="Q16" i="431"/>
  <c r="E10" i="431"/>
  <c r="F10" i="431"/>
  <c r="H10" i="431"/>
  <c r="K10" i="431"/>
  <c r="M10" i="431"/>
  <c r="P10" i="431"/>
  <c r="D11" i="431"/>
  <c r="L11" i="431"/>
  <c r="F12" i="431"/>
  <c r="L12" i="431"/>
  <c r="O8" i="431"/>
  <c r="M8" i="431"/>
  <c r="K8" i="431"/>
  <c r="C8" i="431"/>
  <c r="P8" i="431"/>
  <c r="N8" i="431"/>
  <c r="E8" i="431"/>
  <c r="L8" i="431"/>
  <c r="I8" i="431"/>
  <c r="Q8" i="431"/>
  <c r="H8" i="431"/>
  <c r="F8" i="431"/>
  <c r="J8" i="431"/>
  <c r="G8" i="431"/>
  <c r="D8" i="431"/>
  <c r="R16" i="431" l="1"/>
  <c r="S16" i="431"/>
  <c r="S12" i="431"/>
  <c r="R12" i="431"/>
  <c r="S11" i="431"/>
  <c r="R11" i="431"/>
  <c r="S14" i="431"/>
  <c r="R14" i="431"/>
  <c r="R15" i="431"/>
  <c r="S15" i="431"/>
  <c r="R13" i="431"/>
  <c r="S13" i="431"/>
  <c r="R10" i="431"/>
  <c r="S10" i="431"/>
  <c r="R9" i="431"/>
  <c r="S9" i="431"/>
  <c r="C6" i="43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18" i="414" l="1"/>
  <c r="E18" i="414" s="1"/>
  <c r="D17" i="414"/>
  <c r="A1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6" i="414" s="1"/>
  <c r="C11" i="339"/>
  <c r="E17" i="414"/>
  <c r="A18" i="414"/>
  <c r="A17" i="414"/>
  <c r="A16" i="414"/>
  <c r="A7" i="414" l="1"/>
  <c r="A17" i="383" l="1"/>
  <c r="G3" i="429"/>
  <c r="F3" i="429"/>
  <c r="E3" i="429"/>
  <c r="D3" i="429"/>
  <c r="C3" i="429"/>
  <c r="B3" i="429"/>
  <c r="C11" i="340" l="1"/>
  <c r="A12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0" i="414" l="1"/>
  <c r="A15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19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19" i="414"/>
  <c r="A11" i="414"/>
  <c r="A12" i="414"/>
  <c r="A4" i="414"/>
  <c r="A6" i="339" l="1"/>
  <c r="A5" i="339"/>
  <c r="D4" i="414"/>
  <c r="C12" i="414"/>
  <c r="D12" i="414"/>
  <c r="C15" i="414"/>
  <c r="D15" i="414"/>
  <c r="C11" i="414" l="1"/>
  <c r="C7" i="414"/>
  <c r="E19" i="414" l="1"/>
  <c r="E16" i="414"/>
  <c r="E11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D20" i="414"/>
  <c r="C20" i="414"/>
  <c r="I12" i="339" l="1"/>
  <c r="I13" i="339" s="1"/>
  <c r="F13" i="339"/>
  <c r="E13" i="339"/>
  <c r="E15" i="339" s="1"/>
  <c r="H12" i="339"/>
  <c r="G12" i="339"/>
  <c r="A4" i="383"/>
  <c r="A21" i="383"/>
  <c r="A20" i="383"/>
  <c r="A18" i="383"/>
  <c r="A16" i="383"/>
  <c r="A13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4" i="414"/>
  <c r="C4" i="414"/>
  <c r="J13" i="339" l="1"/>
  <c r="B15" i="339"/>
  <c r="H13" i="339"/>
  <c r="F15" i="339"/>
  <c r="E12" i="414"/>
  <c r="E4" i="414"/>
  <c r="C6" i="340"/>
  <c r="D6" i="340" s="1"/>
  <c r="B4" i="340"/>
  <c r="G13" i="339"/>
  <c r="B13" i="340" l="1"/>
  <c r="B12" i="340"/>
  <c r="G15" i="339"/>
  <c r="H15" i="339"/>
  <c r="C4" i="340"/>
  <c r="E15" i="414"/>
  <c r="E20" i="414"/>
  <c r="D4" i="340"/>
  <c r="E6" i="340"/>
  <c r="C14" i="414"/>
  <c r="E14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<sst xmlns="http://schemas.openxmlformats.org/spreadsheetml/2006/main" count="1766" uniqueCount="466">
  <si>
    <t>NS</t>
  </si>
  <si>
    <t>Účet</t>
  </si>
  <si>
    <t>%</t>
  </si>
  <si>
    <t>Celkem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</si>
  <si>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</si>
  <si>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</si>
  <si>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</si>
  <si>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</si>
  <si>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</si>
  <si>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</si>
  <si>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</si>
  <si>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</si>
  <si>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</si>
  <si>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</si>
  <si>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</si>
  <si>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</si>
  <si>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</si>
  <si>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</si>
  <si>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</si>
  <si>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</si>
  <si>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</si>
  <si>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</si>
  <si>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</si>
  <si>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</si>
  <si>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</si>
  <si>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</si>
  <si>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</si>
  <si>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</si>
  <si>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</si>
  <si>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</si>
  <si>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</si>
  <si>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</si>
  <si>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</si>
  <si>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</si>
  <si>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</si>
  <si>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</si>
  <si>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</si>
  <si>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</si>
  <si>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</si>
  <si>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</si>
  <si>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</si>
  <si>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</si>
  <si>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</si>
  <si>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</si>
  <si>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</si>
  <si>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</si>
  <si>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</si>
  <si>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</si>
  <si>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</si>
  <si>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</si>
  <si>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</si>
  <si>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</si>
  <si>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</si>
  <si>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</si>
  <si>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</si>
  <si>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</si>
  <si>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</si>
  <si>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</si>
  <si>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</si>
  <si>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</si>
  <si>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</si>
  <si>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</si>
  <si>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</si>
  <si>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</si>
  <si>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</si>
  <si>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</si>
  <si>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</si>
  <si>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</si>
  <si>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</si>
  <si>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</si>
  <si>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</si>
  <si>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</si>
  <si>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</si>
  <si>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</si>
  <si>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</si>
  <si>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</si>
  <si>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</si>
  <si>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</si>
  <si>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</si>
  <si>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</si>
  <si>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</si>
  <si>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</si>
  <si>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</si>
  <si>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</si>
  <si>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</si>
  <si>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</si>
  <si>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</si>
  <si>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</si>
  <si>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</si>
  <si>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</si>
  <si>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Materiál Žádanky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</si>
  <si>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</si>
  <si>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</si>
  <si>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</si>
  <si>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</si>
  <si>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</si>
  <si>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</si>
  <si>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</si>
  <si>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</si>
  <si>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</si>
  <si>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</si>
  <si>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</si>
  <si>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</si>
  <si>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</si>
  <si>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</si>
  <si>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</si>
  <si>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</si>
  <si>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</si>
  <si>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</si>
  <si>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</si>
  <si>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</si>
  <si>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</si>
  <si>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</si>
  <si>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</si>
  <si>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</si>
  <si>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</si>
  <si>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</si>
  <si>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</si>
  <si>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</si>
  <si>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</si>
  <si>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</si>
  <si>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</si>
  <si>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</si>
  <si>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</si>
  <si>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</si>
  <si>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</si>
  <si>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</si>
  <si>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</si>
  <si>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</si>
  <si>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</si>
  <si>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</si>
  <si>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</si>
  <si>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</si>
  <si>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</si>
  <si>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</si>
  <si>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</si>
  <si>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</si>
  <si>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</si>
  <si>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</si>
  <si>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</si>
  <si>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</si>
  <si>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</si>
  <si>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</si>
  <si>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</si>
  <si>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</si>
  <si>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</si>
  <si>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</si>
  <si>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</si>
  <si>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</si>
  <si>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</si>
  <si>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</si>
  <si>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</si>
  <si>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</si>
  <si>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</si>
  <si>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</si>
  <si>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</si>
  <si>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</si>
  <si>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</si>
  <si>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</si>
  <si>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</si>
  <si>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</si>
  <si>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</si>
  <si>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</si>
  <si>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</si>
  <si>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</si>
  <si>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</si>
  <si>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</si>
  <si>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</si>
  <si>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</si>
  <si>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</si>
  <si>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</si>
  <si>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</si>
  <si>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</si>
  <si>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</si>
  <si>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</si>
  <si>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</si>
  <si>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</si>
  <si>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</si>
  <si>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</si>
  <si>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</si>
  <si>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</si>
  <si>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</si>
  <si>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</si>
  <si>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</si>
  <si>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</si>
  <si>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</si>
  <si>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</si>
  <si>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</si>
  <si>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</si>
  <si>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</si>
  <si>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</si>
  <si>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</si>
  <si>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</si>
  <si>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</si>
  <si>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</si>
  <si>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</si>
  <si>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</si>
  <si>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</si>
  <si>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</si>
  <si>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</si>
  <si>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</si>
  <si>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</si>
  <si>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</si>
  <si>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</si>
  <si>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</si>
  <si>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</si>
  <si>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</si>
  <si>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</si>
  <si>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1.-6.měsíc | Oddělení klinické psychologie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</si>
  <si>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</si>
  <si>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</si>
  <si>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</si>
  <si>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</si>
  <si>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</si>
  <si>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50113     Léky a léčiva</t>
  </si>
  <si>
    <t>--</t>
  </si>
  <si>
    <t>50113001     léky - paušál (LEK)</t>
  </si>
  <si>
    <t>50115     Zdravotnické prostředky</t>
  </si>
  <si>
    <t>50115050     obvazový materiál (Z502)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</si>
  <si>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</si>
  <si>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</si>
  <si>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</si>
  <si>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</si>
  <si>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</si>
  <si>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</si>
  <si>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50117015     IT - spotřební materiál (sk. P37, 38, 48)</t>
  </si>
  <si>
    <t>50117024     všeob.mat. - ostatní-vyjímky (V44) od 0,01 do 999,99</t>
  </si>
  <si>
    <t>50118     Náhradní díly</t>
  </si>
  <si>
    <t>50118006     ND - ZVIT (sk.B63)</t>
  </si>
  <si>
    <t>50119     DDHM a textil</t>
  </si>
  <si>
    <t>50119077     OOPP a prádlo pro zaměstnance (sk.T14)</t>
  </si>
  <si>
    <t>50160     Knihy a časopisy</t>
  </si>
  <si>
    <t>50160002     knihy a časopisy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</si>
  <si>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</si>
  <si>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</si>
  <si>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</si>
  <si>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</si>
  <si>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</si>
  <si>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</si>
  <si>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</si>
  <si>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</si>
  <si>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</si>
  <si>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</si>
  <si>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</si>
  <si>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</si>
  <si>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</si>
  <si>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</si>
  <si>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</si>
  <si>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</si>
  <si>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51806     Úklid, odpad, desinf., deratizace</t>
  </si>
  <si>
    <t>51806001     úklid. služby - paušál</t>
  </si>
  <si>
    <t>51806002     úklid. služby - více práce</t>
  </si>
  <si>
    <t>51806007     praní prádla</t>
  </si>
  <si>
    <t>51808     Revize a smluvní servisy majetku</t>
  </si>
  <si>
    <t>51808007     revize, sml.servis - energetik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</si>
  <si>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</si>
  <si>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</si>
  <si>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</si>
  <si>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</si>
  <si>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</si>
  <si>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</si>
  <si>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</si>
  <si>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</si>
  <si>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</si>
  <si>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</si>
  <si>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</si>
  <si>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</si>
  <si>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525     Jiné sociální pojištění</t>
  </si>
  <si>
    <t>52510     Jiné sociální pojištění</t>
  </si>
  <si>
    <t>52510000     pojištění zaměstnanců (čtvrtletně)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</si>
  <si>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</si>
  <si>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</si>
  <si>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</si>
  <si>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</si>
  <si>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</si>
  <si>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</si>
  <si>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</si>
  <si>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</si>
  <si>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</si>
  <si>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</si>
  <si>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</si>
  <si>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</si>
  <si>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</si>
  <si>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</si>
  <si>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</si>
  <si>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</si>
  <si>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55110005     odpisy DHM - ostatní z odpisů</t>
  </si>
  <si>
    <t>55110013     odpisy DHM - budovy z dotací</t>
  </si>
  <si>
    <t>558     Náklady z drobného dlouhodobého majetku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</si>
  <si>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</si>
  <si>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</si>
  <si>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</si>
  <si>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</si>
  <si>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</si>
  <si>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</si>
  <si>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</si>
  <si>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</si>
  <si>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</si>
  <si>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</si>
  <si>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</si>
  <si>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ZP sled.položky  OZPI</t>
  </si>
  <si>
    <t>60229202     výkony pojišť.EHS, výkony za cizinci (mimo EHS)</t>
  </si>
  <si>
    <t>60229208     výkony + mater. - ZP na výkon</t>
  </si>
  <si>
    <t>60245     Fakturace ZP - běžný rok (paušál)   OZPI</t>
  </si>
  <si>
    <t>60245400     tržby VZP za zdrav.péči - paušál</t>
  </si>
  <si>
    <t>60245401     tržby ZP za zdrav.péči - paušál</t>
  </si>
  <si>
    <t>60246     Dorovnání péče ZP - min.let         OZPI</t>
  </si>
  <si>
    <t>60246400     tržby VZP za zdrav.péči - dorovnání min.let</t>
  </si>
  <si>
    <t>60246401     tržby 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</si>
  <si>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</si>
  <si>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</si>
  <si>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</si>
  <si>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</si>
  <si>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</si>
  <si>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</si>
  <si>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</si>
  <si>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</si>
  <si>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64924450     poštovné, balné za odeslání</t>
  </si>
  <si>
    <t>64924459     školení, stáže, odb. semináře, konference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</si>
  <si>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</si>
  <si>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</si>
  <si>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</si>
  <si>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</si>
  <si>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</si>
  <si>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</si>
  <si>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</si>
  <si>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79903003     výkony dopravy - nákladní</t>
  </si>
  <si>
    <t>79905     Distribuce prádle (stř.9412)</t>
  </si>
  <si>
    <t>79905001     režie - distribuce prádle (stř.9412)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</si>
  <si>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</si>
  <si>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</si>
  <si>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</si>
  <si>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</si>
  <si>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</si>
  <si>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</si>
  <si>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39</t>
  </si>
  <si>
    <t>OKPSY: Oddělení klinické psychologie</t>
  </si>
  <si>
    <t/>
  </si>
  <si>
    <t>50113001 - léky - paušál (LEK)</t>
  </si>
  <si>
    <t>OKPSY: Oddělení klinické psychologie Celkem</t>
  </si>
  <si>
    <t>SumaKL</t>
  </si>
  <si>
    <t>3921</t>
  </si>
  <si>
    <t>OKPSY: ambulance - odborná poradna</t>
  </si>
  <si>
    <t>OKPSY: ambulance - odborná poradna Celkem</t>
  </si>
  <si>
    <t>SumaNS</t>
  </si>
  <si>
    <t>mezeraNS</t>
  </si>
  <si>
    <t>50115050 - obvazový materiál (Z502)</t>
  </si>
  <si>
    <t>2 VŠ NLZP</t>
  </si>
  <si>
    <t>4 THP</t>
  </si>
  <si>
    <t>1 Celkem</t>
  </si>
  <si>
    <t>2 Celkem</t>
  </si>
  <si>
    <t>3 Celkem</t>
  </si>
  <si>
    <t>4 Celkem</t>
  </si>
  <si>
    <t>5 Celkem</t>
  </si>
  <si>
    <t>3 NLZP</t>
  </si>
  <si>
    <t>6 Celkem</t>
  </si>
  <si>
    <t>ON Data</t>
  </si>
  <si>
    <t>kliničtí psychologové</t>
  </si>
  <si>
    <t>kliničtí psychologové spec.</t>
  </si>
  <si>
    <t>kliničtí psychologové spec. a zvl.odb.</t>
  </si>
  <si>
    <t>odborní pracovníci v lab. metodách</t>
  </si>
  <si>
    <t>všeobecné sestry bez dohl.</t>
  </si>
  <si>
    <t>THP</t>
  </si>
  <si>
    <t>Specializovaná ambulantní péče</t>
  </si>
  <si>
    <t>901 - Pracoviště klinické psychologie</t>
  </si>
  <si>
    <t>Zdravotní výkony vykázané na pracovišti v rámci ambulantní péče *</t>
  </si>
  <si>
    <t>beze jména</t>
  </si>
  <si>
    <t>se jménem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</si>
  <si>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</si>
  <si>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</si>
  <si>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</si>
  <si>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Dařílková Naděžda</t>
  </si>
  <si>
    <t>Dlabačová Marie</t>
  </si>
  <si>
    <t>Hniličková Karolína</t>
  </si>
  <si>
    <t>Hubáčková Lia</t>
  </si>
  <si>
    <t>Kasalová Petra</t>
  </si>
  <si>
    <t>Kolářová Jana</t>
  </si>
  <si>
    <t>Kreiselová Silvie</t>
  </si>
  <si>
    <t>Kubíček Zdenek</t>
  </si>
  <si>
    <t>Otipková Denisa</t>
  </si>
  <si>
    <t>Pijáčková Marie</t>
  </si>
  <si>
    <t>Škrobánková Alexandra</t>
  </si>
  <si>
    <t>Šmídová Magdaléna</t>
  </si>
  <si>
    <t>Štecková Tereza</t>
  </si>
  <si>
    <t>Večerková Markéta</t>
  </si>
  <si>
    <t>Vojáková Vendula</t>
  </si>
  <si>
    <t>Zdravotní výkony vykázané na pracovišti v rámci ambulantní péče dle lékařů *</t>
  </si>
  <si>
    <t>06</t>
  </si>
  <si>
    <t>901</t>
  </si>
  <si>
    <t>V</t>
  </si>
  <si>
    <t>35050</t>
  </si>
  <si>
    <t xml:space="preserve">TELEFONICKÁ KONZULTACE PSYCHIATRA NEBO KLINICKÉHO </t>
  </si>
  <si>
    <t>35520</t>
  </si>
  <si>
    <t>PSYCHOTERAPIE INDIVIDUÁLNÍ SYSTEMATICKÁ, PROVÁDĚNÁ</t>
  </si>
  <si>
    <t>35610</t>
  </si>
  <si>
    <t xml:space="preserve">PSYCHOTERAPIE SKUPINOVÁ, TYP I., PRO SKUPINU MAX. </t>
  </si>
  <si>
    <t>35650</t>
  </si>
  <si>
    <t>RODINNÁ SYSTEMATICKÁ PSYCHOTERAPIE Á 30 MINUT</t>
  </si>
  <si>
    <t>37115</t>
  </si>
  <si>
    <t>KRIZOVÁ INTERVENCE(Á 30 MINUT)</t>
  </si>
  <si>
    <t>09543</t>
  </si>
  <si>
    <t>Signalni kod</t>
  </si>
  <si>
    <t>37022</t>
  </si>
  <si>
    <t>CÍLENÉ PSYCHOLOGICKÉ VYŠETŘENÍ (Á 60 MINUT)</t>
  </si>
  <si>
    <t>37062</t>
  </si>
  <si>
    <t>CÍLENÉ PEDOPSYCHOLOGICKÉ VYŠETŘENÍ (Á 60 MINUT)</t>
  </si>
  <si>
    <t>37063</t>
  </si>
  <si>
    <t>KONTROLNÍ PEDOPSYCHOLOGICKÉ VYŠETŘENÍ (Á 30 MINUT)</t>
  </si>
  <si>
    <t>37061</t>
  </si>
  <si>
    <t>KOMPLEXNÍ PEDOPSYCHOLOGICKÉ VYŠETŘENÍ (Á 60 MINUT)</t>
  </si>
  <si>
    <t>37021</t>
  </si>
  <si>
    <t>KOMPLEXNÍ PSYCHOLOGICKÉ VYŠETŘENÍ (Á 60 MINUT)</t>
  </si>
  <si>
    <t>37023</t>
  </si>
  <si>
    <t>KONTROLNÍ PSYCHOLOGICKÉ VYŠETŘENÍ (Á 30 MINUT)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</si>
  <si>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</si>
  <si>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</si>
  <si>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</si>
  <si>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</si>
  <si>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</si>
  <si>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</si>
  <si>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</si>
  <si>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</si>
  <si>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</si>
  <si>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</si>
  <si>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09 - NOVO: Novorozenecké oddělení</t>
  </si>
  <si>
    <t>10 - DK: Dětská klinika</t>
  </si>
  <si>
    <t>11 - ORT: Ortopedická klinika</t>
  </si>
  <si>
    <t>12 - UROL: Urologická klinika</t>
  </si>
  <si>
    <t>13 - ORL: Klinika otorinolaryngolog. a chir.hlav.a krku</t>
  </si>
  <si>
    <t>14 - OCNI: Oční klinika</t>
  </si>
  <si>
    <t>16 - PLIC: Klinika plicních nemocí a tuber.</t>
  </si>
  <si>
    <t>17 - NEUR: Neurologická klinika</t>
  </si>
  <si>
    <t>18 - PSY: Klinika psychiatrie</t>
  </si>
  <si>
    <t>20 - KOZNI: Klinika chorob kožních a pohl.</t>
  </si>
  <si>
    <t>21 - ONK: Onkologická klinika</t>
  </si>
  <si>
    <t>26 - RHC: Oddělení rehabilitace</t>
  </si>
  <si>
    <t>30 - GER: Oddělení geriatrie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</si>
  <si>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</si>
  <si>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</si>
  <si>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</si>
  <si>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</si>
  <si>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01</t>
  </si>
  <si>
    <t>02</t>
  </si>
  <si>
    <t>03</t>
  </si>
  <si>
    <t>04</t>
  </si>
  <si>
    <t>05</t>
  </si>
  <si>
    <t>07</t>
  </si>
  <si>
    <t>08</t>
  </si>
  <si>
    <t>09</t>
  </si>
  <si>
    <t>10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</si>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</sst>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97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66">
    <xf numFmtId="0" fontId="0" fillId="0" borderId="0" xfId="0"/>
    <xf numFmtId="0" fontId="27" fillId="2" borderId="17" xfId="80" applyFont="1" applyFill="1" applyBorder="1"/>
    <xf numFmtId="0" fontId="28" fillId="2" borderId="18" xfId="80" applyFont="1" applyFill="1" applyBorder="1"/>
    <xf numFmtId="3" fontId="28" fillId="2" borderId="19" xfId="80" applyNumberFormat="1" applyFont="1" applyFill="1" applyBorder="1"/>
    <xf numFmtId="0" fontId="28" fillId="4" borderId="18" xfId="80" applyFont="1" applyFill="1" applyBorder="1"/>
    <xf numFmtId="3" fontId="28" fillId="4" borderId="19" xfId="80" applyNumberFormat="1" applyFont="1" applyFill="1" applyBorder="1"/>
    <xf numFmtId="171" fontId="28" fillId="3" borderId="19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0" applyNumberFormat="1" applyFont="1" applyFill="1" applyBorder="1"/>
    <xf numFmtId="3" fontId="27" fillId="5" borderId="8" xfId="80" applyNumberFormat="1" applyFont="1" applyFill="1" applyBorder="1"/>
    <xf numFmtId="3" fontId="27" fillId="5" borderId="12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0" applyNumberFormat="1" applyFont="1" applyFill="1" applyBorder="1"/>
    <xf numFmtId="3" fontId="27" fillId="5" borderId="29" xfId="80" applyNumberFormat="1" applyFont="1" applyFill="1" applyBorder="1"/>
    <xf numFmtId="3" fontId="27" fillId="5" borderId="25" xfId="80" applyNumberFormat="1" applyFont="1" applyFill="1" applyBorder="1"/>
    <xf numFmtId="3" fontId="27" fillId="5" borderId="9" xfId="80" applyNumberFormat="1" applyFont="1" applyFill="1" applyBorder="1"/>
    <xf numFmtId="3" fontId="27" fillId="5" borderId="10" xfId="80" applyNumberFormat="1" applyFont="1" applyFill="1" applyBorder="1"/>
    <xf numFmtId="3" fontId="27" fillId="5" borderId="13" xfId="80" applyNumberFormat="1" applyFont="1" applyFill="1" applyBorder="1"/>
    <xf numFmtId="3" fontId="27" fillId="5" borderId="14" xfId="80" applyNumberFormat="1" applyFont="1" applyFill="1" applyBorder="1"/>
    <xf numFmtId="3" fontId="28" fillId="2" borderId="27" xfId="80" applyNumberFormat="1" applyFont="1" applyFill="1" applyBorder="1"/>
    <xf numFmtId="3" fontId="28" fillId="2" borderId="20" xfId="80" applyNumberFormat="1" applyFont="1" applyFill="1" applyBorder="1"/>
    <xf numFmtId="3" fontId="28" fillId="4" borderId="27" xfId="80" applyNumberFormat="1" applyFont="1" applyFill="1" applyBorder="1"/>
    <xf numFmtId="3" fontId="28" fillId="4" borderId="20" xfId="80" applyNumberFormat="1" applyFont="1" applyFill="1" applyBorder="1"/>
    <xf numFmtId="171" fontId="28" fillId="3" borderId="27" xfId="80" applyNumberFormat="1" applyFont="1" applyFill="1" applyBorder="1"/>
    <xf numFmtId="171" fontId="28" fillId="3" borderId="20" xfId="80" applyNumberFormat="1" applyFont="1" applyFill="1" applyBorder="1"/>
    <xf numFmtId="0" fontId="31" fillId="2" borderId="25" xfId="80" applyFont="1" applyFill="1" applyBorder="1" applyAlignment="1">
      <alignment horizontal="center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6" xfId="81" applyFont="1" applyFill="1" applyBorder="1" applyAlignment="1"/>
    <xf numFmtId="164" fontId="3" fillId="0" borderId="57" xfId="53" applyNumberFormat="1" applyFont="1" applyFill="1" applyBorder="1"/>
    <xf numFmtId="9" fontId="3" fillId="0" borderId="57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2" xfId="0" applyFont="1" applyFill="1" applyBorder="1" applyAlignment="1"/>
    <xf numFmtId="0" fontId="3" fillId="2" borderId="55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4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0" fontId="31" fillId="2" borderId="44" xfId="0" applyFont="1" applyFill="1" applyBorder="1" applyAlignment="1">
      <alignment horizontal="center"/>
    </xf>
    <xf numFmtId="3" fontId="3" fillId="0" borderId="56" xfId="53" applyNumberFormat="1" applyFont="1" applyFill="1" applyBorder="1"/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0" fontId="31" fillId="2" borderId="44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0" xfId="74" applyFont="1" applyFill="1" applyBorder="1" applyAlignment="1">
      <alignment horizontal="center"/>
    </xf>
    <xf numFmtId="0" fontId="27" fillId="5" borderId="36" xfId="80" applyFont="1" applyFill="1" applyBorder="1"/>
    <xf numFmtId="0" fontId="31" fillId="2" borderId="23" xfId="80" applyFont="1" applyFill="1" applyBorder="1" applyAlignment="1">
      <alignment horizontal="center"/>
    </xf>
    <xf numFmtId="0" fontId="31" fillId="2" borderId="22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7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0" applyNumberFormat="1" applyFont="1" applyFill="1" applyBorder="1"/>
    <xf numFmtId="9" fontId="28" fillId="4" borderId="20" xfId="80" applyNumberFormat="1" applyFont="1" applyFill="1" applyBorder="1"/>
    <xf numFmtId="9" fontId="28" fillId="3" borderId="20" xfId="80" applyNumberFormat="1" applyFont="1" applyFill="1" applyBorder="1"/>
    <xf numFmtId="0" fontId="31" fillId="2" borderId="21" xfId="80" applyFont="1" applyFill="1" applyBorder="1" applyAlignment="1">
      <alignment horizontal="center"/>
    </xf>
    <xf numFmtId="0" fontId="32" fillId="0" borderId="0" xfId="0" applyFont="1" applyFill="1"/>
    <xf numFmtId="0" fontId="32" fillId="0" borderId="44" xfId="0" applyFont="1" applyFill="1" applyBorder="1" applyAlignment="1"/>
    <xf numFmtId="0" fontId="32" fillId="0" borderId="0" xfId="0" applyFont="1" applyFill="1" applyAlignment="1"/>
    <xf numFmtId="0" fontId="45" fillId="4" borderId="33" xfId="1" applyFont="1" applyFill="1" applyBorder="1"/>
    <xf numFmtId="0" fontId="45" fillId="4" borderId="17" xfId="1" applyFont="1" applyFill="1" applyBorder="1"/>
    <xf numFmtId="0" fontId="45" fillId="3" borderId="18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45" fillId="3" borderId="8" xfId="1" applyFont="1" applyFill="1" applyBorder="1"/>
    <xf numFmtId="0" fontId="45" fillId="3" borderId="4" xfId="1" applyFont="1" applyFill="1" applyBorder="1"/>
    <xf numFmtId="0" fontId="45" fillId="6" borderId="4" xfId="1" applyFont="1" applyFill="1" applyBorder="1"/>
    <xf numFmtId="0" fontId="45" fillId="6" borderId="50" xfId="1" applyFont="1" applyFill="1" applyBorder="1"/>
    <xf numFmtId="0" fontId="45" fillId="2" borderId="4" xfId="1" applyFont="1" applyFill="1" applyBorder="1"/>
    <xf numFmtId="0" fontId="45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7" xfId="0" applyNumberFormat="1" applyFont="1" applyFill="1" applyBorder="1"/>
    <xf numFmtId="3" fontId="39" fillId="2" borderId="48" xfId="0" applyNumberFormat="1" applyFont="1" applyFill="1" applyBorder="1"/>
    <xf numFmtId="9" fontId="39" fillId="2" borderId="51" xfId="0" applyNumberFormat="1" applyFont="1" applyFill="1" applyBorder="1"/>
    <xf numFmtId="0" fontId="49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9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5" fillId="2" borderId="34" xfId="1" applyFont="1" applyFill="1" applyBorder="1" applyAlignment="1">
      <alignment horizontal="left" indent="2"/>
    </xf>
    <xf numFmtId="0" fontId="49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49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49" fillId="4" borderId="49" xfId="1" applyFont="1" applyFill="1" applyBorder="1" applyAlignment="1">
      <alignment horizontal="left"/>
    </xf>
    <xf numFmtId="0" fontId="45" fillId="4" borderId="34" xfId="1" applyFont="1" applyFill="1" applyBorder="1" applyAlignment="1">
      <alignment horizontal="left" indent="2"/>
    </xf>
    <xf numFmtId="0" fontId="49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4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0" applyFont="1" applyFill="1"/>
    <xf numFmtId="0" fontId="50" fillId="0" borderId="36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6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4" xfId="0" applyNumberFormat="1" applyFont="1" applyFill="1" applyBorder="1" applyAlignment="1"/>
    <xf numFmtId="9" fontId="32" fillId="0" borderId="44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3" fillId="0" borderId="0" xfId="1" applyFont="1" applyFill="1"/>
    <xf numFmtId="3" fontId="51" fillId="0" borderId="0" xfId="26" applyNumberFormat="1" applyFont="1" applyFill="1" applyBorder="1" applyAlignment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0" fontId="31" fillId="2" borderId="83" xfId="74" applyFont="1" applyFill="1" applyBorder="1" applyAlignment="1">
      <alignment horizontal="center"/>
    </xf>
    <xf numFmtId="0" fontId="31" fillId="2" borderId="66" xfId="80" applyFont="1" applyFill="1" applyBorder="1" applyAlignment="1">
      <alignment horizontal="center"/>
    </xf>
    <xf numFmtId="0" fontId="31" fillId="2" borderId="67" xfId="80" applyFont="1" applyFill="1" applyBorder="1" applyAlignment="1">
      <alignment horizontal="center"/>
    </xf>
    <xf numFmtId="0" fontId="31" fillId="2" borderId="68" xfId="80" applyFont="1" applyFill="1" applyBorder="1" applyAlignment="1">
      <alignment horizontal="center"/>
    </xf>
    <xf numFmtId="0" fontId="31" fillId="2" borderId="69" xfId="80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9" fontId="32" fillId="0" borderId="73" xfId="0" applyNumberFormat="1" applyFont="1" applyBorder="1" applyAlignment="1"/>
    <xf numFmtId="0" fontId="25" fillId="2" borderId="34" xfId="1" applyFill="1" applyBorder="1" applyAlignment="1">
      <alignment horizontal="left" indent="4"/>
    </xf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49" fontId="37" fillId="2" borderId="73" xfId="0" quotePrefix="1" applyNumberFormat="1" applyFont="1" applyFill="1" applyBorder="1" applyAlignment="1">
      <alignment horizontal="center" vertical="center"/>
    </xf>
    <xf numFmtId="0" fontId="25" fillId="4" borderId="71" xfId="1" applyFill="1" applyBorder="1" applyAlignment="1">
      <alignment horizontal="left" indent="4"/>
    </xf>
    <xf numFmtId="0" fontId="25" fillId="4" borderId="34" xfId="1" applyFill="1" applyBorder="1" applyAlignment="1">
      <alignment horizontal="left" indent="2"/>
    </xf>
    <xf numFmtId="0" fontId="32" fillId="0" borderId="72" xfId="0" applyFont="1" applyBorder="1"/>
    <xf numFmtId="0" fontId="31" fillId="2" borderId="62" xfId="0" applyFont="1" applyFill="1" applyBorder="1" applyAlignment="1">
      <alignment horizontal="center" vertical="top" wrapText="1"/>
    </xf>
    <xf numFmtId="0" fontId="25" fillId="6" borderId="4" xfId="1" applyFill="1" applyBorder="1"/>
    <xf numFmtId="0" fontId="31" fillId="2" borderId="38" xfId="80" applyFont="1" applyFill="1" applyBorder="1" applyAlignment="1">
      <alignment horizontal="center"/>
    </xf>
    <xf numFmtId="0" fontId="31" fillId="2" borderId="39" xfId="80" applyFont="1" applyFill="1" applyBorder="1" applyAlignment="1">
      <alignment horizontal="center"/>
    </xf>
    <xf numFmtId="0" fontId="31" fillId="2" borderId="24" xfId="74" applyFont="1" applyFill="1" applyBorder="1" applyAlignment="1">
      <alignment horizontal="center"/>
    </xf>
    <xf numFmtId="0" fontId="6" fillId="0" borderId="3" xfId="78" applyFont="1" applyFill="1" applyBorder="1" applyAlignment="1"/>
    <xf numFmtId="3" fontId="39" fillId="0" borderId="20" xfId="0" applyNumberFormat="1" applyFont="1" applyFill="1" applyBorder="1" applyAlignment="1"/>
    <xf numFmtId="0" fontId="39" fillId="2" borderId="18" xfId="0" applyFont="1" applyFill="1" applyBorder="1" applyAlignment="1">
      <alignment horizontal="right"/>
    </xf>
    <xf numFmtId="9" fontId="0" fillId="0" borderId="0" xfId="0" applyNumberFormat="1"/>
    <xf numFmtId="168" fontId="0" fillId="0" borderId="0" xfId="0" applyNumberFormat="1"/>
    <xf numFmtId="0" fontId="47" fillId="0" borderId="0" xfId="0" applyFont="1" applyFill="1" applyAlignment="1">
      <alignment horizontal="left" indent="2"/>
    </xf>
    <xf numFmtId="176" fontId="39" fillId="0" borderId="15" xfId="0" applyNumberFormat="1" applyFont="1" applyBorder="1" applyAlignment="1">
      <alignment vertical="center"/>
    </xf>
    <xf numFmtId="173" fontId="39" fillId="0" borderId="31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5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4" fillId="0" borderId="16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4" xfId="0" applyNumberFormat="1" applyFont="1" applyBorder="1" applyAlignment="1">
      <alignment horizontal="right" vertical="center"/>
    </xf>
    <xf numFmtId="9" fontId="39" fillId="0" borderId="88" xfId="0" applyNumberFormat="1" applyFont="1" applyBorder="1" applyAlignment="1">
      <alignment horizontal="right" vertical="center"/>
    </xf>
    <xf numFmtId="173" fontId="39" fillId="0" borderId="88" xfId="0" applyNumberFormat="1" applyFont="1" applyBorder="1" applyAlignment="1">
      <alignment horizontal="right" vertical="center"/>
    </xf>
    <xf numFmtId="173" fontId="39" fillId="0" borderId="60" xfId="0" applyNumberFormat="1" applyFont="1" applyBorder="1" applyAlignment="1">
      <alignment horizontal="right" vertical="center"/>
    </xf>
    <xf numFmtId="173" fontId="39" fillId="0" borderId="62" xfId="0" applyNumberFormat="1" applyFont="1" applyBorder="1" applyAlignment="1">
      <alignment vertical="center"/>
    </xf>
    <xf numFmtId="173" fontId="39" fillId="0" borderId="89" xfId="0" applyNumberFormat="1" applyFont="1" applyBorder="1" applyAlignment="1">
      <alignment vertical="center"/>
    </xf>
    <xf numFmtId="173" fontId="39" fillId="0" borderId="88" xfId="0" applyNumberFormat="1" applyFont="1" applyBorder="1" applyAlignment="1">
      <alignment vertical="center"/>
    </xf>
    <xf numFmtId="173" fontId="39" fillId="0" borderId="60" xfId="0" applyNumberFormat="1" applyFont="1" applyBorder="1" applyAlignment="1">
      <alignment vertical="center"/>
    </xf>
    <xf numFmtId="173" fontId="39" fillId="0" borderId="90" xfId="0" applyNumberFormat="1" applyFont="1" applyBorder="1" applyAlignment="1">
      <alignment vertical="center"/>
    </xf>
    <xf numFmtId="174" fontId="39" fillId="0" borderId="91" xfId="0" applyNumberFormat="1" applyFont="1" applyBorder="1" applyAlignment="1">
      <alignment vertical="center"/>
    </xf>
    <xf numFmtId="174" fontId="39" fillId="0" borderId="88" xfId="0" applyNumberFormat="1" applyFont="1" applyBorder="1" applyAlignment="1">
      <alignment vertical="center"/>
    </xf>
    <xf numFmtId="174" fontId="39" fillId="0" borderId="60" xfId="0" applyNumberFormat="1" applyFont="1" applyBorder="1" applyAlignment="1">
      <alignment vertical="center"/>
    </xf>
    <xf numFmtId="168" fontId="39" fillId="0" borderId="84" xfId="0" applyNumberFormat="1" applyFont="1" applyBorder="1" applyAlignment="1">
      <alignment vertical="center"/>
    </xf>
    <xf numFmtId="0" fontId="32" fillId="0" borderId="89" xfId="0" applyFont="1" applyBorder="1" applyAlignment="1">
      <alignment horizontal="center" vertical="center"/>
    </xf>
    <xf numFmtId="166" fontId="39" fillId="2" borderId="60" xfId="0" applyNumberFormat="1" applyFont="1" applyFill="1" applyBorder="1" applyAlignment="1">
      <alignment horizontal="center" vertical="center"/>
    </xf>
    <xf numFmtId="173" fontId="39" fillId="0" borderId="69" xfId="0" applyNumberFormat="1" applyFont="1" applyBorder="1" applyAlignment="1">
      <alignment horizontal="right" vertical="center"/>
    </xf>
    <xf numFmtId="175" fontId="39" fillId="0" borderId="68" xfId="0" applyNumberFormat="1" applyFont="1" applyBorder="1" applyAlignment="1">
      <alignment horizontal="right" vertical="center"/>
    </xf>
    <xf numFmtId="173" fontId="39" fillId="0" borderId="68" xfId="0" applyNumberFormat="1" applyFont="1" applyBorder="1" applyAlignment="1">
      <alignment horizontal="right" vertical="center"/>
    </xf>
    <xf numFmtId="173" fontId="39" fillId="0" borderId="69" xfId="0" applyNumberFormat="1" applyFont="1" applyBorder="1" applyAlignment="1">
      <alignment vertical="center"/>
    </xf>
    <xf numFmtId="173" fontId="39" fillId="0" borderId="68" xfId="0" applyNumberFormat="1" applyFont="1" applyBorder="1" applyAlignment="1">
      <alignment vertical="center"/>
    </xf>
    <xf numFmtId="173" fontId="39" fillId="0" borderId="67" xfId="0" applyNumberFormat="1" applyFont="1" applyBorder="1" applyAlignment="1">
      <alignment vertical="center"/>
    </xf>
    <xf numFmtId="176" fontId="39" fillId="0" borderId="67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4" fillId="9" borderId="73" xfId="0" quotePrefix="1" applyFont="1" applyFill="1" applyBorder="1" applyAlignment="1">
      <alignment horizontal="center" vertical="center" wrapText="1"/>
    </xf>
    <xf numFmtId="0" fontId="40" fillId="9" borderId="73" xfId="0" quotePrefix="1" applyFont="1" applyFill="1" applyBorder="1" applyAlignment="1">
      <alignment horizontal="center" vertical="center" wrapText="1"/>
    </xf>
    <xf numFmtId="0" fontId="40" fillId="9" borderId="72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97" xfId="0" applyNumberFormat="1" applyFont="1" applyFill="1" applyBorder="1"/>
    <xf numFmtId="3" fontId="0" fillId="7" borderId="61" xfId="0" applyNumberFormat="1" applyFont="1" applyFill="1" applyBorder="1"/>
    <xf numFmtId="0" fontId="0" fillId="0" borderId="98" xfId="0" applyNumberFormat="1" applyFont="1" applyBorder="1"/>
    <xf numFmtId="3" fontId="0" fillId="0" borderId="99" xfId="0" applyNumberFormat="1" applyFont="1" applyBorder="1"/>
    <xf numFmtId="0" fontId="0" fillId="7" borderId="98" xfId="0" applyNumberFormat="1" applyFont="1" applyFill="1" applyBorder="1"/>
    <xf numFmtId="3" fontId="0" fillId="7" borderId="99" xfId="0" applyNumberFormat="1" applyFont="1" applyFill="1" applyBorder="1"/>
    <xf numFmtId="0" fontId="52" fillId="8" borderId="98" xfId="0" applyNumberFormat="1" applyFont="1" applyFill="1" applyBorder="1"/>
    <xf numFmtId="3" fontId="52" fillId="8" borderId="99" xfId="0" applyNumberFormat="1" applyFont="1" applyFill="1" applyBorder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6" xfId="80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2" xfId="80" applyFont="1" applyFill="1" applyBorder="1" applyAlignment="1">
      <alignment horizontal="center"/>
    </xf>
    <xf numFmtId="0" fontId="31" fillId="2" borderId="43" xfId="80" applyFont="1" applyFill="1" applyBorder="1" applyAlignment="1">
      <alignment horizontal="center"/>
    </xf>
    <xf numFmtId="0" fontId="31" fillId="2" borderId="40" xfId="80" applyFont="1" applyFill="1" applyBorder="1" applyAlignment="1">
      <alignment horizontal="center"/>
    </xf>
    <xf numFmtId="0" fontId="31" fillId="2" borderId="59" xfId="80" applyFont="1" applyFill="1" applyBorder="1" applyAlignment="1">
      <alignment horizontal="center"/>
    </xf>
    <xf numFmtId="0" fontId="31" fillId="2" borderId="41" xfId="80" applyFont="1" applyFill="1" applyBorder="1" applyAlignment="1">
      <alignment horizontal="center"/>
    </xf>
    <xf numFmtId="0" fontId="31" fillId="2" borderId="83" xfId="80" applyFont="1" applyFill="1" applyBorder="1" applyAlignment="1">
      <alignment horizontal="center"/>
    </xf>
    <xf numFmtId="0" fontId="31" fillId="2" borderId="70" xfId="80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81" xfId="80" applyFont="1" applyFill="1" applyBorder="1" applyAlignment="1">
      <alignment horizontal="center"/>
    </xf>
    <xf numFmtId="0" fontId="31" fillId="2" borderId="82" xfId="80" applyFont="1" applyFill="1" applyBorder="1" applyAlignment="1">
      <alignment horizontal="center"/>
    </xf>
    <xf numFmtId="0" fontId="31" fillId="2" borderId="78" xfId="80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6" fontId="39" fillId="2" borderId="67" xfId="0" applyNumberFormat="1" applyFont="1" applyFill="1" applyBorder="1" applyAlignment="1">
      <alignment horizontal="center" vertical="center"/>
    </xf>
    <xf numFmtId="0" fontId="32" fillId="0" borderId="92" xfId="0" applyFont="1" applyBorder="1" applyAlignment="1">
      <alignment horizontal="center" vertical="center"/>
    </xf>
    <xf numFmtId="0" fontId="54" fillId="4" borderId="85" xfId="0" applyFont="1" applyFill="1" applyBorder="1" applyAlignment="1">
      <alignment horizontal="center" vertical="center" wrapText="1"/>
    </xf>
    <xf numFmtId="0" fontId="54" fillId="4" borderId="93" xfId="0" applyFont="1" applyFill="1" applyBorder="1" applyAlignment="1">
      <alignment horizontal="center" vertical="center" wrapText="1"/>
    </xf>
    <xf numFmtId="0" fontId="54" fillId="4" borderId="76" xfId="0" applyFont="1" applyFill="1" applyBorder="1" applyAlignment="1">
      <alignment horizontal="center" vertical="center" wrapText="1"/>
    </xf>
    <xf numFmtId="0" fontId="54" fillId="4" borderId="86" xfId="0" applyFont="1" applyFill="1" applyBorder="1" applyAlignment="1">
      <alignment horizontal="center" vertical="center" wrapText="1"/>
    </xf>
    <xf numFmtId="0" fontId="54" fillId="4" borderId="77" xfId="0" applyFont="1" applyFill="1" applyBorder="1" applyAlignment="1">
      <alignment horizontal="center" vertical="center" wrapText="1"/>
    </xf>
    <xf numFmtId="0" fontId="54" fillId="4" borderId="87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4" fillId="2" borderId="85" xfId="0" applyNumberFormat="1" applyFont="1" applyFill="1" applyBorder="1" applyAlignment="1">
      <alignment horizontal="center" vertical="center" wrapText="1"/>
    </xf>
    <xf numFmtId="168" fontId="54" fillId="2" borderId="93" xfId="0" applyNumberFormat="1" applyFont="1" applyFill="1" applyBorder="1" applyAlignment="1">
      <alignment horizontal="center" vertical="center" wrapText="1"/>
    </xf>
    <xf numFmtId="0" fontId="54" fillId="2" borderId="76" xfId="0" applyFont="1" applyFill="1" applyBorder="1" applyAlignment="1">
      <alignment horizontal="center" vertical="center" wrapText="1"/>
    </xf>
    <xf numFmtId="0" fontId="54" fillId="2" borderId="86" xfId="0" applyFont="1" applyFill="1" applyBorder="1" applyAlignment="1">
      <alignment horizontal="center" vertical="center" wrapText="1"/>
    </xf>
    <xf numFmtId="0" fontId="54" fillId="2" borderId="77" xfId="0" applyFont="1" applyFill="1" applyBorder="1" applyAlignment="1">
      <alignment horizontal="center" vertical="center" wrapText="1"/>
    </xf>
    <xf numFmtId="0" fontId="54" fillId="2" borderId="87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4" fillId="4" borderId="76" xfId="0" applyNumberFormat="1" applyFont="1" applyFill="1" applyBorder="1" applyAlignment="1">
      <alignment horizontal="center" vertical="center"/>
    </xf>
    <xf numFmtId="3" fontId="54" fillId="4" borderId="86" xfId="0" applyNumberFormat="1" applyFont="1" applyFill="1" applyBorder="1" applyAlignment="1">
      <alignment horizontal="center" vertical="center"/>
    </xf>
    <xf numFmtId="9" fontId="54" fillId="4" borderId="76" xfId="0" applyNumberFormat="1" applyFont="1" applyFill="1" applyBorder="1" applyAlignment="1">
      <alignment horizontal="center" vertical="center"/>
    </xf>
    <xf numFmtId="9" fontId="54" fillId="4" borderId="86" xfId="0" applyNumberFormat="1" applyFont="1" applyFill="1" applyBorder="1" applyAlignment="1">
      <alignment horizontal="center" vertical="center"/>
    </xf>
    <xf numFmtId="3" fontId="54" fillId="4" borderId="77" xfId="0" applyNumberFormat="1" applyFont="1" applyFill="1" applyBorder="1" applyAlignment="1">
      <alignment horizontal="center" vertical="center" wrapText="1"/>
    </xf>
    <xf numFmtId="3" fontId="54" fillId="4" borderId="87" xfId="0" applyNumberFormat="1" applyFont="1" applyFill="1" applyBorder="1" applyAlignment="1">
      <alignment horizontal="center" vertical="center" wrapText="1"/>
    </xf>
    <xf numFmtId="0" fontId="39" fillId="2" borderId="94" xfId="0" applyFont="1" applyFill="1" applyBorder="1" applyAlignment="1">
      <alignment horizontal="center" vertical="center" wrapText="1"/>
    </xf>
    <xf numFmtId="0" fontId="39" fillId="2" borderId="79" xfId="0" applyFont="1" applyFill="1" applyBorder="1" applyAlignment="1">
      <alignment horizontal="center" vertical="center" wrapText="1"/>
    </xf>
    <xf numFmtId="0" fontId="54" fillId="9" borderId="96" xfId="0" applyFont="1" applyFill="1" applyBorder="1" applyAlignment="1">
      <alignment horizontal="center"/>
    </xf>
    <xf numFmtId="0" fontId="54" fillId="9" borderId="95" xfId="0" applyFont="1" applyFill="1" applyBorder="1" applyAlignment="1">
      <alignment horizontal="center"/>
    </xf>
    <xf numFmtId="0" fontId="54" fillId="9" borderId="75" xfId="0" applyFont="1" applyFill="1" applyBorder="1" applyAlignment="1">
      <alignment horizontal="center"/>
    </xf>
    <xf numFmtId="0" fontId="39" fillId="4" borderId="84" xfId="0" applyFont="1" applyFill="1" applyBorder="1" applyAlignment="1">
      <alignment horizontal="center" vertical="center" wrapText="1"/>
    </xf>
    <xf numFmtId="0" fontId="39" fillId="4" borderId="63" xfId="0" applyFont="1" applyFill="1" applyBorder="1" applyAlignment="1">
      <alignment horizontal="center" vertical="center" wrapText="1"/>
    </xf>
    <xf numFmtId="0" fontId="58" fillId="2" borderId="40" xfId="0" applyFont="1" applyFill="1" applyBorder="1" applyAlignment="1">
      <alignment horizontal="center"/>
    </xf>
    <xf numFmtId="0" fontId="58" fillId="2" borderId="81" xfId="0" applyFont="1" applyFill="1" applyBorder="1" applyAlignment="1">
      <alignment horizontal="center"/>
    </xf>
    <xf numFmtId="0" fontId="58" fillId="2" borderId="70" xfId="0" applyFont="1" applyFill="1" applyBorder="1" applyAlignment="1">
      <alignment horizontal="center"/>
    </xf>
    <xf numFmtId="0" fontId="58" fillId="4" borderId="24" xfId="0" applyFont="1" applyFill="1" applyBorder="1" applyAlignment="1">
      <alignment horizontal="center"/>
    </xf>
    <xf numFmtId="0" fontId="58" fillId="4" borderId="65" xfId="0" applyFont="1" applyFill="1" applyBorder="1" applyAlignment="1">
      <alignment horizontal="center"/>
    </xf>
    <xf numFmtId="0" fontId="58" fillId="4" borderId="66" xfId="0" applyFont="1" applyFill="1" applyBorder="1" applyAlignment="1">
      <alignment horizontal="center"/>
    </xf>
    <xf numFmtId="0" fontId="58" fillId="2" borderId="24" xfId="0" applyFont="1" applyFill="1" applyBorder="1" applyAlignment="1">
      <alignment horizontal="center"/>
    </xf>
    <xf numFmtId="0" fontId="58" fillId="2" borderId="65" xfId="0" applyFont="1" applyFill="1" applyBorder="1" applyAlignment="1">
      <alignment horizontal="center"/>
    </xf>
    <xf numFmtId="0" fontId="58" fillId="2" borderId="66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39" fillId="2" borderId="51" xfId="0" applyFont="1" applyFill="1" applyBorder="1" applyAlignment="1">
      <alignment vertical="center"/>
    </xf>
    <xf numFmtId="3" fontId="31" fillId="2" borderId="53" xfId="26" applyNumberFormat="1" applyFont="1" applyFill="1" applyBorder="1" applyAlignment="1">
      <alignment horizontal="center"/>
    </xf>
    <xf numFmtId="3" fontId="31" fillId="2" borderId="44" xfId="26" applyNumberFormat="1" applyFont="1" applyFill="1" applyBorder="1" applyAlignment="1">
      <alignment horizontal="center"/>
    </xf>
    <xf numFmtId="3" fontId="31" fillId="2" borderId="80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4" xfId="26" applyNumberFormat="1" applyFont="1" applyFill="1" applyBorder="1" applyAlignment="1">
      <alignment horizontal="center"/>
    </xf>
    <xf numFmtId="3" fontId="31" fillId="2" borderId="63" xfId="26" applyNumberFormat="1" applyFont="1" applyFill="1" applyBorder="1" applyAlignment="1">
      <alignment horizontal="center"/>
    </xf>
    <xf numFmtId="0" fontId="31" fillId="2" borderId="30" xfId="0" applyFont="1" applyFill="1" applyBorder="1" applyAlignment="1">
      <alignment horizontal="center" vertical="top" wrapText="1"/>
    </xf>
    <xf numFmtId="3" fontId="31" fillId="2" borderId="45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3" xfId="0" quotePrefix="1" applyFont="1" applyFill="1" applyBorder="1" applyAlignment="1">
      <alignment horizontal="center"/>
    </xf>
    <xf numFmtId="0" fontId="31" fillId="2" borderId="45" xfId="0" applyFont="1" applyFill="1" applyBorder="1" applyAlignment="1">
      <alignment horizontal="center"/>
    </xf>
    <xf numFmtId="9" fontId="43" fillId="2" borderId="45" xfId="0" applyNumberFormat="1" applyFont="1" applyFill="1" applyBorder="1" applyAlignment="1">
      <alignment horizontal="center" vertical="top"/>
    </xf>
    <xf numFmtId="0" fontId="31" fillId="2" borderId="62" xfId="0" applyNumberFormat="1" applyFont="1" applyFill="1" applyBorder="1" applyAlignment="1">
      <alignment horizontal="center" vertical="top"/>
    </xf>
    <xf numFmtId="0" fontId="31" fillId="2" borderId="62" xfId="0" applyFont="1" applyFill="1" applyBorder="1" applyAlignment="1">
      <alignment horizontal="center" vertical="top" wrapText="1"/>
    </xf>
    <xf numFmtId="0" fontId="31" fillId="2" borderId="53" xfId="0" quotePrefix="1" applyNumberFormat="1" applyFont="1" applyFill="1" applyBorder="1" applyAlignment="1">
      <alignment horizontal="center"/>
    </xf>
    <xf numFmtId="0" fontId="31" fillId="2" borderId="45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3" fillId="2" borderId="45" xfId="0" applyNumberFormat="1" applyFont="1" applyFill="1" applyBorder="1" applyAlignment="1">
      <alignment horizontal="center" vertical="top"/>
    </xf>
    <xf numFmtId="3" fontId="33" fillId="10" borderId="101" xfId="0" applyNumberFormat="1" applyFont="1" applyFill="1" applyBorder="1" applyAlignment="1">
      <alignment horizontal="right" vertical="top"/>
    </xf>
    <xf numFmtId="3" fontId="33" fillId="10" borderId="102" xfId="0" applyNumberFormat="1" applyFont="1" applyFill="1" applyBorder="1" applyAlignment="1">
      <alignment horizontal="right" vertical="top"/>
    </xf>
    <xf numFmtId="177" fontId="33" fillId="10" borderId="103" xfId="0" applyNumberFormat="1" applyFont="1" applyFill="1" applyBorder="1" applyAlignment="1">
      <alignment horizontal="right" vertical="top"/>
    </xf>
    <xf numFmtId="3" fontId="33" fillId="0" borderId="101" xfId="0" applyNumberFormat="1" applyFont="1" applyBorder="1" applyAlignment="1">
      <alignment horizontal="right" vertical="top"/>
    </xf>
    <xf numFmtId="177" fontId="33" fillId="10" borderId="104" xfId="0" applyNumberFormat="1" applyFont="1" applyFill="1" applyBorder="1" applyAlignment="1">
      <alignment horizontal="right" vertical="top"/>
    </xf>
    <xf numFmtId="3" fontId="35" fillId="10" borderId="106" xfId="0" applyNumberFormat="1" applyFont="1" applyFill="1" applyBorder="1" applyAlignment="1">
      <alignment horizontal="right" vertical="top"/>
    </xf>
    <xf numFmtId="3" fontId="35" fillId="10" borderId="107" xfId="0" applyNumberFormat="1" applyFont="1" applyFill="1" applyBorder="1" applyAlignment="1">
      <alignment horizontal="right" vertical="top"/>
    </xf>
    <xf numFmtId="0" fontId="35" fillId="10" borderId="108" xfId="0" applyFont="1" applyFill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177" fontId="35" fillId="10" borderId="109" xfId="0" applyNumberFormat="1" applyFont="1" applyFill="1" applyBorder="1" applyAlignment="1">
      <alignment horizontal="right" vertical="top"/>
    </xf>
    <xf numFmtId="0" fontId="33" fillId="10" borderId="103" xfId="0" applyFont="1" applyFill="1" applyBorder="1" applyAlignment="1">
      <alignment horizontal="right" vertical="top"/>
    </xf>
    <xf numFmtId="0" fontId="35" fillId="10" borderId="109" xfId="0" applyFont="1" applyFill="1" applyBorder="1" applyAlignment="1">
      <alignment horizontal="right" vertical="top"/>
    </xf>
    <xf numFmtId="0" fontId="33" fillId="10" borderId="104" xfId="0" applyFont="1" applyFill="1" applyBorder="1" applyAlignment="1">
      <alignment horizontal="right" vertical="top"/>
    </xf>
    <xf numFmtId="177" fontId="35" fillId="10" borderId="108" xfId="0" applyNumberFormat="1" applyFont="1" applyFill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3" fontId="35" fillId="0" borderId="111" xfId="0" applyNumberFormat="1" applyFont="1" applyBorder="1" applyAlignment="1">
      <alignment horizontal="right" vertical="top"/>
    </xf>
    <xf numFmtId="3" fontId="35" fillId="0" borderId="112" xfId="0" applyNumberFormat="1" applyFont="1" applyBorder="1" applyAlignment="1">
      <alignment horizontal="right" vertical="top"/>
    </xf>
    <xf numFmtId="177" fontId="35" fillId="10" borderId="113" xfId="0" applyNumberFormat="1" applyFont="1" applyFill="1" applyBorder="1" applyAlignment="1">
      <alignment horizontal="right" vertical="top"/>
    </xf>
    <xf numFmtId="0" fontId="37" fillId="11" borderId="100" xfId="0" applyFont="1" applyFill="1" applyBorder="1" applyAlignment="1">
      <alignment vertical="top"/>
    </xf>
    <xf numFmtId="0" fontId="37" fillId="11" borderId="100" xfId="0" applyFont="1" applyFill="1" applyBorder="1" applyAlignment="1">
      <alignment vertical="top" indent="2"/>
    </xf>
    <xf numFmtId="0" fontId="37" fillId="11" borderId="100" xfId="0" applyFont="1" applyFill="1" applyBorder="1" applyAlignment="1">
      <alignment vertical="top" indent="4"/>
    </xf>
    <xf numFmtId="0" fontId="38" fillId="11" borderId="105" xfId="0" applyFont="1" applyFill="1" applyBorder="1" applyAlignment="1">
      <alignment vertical="top" indent="6"/>
    </xf>
    <xf numFmtId="0" fontId="37" fillId="11" borderId="100" xfId="0" applyFont="1" applyFill="1" applyBorder="1" applyAlignment="1">
      <alignment vertical="top" indent="8"/>
    </xf>
    <xf numFmtId="0" fontId="38" fillId="11" borderId="105" xfId="0" applyFont="1" applyFill="1" applyBorder="1" applyAlignment="1">
      <alignment vertical="top" indent="2"/>
    </xf>
    <xf numFmtId="0" fontId="37" fillId="11" borderId="100" xfId="0" applyFont="1" applyFill="1" applyBorder="1" applyAlignment="1">
      <alignment vertical="top" indent="6"/>
    </xf>
    <xf numFmtId="0" fontId="38" fillId="11" borderId="105" xfId="0" applyFont="1" applyFill="1" applyBorder="1" applyAlignment="1">
      <alignment vertical="top" indent="4"/>
    </xf>
    <xf numFmtId="0" fontId="32" fillId="11" borderId="100" xfId="0" applyFont="1" applyFill="1" applyBorder="1"/>
    <xf numFmtId="0" fontId="38" fillId="11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0" fontId="32" fillId="2" borderId="54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6" xfId="26" applyNumberFormat="1" applyFont="1" applyFill="1" applyBorder="1" applyAlignment="1">
      <alignment horizontal="right"/>
    </xf>
    <xf numFmtId="0" fontId="58" fillId="4" borderId="64" xfId="0" applyFont="1" applyFill="1" applyBorder="1" applyAlignment="1">
      <alignment horizontal="left"/>
    </xf>
    <xf numFmtId="169" fontId="58" fillId="4" borderId="65" xfId="0" applyNumberFormat="1" applyFont="1" applyFill="1" applyBorder="1"/>
    <xf numFmtId="9" fontId="58" fillId="4" borderId="65" xfId="0" applyNumberFormat="1" applyFont="1" applyFill="1" applyBorder="1"/>
    <xf numFmtId="9" fontId="58" fillId="4" borderId="66" xfId="0" applyNumberFormat="1" applyFont="1" applyFill="1" applyBorder="1"/>
    <xf numFmtId="169" fontId="0" fillId="0" borderId="68" xfId="0" applyNumberFormat="1" applyBorder="1"/>
    <xf numFmtId="9" fontId="0" fillId="0" borderId="68" xfId="0" applyNumberFormat="1" applyBorder="1"/>
    <xf numFmtId="9" fontId="0" fillId="0" borderId="69" xfId="0" applyNumberFormat="1" applyBorder="1"/>
    <xf numFmtId="0" fontId="58" fillId="0" borderId="67" xfId="0" applyFont="1" applyBorder="1" applyAlignment="1">
      <alignment horizontal="left" indent="1"/>
    </xf>
    <xf numFmtId="169" fontId="0" fillId="0" borderId="73" xfId="0" applyNumberFormat="1" applyBorder="1"/>
    <xf numFmtId="9" fontId="0" fillId="0" borderId="73" xfId="0" applyNumberFormat="1" applyBorder="1"/>
    <xf numFmtId="9" fontId="0" fillId="0" borderId="74" xfId="0" applyNumberFormat="1" applyBorder="1"/>
    <xf numFmtId="0" fontId="58" fillId="0" borderId="72" xfId="0" applyFont="1" applyBorder="1" applyAlignment="1">
      <alignment horizontal="left" indent="1"/>
    </xf>
    <xf numFmtId="0" fontId="59" fillId="0" borderId="0" xfId="0" applyFont="1" applyFill="1"/>
    <xf numFmtId="0" fontId="60" fillId="0" borderId="0" xfId="0" applyFont="1" applyFill="1"/>
    <xf numFmtId="0" fontId="31" fillId="2" borderId="16" xfId="26" applyNumberFormat="1" applyFont="1" applyFill="1" applyBorder="1"/>
    <xf numFmtId="0" fontId="32" fillId="0" borderId="64" xfId="0" applyFont="1" applyFill="1" applyBorder="1"/>
    <xf numFmtId="3" fontId="32" fillId="0" borderId="65" xfId="0" applyNumberFormat="1" applyFont="1" applyFill="1" applyBorder="1"/>
    <xf numFmtId="169" fontId="32" fillId="0" borderId="65" xfId="0" applyNumberFormat="1" applyFont="1" applyFill="1" applyBorder="1"/>
    <xf numFmtId="169" fontId="32" fillId="0" borderId="66" xfId="0" applyNumberFormat="1" applyFont="1" applyFill="1" applyBorder="1"/>
    <xf numFmtId="0" fontId="32" fillId="0" borderId="72" xfId="0" applyFont="1" applyFill="1" applyBorder="1"/>
    <xf numFmtId="3" fontId="32" fillId="0" borderId="73" xfId="0" applyNumberFormat="1" applyFont="1" applyFill="1" applyBorder="1"/>
    <xf numFmtId="169" fontId="32" fillId="0" borderId="73" xfId="0" applyNumberFormat="1" applyFont="1" applyFill="1" applyBorder="1"/>
    <xf numFmtId="169" fontId="32" fillId="0" borderId="74" xfId="0" applyNumberFormat="1" applyFont="1" applyFill="1" applyBorder="1"/>
    <xf numFmtId="0" fontId="32" fillId="0" borderId="67" xfId="0" applyFont="1" applyFill="1" applyBorder="1"/>
    <xf numFmtId="3" fontId="32" fillId="0" borderId="68" xfId="0" applyNumberFormat="1" applyFont="1" applyFill="1" applyBorder="1"/>
    <xf numFmtId="169" fontId="32" fillId="0" borderId="68" xfId="0" applyNumberFormat="1" applyFont="1" applyFill="1" applyBorder="1"/>
    <xf numFmtId="169" fontId="32" fillId="0" borderId="69" xfId="0" applyNumberFormat="1" applyFont="1" applyFill="1" applyBorder="1"/>
    <xf numFmtId="0" fontId="39" fillId="0" borderId="64" xfId="0" applyFont="1" applyFill="1" applyBorder="1"/>
    <xf numFmtId="0" fontId="39" fillId="0" borderId="72" xfId="0" applyFont="1" applyFill="1" applyBorder="1"/>
    <xf numFmtId="0" fontId="39" fillId="0" borderId="67" xfId="0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3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0" fontId="32" fillId="0" borderId="65" xfId="0" applyFont="1" applyFill="1" applyBorder="1"/>
    <xf numFmtId="9" fontId="32" fillId="0" borderId="65" xfId="0" applyNumberFormat="1" applyFont="1" applyFill="1" applyBorder="1"/>
    <xf numFmtId="3" fontId="32" fillId="0" borderId="66" xfId="0" applyNumberFormat="1" applyFont="1" applyFill="1" applyBorder="1"/>
    <xf numFmtId="0" fontId="32" fillId="0" borderId="73" xfId="0" applyFont="1" applyFill="1" applyBorder="1"/>
    <xf numFmtId="9" fontId="32" fillId="0" borderId="73" xfId="0" applyNumberFormat="1" applyFont="1" applyFill="1" applyBorder="1"/>
    <xf numFmtId="3" fontId="32" fillId="0" borderId="74" xfId="0" applyNumberFormat="1" applyFont="1" applyFill="1" applyBorder="1"/>
    <xf numFmtId="0" fontId="32" fillId="0" borderId="68" xfId="0" applyFont="1" applyFill="1" applyBorder="1"/>
    <xf numFmtId="9" fontId="32" fillId="0" borderId="68" xfId="0" applyNumberFormat="1" applyFont="1" applyFill="1" applyBorder="1"/>
    <xf numFmtId="3" fontId="32" fillId="0" borderId="69" xfId="0" applyNumberFormat="1" applyFont="1" applyFill="1" applyBorder="1"/>
    <xf numFmtId="0" fontId="31" fillId="2" borderId="31" xfId="0" applyFont="1" applyFill="1" applyBorder="1" applyAlignment="1">
      <alignment horizontal="center" vertical="top" wrapText="1"/>
    </xf>
    <xf numFmtId="0" fontId="31" fillId="2" borderId="16" xfId="26" applyNumberFormat="1" applyFont="1" applyFill="1" applyBorder="1" applyAlignment="1">
      <alignment horizontal="right"/>
    </xf>
    <xf numFmtId="9" fontId="32" fillId="0" borderId="66" xfId="0" applyNumberFormat="1" applyFont="1" applyFill="1" applyBorder="1"/>
    <xf numFmtId="9" fontId="32" fillId="0" borderId="74" xfId="0" applyNumberFormat="1" applyFont="1" applyFill="1" applyBorder="1"/>
    <xf numFmtId="9" fontId="32" fillId="0" borderId="69" xfId="0" applyNumberFormat="1" applyFont="1" applyFill="1" applyBorder="1"/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3" fillId="2" borderId="16" xfId="0" applyNumberFormat="1" applyFont="1" applyFill="1" applyBorder="1" applyAlignment="1">
      <alignment horizontal="center" vertical="top"/>
    </xf>
  </cellXfs>
  <cellStyles count="97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6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Manažerské tabulky" xfId="80" xr:uid="{00000000-0005-0000-0000-000052000000}"/>
    <cellStyle name="normální_Sestava hospodaření" xfId="81" xr:uid="{00000000-0005-0000-0000-000053000000}"/>
    <cellStyle name="Procenta 10" xfId="82" xr:uid="{00000000-0005-0000-0000-000055000000}"/>
    <cellStyle name="Procenta 11" xfId="83" xr:uid="{00000000-0005-0000-0000-000056000000}"/>
    <cellStyle name="Procenta 2" xfId="84" xr:uid="{00000000-0005-0000-0000-000057000000}"/>
    <cellStyle name="Procenta 2 2" xfId="85" xr:uid="{00000000-0005-0000-0000-000058000000}"/>
    <cellStyle name="Procenta 2 2 2" xfId="86" xr:uid="{00000000-0005-0000-0000-000059000000}"/>
    <cellStyle name="Procenta 2 3" xfId="87" xr:uid="{00000000-0005-0000-0000-00005A000000}"/>
    <cellStyle name="Procenta 3" xfId="88" xr:uid="{00000000-0005-0000-0000-00005B000000}"/>
    <cellStyle name="Procenta 3 2" xfId="89" xr:uid="{00000000-0005-0000-0000-00005C000000}"/>
    <cellStyle name="Procenta 4" xfId="90" xr:uid="{00000000-0005-0000-0000-00005D000000}"/>
    <cellStyle name="Procenta 5" xfId="91" xr:uid="{00000000-0005-0000-0000-00005E000000}"/>
    <cellStyle name="Procenta 6" xfId="92" xr:uid="{00000000-0005-0000-0000-00005F000000}"/>
    <cellStyle name="Procenta 7" xfId="93" xr:uid="{00000000-0005-0000-0000-000060000000}"/>
    <cellStyle name="Procenta 8" xfId="94" xr:uid="{00000000-0005-0000-0000-000061000000}"/>
    <cellStyle name="Procenta 9" xfId="95" xr:uid="{00000000-0005-0000-0000-000062000000}"/>
  </cellStyles>
  <dxfs count="86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85"/>
      <tableStyleElement type="headerRow" dxfId="84"/>
      <tableStyleElement type="totalRow" dxfId="83"/>
      <tableStyleElement type="firstColumn" dxfId="82"/>
      <tableStyleElement type="lastColumn" dxfId="81"/>
      <tableStyleElement type="firstRowStripe" dxfId="80"/>
      <tableStyleElement type="firstColumnStripe" dxfId="79"/>
    </tableStyle>
    <tableStyle name="TableStyleMedium2 2" pivot="0" count="7" xr9:uid="{00000000-0011-0000-FFFF-FFFF01000000}">
      <tableStyleElement type="wholeTable" dxfId="78"/>
      <tableStyleElement type="headerRow" dxfId="77"/>
      <tableStyleElement type="totalRow" dxfId="76"/>
      <tableStyleElement type="firstColumn" dxfId="75"/>
      <tableStyleElement type="lastColumn" dxfId="74"/>
      <tableStyleElement type="firstRowStripe" dxfId="73"/>
      <tableStyleElement type="firstColumnStripe" dxfId="72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Graf'!$B$4:$G$4</c:f>
              <c:numCache>
                <c:formatCode>General</c:formatCode>
                <c:ptCount val="6"/>
                <c:pt idx="0">
                  <c:v>0.67299120330414886</c:v>
                </c:pt>
                <c:pt idx="1">
                  <c:v>0.63421583155575056</c:v>
                </c:pt>
                <c:pt idx="2">
                  <c:v>0.61852250022167732</c:v>
                </c:pt>
                <c:pt idx="3">
                  <c:v>0.63903278731700996</c:v>
                </c:pt>
                <c:pt idx="4">
                  <c:v>0.6390702654917112</c:v>
                </c:pt>
                <c:pt idx="5">
                  <c:v>0.63634138021883901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0.6504192614682841</c:v>
                </c:pt>
                <c:pt idx="1">
                  <c:v>0.6504192614682841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6" totalsRowShown="0" headerRowDxfId="71" tableBorderDxfId="70">
  <autoFilter ref="A7:S16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69"/>
    <tableColumn id="2" xr3:uid="{00000000-0010-0000-0000-000002000000}" name="popis" dataDxfId="68"/>
    <tableColumn id="3" xr3:uid="{00000000-0010-0000-0000-000003000000}" name="01 uv_sk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5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5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5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5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52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51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53" totalsRowShown="0">
  <autoFilter ref="C3:S53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1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01" bestFit="1" customWidth="1"/>
    <col min="2" max="2" width="102.28515625" style="101" bestFit="1" customWidth="1"/>
    <col min="3" max="3" width="16.140625" style="42" hidden="1" customWidth="1"/>
    <col min="4" max="16384" width="8.85546875" style="101"/>
  </cols>
  <sheetData>
    <row r="1" spans="1:3" ht="18.600000000000001" customHeight="1" thickBot="1" x14ac:dyDescent="0.35">
      <c r="A1" s="276" t="s">
        <v>83</v>
      </c>
      <c r="B1" s="276"/>
    </row>
    <row r="2" spans="1:3" ht="14.45" customHeight="1" thickBot="1" x14ac:dyDescent="0.25">
      <c r="A2" s="192" t="s">
        <v>208</v>
      </c>
      <c r="B2" s="41"/>
    </row>
    <row r="3" spans="1:3" ht="14.45" customHeight="1" thickBot="1" x14ac:dyDescent="0.25">
      <c r="A3" s="272" t="s">
        <v>104</v>
      </c>
      <c r="B3" s="273"/>
    </row>
    <row r="4" spans="1:3" ht="14.45" customHeight="1" x14ac:dyDescent="0.2">
      <c r="A4" s="113" t="str">
        <f t="shared" ref="A4:A8" si="0">HYPERLINK("#'"&amp;C4&amp;"'!A1",C4)</f>
        <v>Motivace</v>
      </c>
      <c r="B4" s="63" t="s">
        <v>92</v>
      </c>
      <c r="C4" s="42" t="s">
        <v>93</v>
      </c>
    </row>
    <row r="5" spans="1:3" ht="14.45" customHeight="1" x14ac:dyDescent="0.2">
      <c r="A5" s="114" t="str">
        <f t="shared" si="0"/>
        <v>HI</v>
      </c>
      <c r="B5" s="64" t="s">
        <v>101</v>
      </c>
      <c r="C5" s="42" t="s">
        <v>86</v>
      </c>
    </row>
    <row r="6" spans="1:3" ht="14.45" customHeight="1" x14ac:dyDescent="0.2">
      <c r="A6" s="115" t="str">
        <f t="shared" si="0"/>
        <v>HI Graf</v>
      </c>
      <c r="B6" s="65" t="s">
        <v>79</v>
      </c>
      <c r="C6" s="42" t="s">
        <v>87</v>
      </c>
    </row>
    <row r="7" spans="1:3" ht="14.45" customHeight="1" x14ac:dyDescent="0.2">
      <c r="A7" s="115" t="str">
        <f t="shared" si="0"/>
        <v>Man Tab</v>
      </c>
      <c r="B7" s="65" t="s">
        <v>210</v>
      </c>
      <c r="C7" s="42" t="s">
        <v>88</v>
      </c>
    </row>
    <row r="8" spans="1:3" ht="14.45" customHeight="1" thickBot="1" x14ac:dyDescent="0.25">
      <c r="A8" s="116" t="str">
        <f t="shared" si="0"/>
        <v>HV</v>
      </c>
      <c r="B8" s="66" t="s">
        <v>37</v>
      </c>
      <c r="C8" s="42" t="s">
        <v>42</v>
      </c>
    </row>
    <row r="9" spans="1:3" ht="14.45" customHeight="1" thickBot="1" x14ac:dyDescent="0.25">
      <c r="A9" s="67"/>
      <c r="B9" s="67"/>
    </row>
    <row r="10" spans="1:3" ht="14.45" customHeight="1" thickBot="1" x14ac:dyDescent="0.25">
      <c r="A10" s="274" t="s">
        <v>84</v>
      </c>
      <c r="B10" s="273"/>
    </row>
    <row r="11" spans="1:3" ht="14.45" customHeight="1" x14ac:dyDescent="0.2">
      <c r="A11" s="117" t="str">
        <f t="shared" ref="A11" si="1">HYPERLINK("#'"&amp;C11&amp;"'!A1",C11)</f>
        <v>Léky Žádanky</v>
      </c>
      <c r="B11" s="64" t="s">
        <v>102</v>
      </c>
      <c r="C11" s="42" t="s">
        <v>89</v>
      </c>
    </row>
    <row r="12" spans="1:3" ht="14.45" customHeight="1" x14ac:dyDescent="0.2">
      <c r="A12" s="117" t="str">
        <f t="shared" ref="A12" si="2">HYPERLINK("#'"&amp;C12&amp;"'!A1",C12)</f>
        <v>Materiál Žádanky</v>
      </c>
      <c r="B12" s="65" t="s">
        <v>103</v>
      </c>
      <c r="C12" s="42" t="s">
        <v>90</v>
      </c>
    </row>
    <row r="13" spans="1:3" ht="14.45" customHeight="1" thickBot="1" x14ac:dyDescent="0.25">
      <c r="A13" s="117" t="str">
        <f t="shared" ref="A13" si="3">HYPERLINK("#'"&amp;C13&amp;"'!A1",C13)</f>
        <v>Osobní náklady</v>
      </c>
      <c r="B13" s="65" t="s">
        <v>81</v>
      </c>
      <c r="C13" s="42" t="s">
        <v>91</v>
      </c>
    </row>
    <row r="14" spans="1:3" ht="14.45" customHeight="1" thickBot="1" x14ac:dyDescent="0.25">
      <c r="A14" s="68"/>
      <c r="B14" s="68"/>
    </row>
    <row r="15" spans="1:3" ht="14.45" customHeight="1" thickBot="1" x14ac:dyDescent="0.25">
      <c r="A15" s="275" t="s">
        <v>85</v>
      </c>
      <c r="B15" s="273"/>
    </row>
    <row r="16" spans="1:3" ht="14.45" customHeight="1" x14ac:dyDescent="0.2">
      <c r="A16" s="118" t="str">
        <f t="shared" ref="A16:A21" si="4">HYPERLINK("#'"&amp;C16&amp;"'!A1",C16)</f>
        <v>ZV Vykáz.-A</v>
      </c>
      <c r="B16" s="64" t="s">
        <v>365</v>
      </c>
      <c r="C16" s="42" t="s">
        <v>94</v>
      </c>
    </row>
    <row r="17" spans="1:3" ht="14.45" customHeight="1" x14ac:dyDescent="0.2">
      <c r="A17" s="115" t="str">
        <f t="shared" ref="A17" si="5">HYPERLINK("#'"&amp;C17&amp;"'!A1",C17)</f>
        <v>ZV Vykáz.-A Lékaři</v>
      </c>
      <c r="B17" s="65" t="s">
        <v>386</v>
      </c>
      <c r="C17" s="42" t="s">
        <v>148</v>
      </c>
    </row>
    <row r="18" spans="1:3" ht="14.45" customHeight="1" x14ac:dyDescent="0.2">
      <c r="A18" s="115" t="str">
        <f t="shared" si="4"/>
        <v>ZV Vykáz.-A Detail</v>
      </c>
      <c r="B18" s="65" t="s">
        <v>414</v>
      </c>
      <c r="C18" s="42" t="s">
        <v>95</v>
      </c>
    </row>
    <row r="19" spans="1:3" ht="14.45" customHeight="1" x14ac:dyDescent="0.25">
      <c r="A19" s="216" t="str">
        <f>HYPERLINK("#'"&amp;C19&amp;"'!A1",C19)</f>
        <v>ZV Vykáz.-A Det.Lék.</v>
      </c>
      <c r="B19" s="65" t="s">
        <v>415</v>
      </c>
      <c r="C19" s="42" t="s">
        <v>152</v>
      </c>
    </row>
    <row r="20" spans="1:3" ht="14.45" customHeight="1" x14ac:dyDescent="0.2">
      <c r="A20" s="115" t="str">
        <f t="shared" si="4"/>
        <v>ZV Vykáz.-H</v>
      </c>
      <c r="B20" s="65" t="s">
        <v>98</v>
      </c>
      <c r="C20" s="42" t="s">
        <v>96</v>
      </c>
    </row>
    <row r="21" spans="1:3" ht="14.45" customHeight="1" x14ac:dyDescent="0.2">
      <c r="A21" s="115" t="str">
        <f t="shared" si="4"/>
        <v>ZV Vykáz.-H Detail</v>
      </c>
      <c r="B21" s="65" t="s">
        <v>465</v>
      </c>
      <c r="C21" s="42" t="s">
        <v>97</v>
      </c>
    </row>
  </sheetData>
  <mergeCells count="4">
    <mergeCell ref="A3:B3"/>
    <mergeCell ref="A10:B10"/>
    <mergeCell ref="A15:B15"/>
    <mergeCell ref="A1:B1"/>
  </mergeCells>
  <hyperlinks>
    <hyperlink ref="A2" location="Obsah!A1" display="Zpět na Obsah  KL 01  1.-4.měsíc" xr:uid="{F1122D73-1DBD-4BA3-8444-16FF74EEA929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53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356</v>
      </c>
    </row>
    <row r="2" spans="1:19" x14ac:dyDescent="0.25">
      <c r="A2" s="192" t="s">
        <v>208</v>
      </c>
    </row>
    <row r="3" spans="1:19" x14ac:dyDescent="0.25">
      <c r="A3" s="271" t="s">
        <v>116</v>
      </c>
      <c r="B3" s="270">
        <v>2019</v>
      </c>
      <c r="C3" t="s">
        <v>184</v>
      </c>
      <c r="D3" t="s">
        <v>175</v>
      </c>
      <c r="E3" t="s">
        <v>173</v>
      </c>
      <c r="F3" t="s">
        <v>172</v>
      </c>
      <c r="G3" t="s">
        <v>171</v>
      </c>
      <c r="H3" t="s">
        <v>170</v>
      </c>
      <c r="I3" t="s">
        <v>169</v>
      </c>
      <c r="J3" t="s">
        <v>168</v>
      </c>
      <c r="K3" t="s">
        <v>167</v>
      </c>
      <c r="L3" t="s">
        <v>166</v>
      </c>
      <c r="M3" t="s">
        <v>165</v>
      </c>
      <c r="N3" t="s">
        <v>164</v>
      </c>
      <c r="O3" t="s">
        <v>163</v>
      </c>
      <c r="P3" t="s">
        <v>162</v>
      </c>
      <c r="Q3" t="s">
        <v>161</v>
      </c>
      <c r="R3" t="s">
        <v>160</v>
      </c>
      <c r="S3" t="s">
        <v>159</v>
      </c>
    </row>
    <row r="4" spans="1:19" x14ac:dyDescent="0.25">
      <c r="A4" s="269" t="s">
        <v>117</v>
      </c>
      <c r="B4" s="268">
        <v>1</v>
      </c>
      <c r="C4" s="263">
        <v>1</v>
      </c>
      <c r="D4" s="263" t="s">
        <v>347</v>
      </c>
      <c r="E4" s="262">
        <v>11.8</v>
      </c>
      <c r="F4" s="262"/>
      <c r="G4" s="262"/>
      <c r="H4" s="262"/>
      <c r="I4" s="262">
        <v>2057.4</v>
      </c>
      <c r="J4" s="262"/>
      <c r="K4" s="262"/>
      <c r="L4" s="262"/>
      <c r="M4" s="262"/>
      <c r="N4" s="262"/>
      <c r="O4" s="262"/>
      <c r="P4" s="262"/>
      <c r="Q4" s="262">
        <v>514723</v>
      </c>
      <c r="R4" s="262">
        <v>6300</v>
      </c>
      <c r="S4" s="262">
        <v>7081.4400023859462</v>
      </c>
    </row>
    <row r="5" spans="1:19" x14ac:dyDescent="0.25">
      <c r="A5" s="267" t="s">
        <v>118</v>
      </c>
      <c r="B5" s="266">
        <v>2</v>
      </c>
      <c r="C5">
        <v>1</v>
      </c>
      <c r="D5">
        <v>520</v>
      </c>
      <c r="E5">
        <v>4</v>
      </c>
      <c r="I5">
        <v>676</v>
      </c>
      <c r="Q5">
        <v>140189</v>
      </c>
    </row>
    <row r="6" spans="1:19" x14ac:dyDescent="0.25">
      <c r="A6" s="269" t="s">
        <v>119</v>
      </c>
      <c r="B6" s="268">
        <v>3</v>
      </c>
      <c r="C6">
        <v>1</v>
      </c>
      <c r="D6">
        <v>521</v>
      </c>
      <c r="E6">
        <v>6.8</v>
      </c>
      <c r="I6">
        <v>1221.4000000000001</v>
      </c>
      <c r="Q6">
        <v>301955</v>
      </c>
    </row>
    <row r="7" spans="1:19" x14ac:dyDescent="0.25">
      <c r="A7" s="267" t="s">
        <v>120</v>
      </c>
      <c r="B7" s="266">
        <v>4</v>
      </c>
      <c r="C7">
        <v>1</v>
      </c>
      <c r="D7">
        <v>522</v>
      </c>
      <c r="E7">
        <v>1</v>
      </c>
      <c r="I7">
        <v>160</v>
      </c>
      <c r="Q7">
        <v>72579</v>
      </c>
    </row>
    <row r="8" spans="1:19" x14ac:dyDescent="0.25">
      <c r="A8" s="269" t="s">
        <v>121</v>
      </c>
      <c r="B8" s="268">
        <v>5</v>
      </c>
      <c r="C8">
        <v>1</v>
      </c>
      <c r="D8">
        <v>526</v>
      </c>
      <c r="R8">
        <v>6300</v>
      </c>
      <c r="S8">
        <v>7081.4400023859462</v>
      </c>
    </row>
    <row r="9" spans="1:19" x14ac:dyDescent="0.25">
      <c r="A9" s="267" t="s">
        <v>122</v>
      </c>
      <c r="B9" s="266">
        <v>6</v>
      </c>
      <c r="C9">
        <v>1</v>
      </c>
      <c r="D9" t="s">
        <v>348</v>
      </c>
      <c r="E9">
        <v>1</v>
      </c>
      <c r="I9">
        <v>184</v>
      </c>
      <c r="Q9">
        <v>24820</v>
      </c>
    </row>
    <row r="10" spans="1:19" x14ac:dyDescent="0.25">
      <c r="A10" s="269" t="s">
        <v>123</v>
      </c>
      <c r="B10" s="268">
        <v>7</v>
      </c>
      <c r="C10">
        <v>1</v>
      </c>
      <c r="D10">
        <v>30</v>
      </c>
      <c r="E10">
        <v>1</v>
      </c>
      <c r="I10">
        <v>184</v>
      </c>
      <c r="Q10">
        <v>24820</v>
      </c>
    </row>
    <row r="11" spans="1:19" x14ac:dyDescent="0.25">
      <c r="A11" s="267" t="s">
        <v>124</v>
      </c>
      <c r="B11" s="266">
        <v>8</v>
      </c>
      <c r="C11" t="s">
        <v>349</v>
      </c>
      <c r="E11">
        <v>12.8</v>
      </c>
      <c r="I11">
        <v>2241.4</v>
      </c>
      <c r="Q11">
        <v>539543</v>
      </c>
      <c r="R11">
        <v>6300</v>
      </c>
      <c r="S11">
        <v>7081.4400023859462</v>
      </c>
    </row>
    <row r="12" spans="1:19" x14ac:dyDescent="0.25">
      <c r="A12" s="269" t="s">
        <v>125</v>
      </c>
      <c r="B12" s="268">
        <v>9</v>
      </c>
      <c r="C12">
        <v>2</v>
      </c>
      <c r="D12" t="s">
        <v>347</v>
      </c>
      <c r="E12">
        <v>11.8</v>
      </c>
      <c r="I12">
        <v>1753.5</v>
      </c>
      <c r="Q12">
        <v>506733</v>
      </c>
      <c r="R12">
        <v>9280</v>
      </c>
      <c r="S12">
        <v>7081.4400023859462</v>
      </c>
    </row>
    <row r="13" spans="1:19" x14ac:dyDescent="0.25">
      <c r="A13" s="267" t="s">
        <v>126</v>
      </c>
      <c r="B13" s="266">
        <v>10</v>
      </c>
      <c r="C13">
        <v>2</v>
      </c>
      <c r="D13">
        <v>520</v>
      </c>
      <c r="E13">
        <v>4</v>
      </c>
      <c r="I13">
        <v>602</v>
      </c>
      <c r="Q13">
        <v>138803</v>
      </c>
    </row>
    <row r="14" spans="1:19" x14ac:dyDescent="0.25">
      <c r="A14" s="269" t="s">
        <v>127</v>
      </c>
      <c r="B14" s="268">
        <v>11</v>
      </c>
      <c r="C14">
        <v>2</v>
      </c>
      <c r="D14">
        <v>521</v>
      </c>
      <c r="E14">
        <v>6.8</v>
      </c>
      <c r="I14">
        <v>999.5</v>
      </c>
      <c r="Q14">
        <v>296880</v>
      </c>
    </row>
    <row r="15" spans="1:19" x14ac:dyDescent="0.25">
      <c r="A15" s="267" t="s">
        <v>128</v>
      </c>
      <c r="B15" s="266">
        <v>12</v>
      </c>
      <c r="C15">
        <v>2</v>
      </c>
      <c r="D15">
        <v>522</v>
      </c>
      <c r="E15">
        <v>1</v>
      </c>
      <c r="I15">
        <v>152</v>
      </c>
      <c r="Q15">
        <v>71050</v>
      </c>
    </row>
    <row r="16" spans="1:19" x14ac:dyDescent="0.25">
      <c r="A16" s="265" t="s">
        <v>116</v>
      </c>
      <c r="B16" s="264">
        <v>2019</v>
      </c>
      <c r="C16">
        <v>2</v>
      </c>
      <c r="D16">
        <v>526</v>
      </c>
      <c r="R16">
        <v>9280</v>
      </c>
      <c r="S16">
        <v>7081.4400023859462</v>
      </c>
    </row>
    <row r="17" spans="3:19" x14ac:dyDescent="0.25">
      <c r="C17">
        <v>2</v>
      </c>
      <c r="D17" t="s">
        <v>348</v>
      </c>
      <c r="E17">
        <v>1</v>
      </c>
      <c r="I17">
        <v>144</v>
      </c>
      <c r="Q17">
        <v>22338</v>
      </c>
    </row>
    <row r="18" spans="3:19" x14ac:dyDescent="0.25">
      <c r="C18">
        <v>2</v>
      </c>
      <c r="D18">
        <v>30</v>
      </c>
      <c r="E18">
        <v>1</v>
      </c>
      <c r="I18">
        <v>144</v>
      </c>
      <c r="Q18">
        <v>22338</v>
      </c>
    </row>
    <row r="19" spans="3:19" x14ac:dyDescent="0.25">
      <c r="C19" t="s">
        <v>350</v>
      </c>
      <c r="E19">
        <v>12.8</v>
      </c>
      <c r="I19">
        <v>1897.5</v>
      </c>
      <c r="Q19">
        <v>529071</v>
      </c>
      <c r="R19">
        <v>9280</v>
      </c>
      <c r="S19">
        <v>7081.4400023859462</v>
      </c>
    </row>
    <row r="20" spans="3:19" x14ac:dyDescent="0.25">
      <c r="C20">
        <v>3</v>
      </c>
      <c r="D20" t="s">
        <v>347</v>
      </c>
      <c r="E20">
        <v>11.8</v>
      </c>
      <c r="I20">
        <v>1801</v>
      </c>
      <c r="Q20">
        <v>506014</v>
      </c>
      <c r="R20">
        <v>5200</v>
      </c>
      <c r="S20">
        <v>7081.4400023859462</v>
      </c>
    </row>
    <row r="21" spans="3:19" x14ac:dyDescent="0.25">
      <c r="C21">
        <v>3</v>
      </c>
      <c r="D21">
        <v>520</v>
      </c>
      <c r="E21">
        <v>4</v>
      </c>
      <c r="I21">
        <v>641</v>
      </c>
      <c r="Q21">
        <v>139275</v>
      </c>
    </row>
    <row r="22" spans="3:19" x14ac:dyDescent="0.25">
      <c r="C22">
        <v>3</v>
      </c>
      <c r="D22">
        <v>521</v>
      </c>
      <c r="E22">
        <v>6.8</v>
      </c>
      <c r="I22">
        <v>1012</v>
      </c>
      <c r="Q22">
        <v>295161</v>
      </c>
    </row>
    <row r="23" spans="3:19" x14ac:dyDescent="0.25">
      <c r="C23">
        <v>3</v>
      </c>
      <c r="D23">
        <v>522</v>
      </c>
      <c r="E23">
        <v>1</v>
      </c>
      <c r="I23">
        <v>148</v>
      </c>
      <c r="Q23">
        <v>71578</v>
      </c>
    </row>
    <row r="24" spans="3:19" x14ac:dyDescent="0.25">
      <c r="C24">
        <v>3</v>
      </c>
      <c r="D24">
        <v>526</v>
      </c>
      <c r="R24">
        <v>5200</v>
      </c>
      <c r="S24">
        <v>7081.4400023859462</v>
      </c>
    </row>
    <row r="25" spans="3:19" x14ac:dyDescent="0.25">
      <c r="C25">
        <v>3</v>
      </c>
      <c r="D25" t="s">
        <v>348</v>
      </c>
      <c r="E25">
        <v>1</v>
      </c>
      <c r="I25">
        <v>168</v>
      </c>
      <c r="Q25">
        <v>24820</v>
      </c>
    </row>
    <row r="26" spans="3:19" x14ac:dyDescent="0.25">
      <c r="C26">
        <v>3</v>
      </c>
      <c r="D26">
        <v>30</v>
      </c>
      <c r="E26">
        <v>1</v>
      </c>
      <c r="I26">
        <v>168</v>
      </c>
      <c r="Q26">
        <v>24820</v>
      </c>
    </row>
    <row r="27" spans="3:19" x14ac:dyDescent="0.25">
      <c r="C27" t="s">
        <v>351</v>
      </c>
      <c r="E27">
        <v>12.8</v>
      </c>
      <c r="I27">
        <v>1969</v>
      </c>
      <c r="Q27">
        <v>530834</v>
      </c>
      <c r="R27">
        <v>5200</v>
      </c>
      <c r="S27">
        <v>7081.4400023859462</v>
      </c>
    </row>
    <row r="28" spans="3:19" x14ac:dyDescent="0.25">
      <c r="C28">
        <v>4</v>
      </c>
      <c r="D28" t="s">
        <v>347</v>
      </c>
      <c r="E28">
        <v>11.8</v>
      </c>
      <c r="I28">
        <v>1980</v>
      </c>
      <c r="O28">
        <v>750</v>
      </c>
      <c r="P28">
        <v>750</v>
      </c>
      <c r="Q28">
        <v>510315</v>
      </c>
      <c r="R28">
        <v>24490</v>
      </c>
      <c r="S28">
        <v>7081.4400023859462</v>
      </c>
    </row>
    <row r="29" spans="3:19" x14ac:dyDescent="0.25">
      <c r="C29">
        <v>4</v>
      </c>
      <c r="D29">
        <v>520</v>
      </c>
      <c r="E29">
        <v>4</v>
      </c>
      <c r="I29">
        <v>648</v>
      </c>
      <c r="O29">
        <v>750</v>
      </c>
      <c r="P29">
        <v>750</v>
      </c>
      <c r="Q29">
        <v>140362</v>
      </c>
    </row>
    <row r="30" spans="3:19" x14ac:dyDescent="0.25">
      <c r="C30">
        <v>4</v>
      </c>
      <c r="D30">
        <v>521</v>
      </c>
      <c r="E30">
        <v>6.8</v>
      </c>
      <c r="I30">
        <v>1156</v>
      </c>
      <c r="Q30">
        <v>298973</v>
      </c>
    </row>
    <row r="31" spans="3:19" x14ac:dyDescent="0.25">
      <c r="C31">
        <v>4</v>
      </c>
      <c r="D31">
        <v>522</v>
      </c>
      <c r="E31">
        <v>1</v>
      </c>
      <c r="I31">
        <v>176</v>
      </c>
      <c r="Q31">
        <v>70980</v>
      </c>
    </row>
    <row r="32" spans="3:19" x14ac:dyDescent="0.25">
      <c r="C32">
        <v>4</v>
      </c>
      <c r="D32">
        <v>526</v>
      </c>
      <c r="R32">
        <v>24490</v>
      </c>
      <c r="S32">
        <v>7081.4400023859462</v>
      </c>
    </row>
    <row r="33" spans="3:19" x14ac:dyDescent="0.25">
      <c r="C33">
        <v>4</v>
      </c>
      <c r="D33" t="s">
        <v>348</v>
      </c>
      <c r="E33">
        <v>1</v>
      </c>
      <c r="I33">
        <v>176</v>
      </c>
      <c r="Q33">
        <v>24820</v>
      </c>
    </row>
    <row r="34" spans="3:19" x14ac:dyDescent="0.25">
      <c r="C34">
        <v>4</v>
      </c>
      <c r="D34">
        <v>30</v>
      </c>
      <c r="E34">
        <v>1</v>
      </c>
      <c r="I34">
        <v>176</v>
      </c>
      <c r="Q34">
        <v>24820</v>
      </c>
    </row>
    <row r="35" spans="3:19" x14ac:dyDescent="0.25">
      <c r="C35" t="s">
        <v>352</v>
      </c>
      <c r="E35">
        <v>12.8</v>
      </c>
      <c r="I35">
        <v>2156</v>
      </c>
      <c r="O35">
        <v>750</v>
      </c>
      <c r="P35">
        <v>750</v>
      </c>
      <c r="Q35">
        <v>535135</v>
      </c>
      <c r="R35">
        <v>24490</v>
      </c>
      <c r="S35">
        <v>7081.4400023859462</v>
      </c>
    </row>
    <row r="36" spans="3:19" x14ac:dyDescent="0.25">
      <c r="C36">
        <v>5</v>
      </c>
      <c r="D36" t="s">
        <v>347</v>
      </c>
      <c r="E36">
        <v>11.8</v>
      </c>
      <c r="I36">
        <v>1933</v>
      </c>
      <c r="Q36">
        <v>516568</v>
      </c>
      <c r="R36">
        <v>5200</v>
      </c>
      <c r="S36">
        <v>7081.4400023859462</v>
      </c>
    </row>
    <row r="37" spans="3:19" x14ac:dyDescent="0.25">
      <c r="C37">
        <v>5</v>
      </c>
      <c r="D37">
        <v>520</v>
      </c>
      <c r="E37">
        <v>4</v>
      </c>
      <c r="I37">
        <v>599</v>
      </c>
      <c r="Q37">
        <v>144081</v>
      </c>
    </row>
    <row r="38" spans="3:19" x14ac:dyDescent="0.25">
      <c r="C38">
        <v>5</v>
      </c>
      <c r="D38">
        <v>521</v>
      </c>
      <c r="E38">
        <v>6.8</v>
      </c>
      <c r="I38">
        <v>1166</v>
      </c>
      <c r="Q38">
        <v>300465</v>
      </c>
    </row>
    <row r="39" spans="3:19" x14ac:dyDescent="0.25">
      <c r="C39">
        <v>5</v>
      </c>
      <c r="D39">
        <v>522</v>
      </c>
      <c r="E39">
        <v>1</v>
      </c>
      <c r="I39">
        <v>168</v>
      </c>
      <c r="Q39">
        <v>72022</v>
      </c>
    </row>
    <row r="40" spans="3:19" x14ac:dyDescent="0.25">
      <c r="C40">
        <v>5</v>
      </c>
      <c r="D40">
        <v>526</v>
      </c>
      <c r="R40">
        <v>5200</v>
      </c>
      <c r="S40">
        <v>7081.4400023859462</v>
      </c>
    </row>
    <row r="41" spans="3:19" x14ac:dyDescent="0.25">
      <c r="C41">
        <v>5</v>
      </c>
      <c r="D41" t="s">
        <v>348</v>
      </c>
      <c r="E41">
        <v>1</v>
      </c>
      <c r="I41">
        <v>176</v>
      </c>
      <c r="Q41">
        <v>24960</v>
      </c>
    </row>
    <row r="42" spans="3:19" x14ac:dyDescent="0.25">
      <c r="C42">
        <v>5</v>
      </c>
      <c r="D42">
        <v>30</v>
      </c>
      <c r="E42">
        <v>1</v>
      </c>
      <c r="I42">
        <v>176</v>
      </c>
      <c r="Q42">
        <v>24960</v>
      </c>
    </row>
    <row r="43" spans="3:19" x14ac:dyDescent="0.25">
      <c r="C43" t="s">
        <v>353</v>
      </c>
      <c r="E43">
        <v>12.8</v>
      </c>
      <c r="I43">
        <v>2109</v>
      </c>
      <c r="Q43">
        <v>541528</v>
      </c>
      <c r="R43">
        <v>5200</v>
      </c>
      <c r="S43">
        <v>7081.4400023859462</v>
      </c>
    </row>
    <row r="44" spans="3:19" x14ac:dyDescent="0.25">
      <c r="C44">
        <v>6</v>
      </c>
      <c r="D44" t="s">
        <v>347</v>
      </c>
      <c r="E44">
        <v>11.2</v>
      </c>
      <c r="I44">
        <v>1657.9</v>
      </c>
      <c r="Q44">
        <v>474799</v>
      </c>
      <c r="S44">
        <v>7081.4400023859462</v>
      </c>
    </row>
    <row r="45" spans="3:19" x14ac:dyDescent="0.25">
      <c r="C45">
        <v>6</v>
      </c>
      <c r="D45">
        <v>520</v>
      </c>
      <c r="E45">
        <v>3.6</v>
      </c>
      <c r="I45">
        <v>534.6</v>
      </c>
      <c r="Q45">
        <v>116290</v>
      </c>
    </row>
    <row r="46" spans="3:19" x14ac:dyDescent="0.25">
      <c r="C46">
        <v>6</v>
      </c>
      <c r="D46">
        <v>521</v>
      </c>
      <c r="E46">
        <v>6.6</v>
      </c>
      <c r="I46">
        <v>971.3</v>
      </c>
      <c r="Q46">
        <v>287471</v>
      </c>
    </row>
    <row r="47" spans="3:19" x14ac:dyDescent="0.25">
      <c r="C47">
        <v>6</v>
      </c>
      <c r="D47">
        <v>522</v>
      </c>
      <c r="E47">
        <v>1</v>
      </c>
      <c r="I47">
        <v>152</v>
      </c>
      <c r="Q47">
        <v>71038</v>
      </c>
    </row>
    <row r="48" spans="3:19" x14ac:dyDescent="0.25">
      <c r="C48">
        <v>6</v>
      </c>
      <c r="D48">
        <v>526</v>
      </c>
      <c r="S48">
        <v>7081.4400023859462</v>
      </c>
    </row>
    <row r="49" spans="3:19" x14ac:dyDescent="0.25">
      <c r="C49">
        <v>6</v>
      </c>
      <c r="D49" t="s">
        <v>354</v>
      </c>
      <c r="R49">
        <v>12790</v>
      </c>
    </row>
    <row r="50" spans="3:19" x14ac:dyDescent="0.25">
      <c r="C50">
        <v>6</v>
      </c>
      <c r="D50">
        <v>303</v>
      </c>
      <c r="R50">
        <v>12790</v>
      </c>
    </row>
    <row r="51" spans="3:19" x14ac:dyDescent="0.25">
      <c r="C51">
        <v>6</v>
      </c>
      <c r="D51" t="s">
        <v>348</v>
      </c>
      <c r="E51">
        <v>1</v>
      </c>
      <c r="I51">
        <v>160</v>
      </c>
      <c r="Q51">
        <v>24820</v>
      </c>
    </row>
    <row r="52" spans="3:19" x14ac:dyDescent="0.25">
      <c r="C52">
        <v>6</v>
      </c>
      <c r="D52">
        <v>30</v>
      </c>
      <c r="E52">
        <v>1</v>
      </c>
      <c r="I52">
        <v>160</v>
      </c>
      <c r="Q52">
        <v>24820</v>
      </c>
    </row>
    <row r="53" spans="3:19" x14ac:dyDescent="0.25">
      <c r="C53" t="s">
        <v>355</v>
      </c>
      <c r="E53">
        <v>12.2</v>
      </c>
      <c r="I53">
        <v>1817.9</v>
      </c>
      <c r="Q53">
        <v>499619</v>
      </c>
      <c r="R53">
        <v>12790</v>
      </c>
      <c r="S53">
        <v>7081.4400023859462</v>
      </c>
    </row>
  </sheetData>
  <hyperlinks>
    <hyperlink ref="A2" location="Obsah!A1" display="Zpět na Obsah  KL 01  1.-4.měsíc" xr:uid="{54B70A2B-B567-4406-9B1D-3B6EF86ED7FB}"/>
  </hyperlinks>
  <pageMargins left="0.7" right="0.7" top="0.78740157499999996" bottom="0.78740157499999996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5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01" customWidth="1" collapsed="1"/>
    <col min="2" max="2" width="7.7109375" style="78" hidden="1" customWidth="1" outlineLevel="1"/>
    <col min="3" max="4" width="5.42578125" style="101" hidden="1" customWidth="1"/>
    <col min="5" max="5" width="7.7109375" style="78" customWidth="1"/>
    <col min="6" max="6" width="7.7109375" style="78" hidden="1" customWidth="1"/>
    <col min="7" max="7" width="5.42578125" style="101" hidden="1" customWidth="1"/>
    <col min="8" max="8" width="7.7109375" style="78" customWidth="1" collapsed="1"/>
    <col min="9" max="9" width="7.7109375" style="179" hidden="1" customWidth="1" outlineLevel="1"/>
    <col min="10" max="10" width="7.7109375" style="179" customWidth="1" collapsed="1"/>
    <col min="11" max="12" width="7.7109375" style="78" hidden="1" customWidth="1"/>
    <col min="13" max="13" width="5.42578125" style="101" hidden="1" customWidth="1"/>
    <col min="14" max="14" width="7.7109375" style="78" customWidth="1"/>
    <col min="15" max="15" width="7.7109375" style="78" hidden="1" customWidth="1"/>
    <col min="16" max="16" width="5.42578125" style="101" hidden="1" customWidth="1"/>
    <col min="17" max="17" width="7.7109375" style="78" customWidth="1" collapsed="1"/>
    <col min="18" max="18" width="7.7109375" style="179" hidden="1" customWidth="1" outlineLevel="1"/>
    <col min="19" max="19" width="7.7109375" style="179" customWidth="1" collapsed="1"/>
    <col min="20" max="21" width="7.7109375" style="78" hidden="1" customWidth="1"/>
    <col min="22" max="22" width="5" style="101" hidden="1" customWidth="1"/>
    <col min="23" max="23" width="7.7109375" style="78" customWidth="1"/>
    <col min="24" max="24" width="7.7109375" style="78" hidden="1" customWidth="1"/>
    <col min="25" max="25" width="5" style="101" hidden="1" customWidth="1"/>
    <col min="26" max="26" width="7.7109375" style="78" customWidth="1" collapsed="1"/>
    <col min="27" max="27" width="7.7109375" style="179" hidden="1" customWidth="1" outlineLevel="1"/>
    <col min="28" max="28" width="7.7109375" style="179" customWidth="1" collapsed="1"/>
    <col min="29" max="16384" width="8.85546875" style="101"/>
  </cols>
  <sheetData>
    <row r="1" spans="1:28" ht="18.600000000000001" customHeight="1" thickBot="1" x14ac:dyDescent="0.35">
      <c r="A1" s="348" t="s">
        <v>365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  <c r="S1" s="276"/>
      <c r="T1" s="276"/>
      <c r="U1" s="276"/>
      <c r="V1" s="276"/>
      <c r="W1" s="276"/>
      <c r="X1" s="276"/>
      <c r="Y1" s="276"/>
      <c r="Z1" s="276"/>
      <c r="AA1" s="276"/>
      <c r="AB1" s="276"/>
    </row>
    <row r="2" spans="1:28" ht="14.45" customHeight="1" thickBot="1" x14ac:dyDescent="0.25">
      <c r="A2" s="192" t="s">
        <v>208</v>
      </c>
      <c r="B2" s="83"/>
      <c r="C2" s="83"/>
      <c r="D2" s="83"/>
      <c r="E2" s="83"/>
      <c r="F2" s="83"/>
      <c r="G2" s="83"/>
      <c r="H2" s="83"/>
      <c r="I2" s="187"/>
      <c r="J2" s="187"/>
      <c r="K2" s="83"/>
      <c r="L2" s="83"/>
      <c r="M2" s="83"/>
      <c r="N2" s="83"/>
      <c r="O2" s="83"/>
      <c r="P2" s="83"/>
      <c r="Q2" s="83"/>
      <c r="R2" s="187"/>
      <c r="S2" s="187"/>
      <c r="T2" s="83"/>
      <c r="U2" s="83"/>
      <c r="V2" s="83"/>
      <c r="W2" s="83"/>
      <c r="X2" s="83"/>
      <c r="Y2" s="83"/>
      <c r="Z2" s="83"/>
      <c r="AA2" s="187"/>
      <c r="AB2" s="187"/>
    </row>
    <row r="3" spans="1:28" ht="14.45" customHeight="1" thickBot="1" x14ac:dyDescent="0.25">
      <c r="A3" s="180" t="s">
        <v>99</v>
      </c>
      <c r="B3" s="181">
        <f>SUBTOTAL(9,B6:B1048576)/4</f>
        <v>2433709.34</v>
      </c>
      <c r="C3" s="182">
        <f t="shared" ref="C3:Z3" si="0">SUBTOTAL(9,C6:C1048576)</f>
        <v>4</v>
      </c>
      <c r="D3" s="182"/>
      <c r="E3" s="182">
        <f>SUBTOTAL(9,E6:E1048576)/4</f>
        <v>2806738.67</v>
      </c>
      <c r="F3" s="182"/>
      <c r="G3" s="182">
        <f t="shared" si="0"/>
        <v>5</v>
      </c>
      <c r="H3" s="182">
        <f>SUBTOTAL(9,H6:H1048576)/4</f>
        <v>2888959</v>
      </c>
      <c r="I3" s="185">
        <f>IF(B3&lt;&gt;0,H3/B3,"")</f>
        <v>1.1870599962442516</v>
      </c>
      <c r="J3" s="183">
        <f>IF(E3&lt;&gt;0,H3/E3,"")</f>
        <v>1.0292939028769643</v>
      </c>
      <c r="K3" s="184">
        <f t="shared" si="0"/>
        <v>0</v>
      </c>
      <c r="L3" s="184"/>
      <c r="M3" s="182">
        <f t="shared" si="0"/>
        <v>0</v>
      </c>
      <c r="N3" s="182">
        <f t="shared" si="0"/>
        <v>0</v>
      </c>
      <c r="O3" s="182"/>
      <c r="P3" s="182">
        <f t="shared" si="0"/>
        <v>0</v>
      </c>
      <c r="Q3" s="182">
        <f t="shared" si="0"/>
        <v>0</v>
      </c>
      <c r="R3" s="185" t="str">
        <f>IF(K3&lt;&gt;0,Q3/K3,"")</f>
        <v/>
      </c>
      <c r="S3" s="185" t="str">
        <f>IF(N3&lt;&gt;0,Q3/N3,"")</f>
        <v/>
      </c>
      <c r="T3" s="181">
        <f t="shared" si="0"/>
        <v>0</v>
      </c>
      <c r="U3" s="184"/>
      <c r="V3" s="182">
        <f t="shared" si="0"/>
        <v>0</v>
      </c>
      <c r="W3" s="182">
        <f t="shared" si="0"/>
        <v>0</v>
      </c>
      <c r="X3" s="182"/>
      <c r="Y3" s="182">
        <f t="shared" si="0"/>
        <v>0</v>
      </c>
      <c r="Z3" s="182">
        <f t="shared" si="0"/>
        <v>0</v>
      </c>
      <c r="AA3" s="185" t="str">
        <f>IF(T3&lt;&gt;0,Z3/T3,"")</f>
        <v/>
      </c>
      <c r="AB3" s="183" t="str">
        <f>IF(W3&lt;&gt;0,Z3/W3,"")</f>
        <v/>
      </c>
    </row>
    <row r="4" spans="1:28" ht="14.45" customHeight="1" x14ac:dyDescent="0.2">
      <c r="A4" s="349" t="s">
        <v>149</v>
      </c>
      <c r="B4" s="350" t="s">
        <v>74</v>
      </c>
      <c r="C4" s="351"/>
      <c r="D4" s="352"/>
      <c r="E4" s="351"/>
      <c r="F4" s="352"/>
      <c r="G4" s="351"/>
      <c r="H4" s="351"/>
      <c r="I4" s="352"/>
      <c r="J4" s="353"/>
      <c r="K4" s="350" t="s">
        <v>75</v>
      </c>
      <c r="L4" s="352"/>
      <c r="M4" s="351"/>
      <c r="N4" s="351"/>
      <c r="O4" s="352"/>
      <c r="P4" s="351"/>
      <c r="Q4" s="351"/>
      <c r="R4" s="352"/>
      <c r="S4" s="353"/>
      <c r="T4" s="350" t="s">
        <v>76</v>
      </c>
      <c r="U4" s="352"/>
      <c r="V4" s="351"/>
      <c r="W4" s="351"/>
      <c r="X4" s="352"/>
      <c r="Y4" s="351"/>
      <c r="Z4" s="351"/>
      <c r="AA4" s="352"/>
      <c r="AB4" s="353"/>
    </row>
    <row r="5" spans="1:28" ht="14.45" customHeight="1" thickBot="1" x14ac:dyDescent="0.25">
      <c r="A5" s="402"/>
      <c r="B5" s="403">
        <v>2015</v>
      </c>
      <c r="C5" s="404"/>
      <c r="D5" s="404"/>
      <c r="E5" s="404">
        <v>2018</v>
      </c>
      <c r="F5" s="404"/>
      <c r="G5" s="404"/>
      <c r="H5" s="404">
        <v>2019</v>
      </c>
      <c r="I5" s="405" t="s">
        <v>150</v>
      </c>
      <c r="J5" s="406" t="s">
        <v>2</v>
      </c>
      <c r="K5" s="403">
        <v>2015</v>
      </c>
      <c r="L5" s="404"/>
      <c r="M5" s="404"/>
      <c r="N5" s="404">
        <v>2018</v>
      </c>
      <c r="O5" s="404"/>
      <c r="P5" s="404"/>
      <c r="Q5" s="404">
        <v>2019</v>
      </c>
      <c r="R5" s="405" t="s">
        <v>150</v>
      </c>
      <c r="S5" s="406" t="s">
        <v>2</v>
      </c>
      <c r="T5" s="403">
        <v>2015</v>
      </c>
      <c r="U5" s="404"/>
      <c r="V5" s="404"/>
      <c r="W5" s="404">
        <v>2018</v>
      </c>
      <c r="X5" s="404"/>
      <c r="Y5" s="404"/>
      <c r="Z5" s="404">
        <v>2019</v>
      </c>
      <c r="AA5" s="405" t="s">
        <v>150</v>
      </c>
      <c r="AB5" s="406" t="s">
        <v>2</v>
      </c>
    </row>
    <row r="6" spans="1:28" ht="14.45" customHeight="1" x14ac:dyDescent="0.25">
      <c r="A6" s="407" t="s">
        <v>363</v>
      </c>
      <c r="B6" s="408">
        <v>2433709.34</v>
      </c>
      <c r="C6" s="409">
        <v>1</v>
      </c>
      <c r="D6" s="409">
        <v>0.86709509724323564</v>
      </c>
      <c r="E6" s="408">
        <v>2806738.67</v>
      </c>
      <c r="F6" s="409">
        <v>1.1532760399399216</v>
      </c>
      <c r="G6" s="409">
        <v>1</v>
      </c>
      <c r="H6" s="408">
        <v>2888959</v>
      </c>
      <c r="I6" s="409">
        <v>1.1870599962442516</v>
      </c>
      <c r="J6" s="409">
        <v>1.0292939028769643</v>
      </c>
      <c r="K6" s="408"/>
      <c r="L6" s="409"/>
      <c r="M6" s="409"/>
      <c r="N6" s="408"/>
      <c r="O6" s="409"/>
      <c r="P6" s="409"/>
      <c r="Q6" s="408"/>
      <c r="R6" s="409"/>
      <c r="S6" s="409"/>
      <c r="T6" s="408"/>
      <c r="U6" s="409"/>
      <c r="V6" s="409"/>
      <c r="W6" s="408"/>
      <c r="X6" s="409"/>
      <c r="Y6" s="409"/>
      <c r="Z6" s="408"/>
      <c r="AA6" s="409"/>
      <c r="AB6" s="410"/>
    </row>
    <row r="7" spans="1:28" ht="14.45" customHeight="1" thickBot="1" x14ac:dyDescent="0.3">
      <c r="A7" s="414" t="s">
        <v>364</v>
      </c>
      <c r="B7" s="411">
        <v>2433709.34</v>
      </c>
      <c r="C7" s="412">
        <v>1</v>
      </c>
      <c r="D7" s="412">
        <v>0.86709509724323564</v>
      </c>
      <c r="E7" s="411">
        <v>2806738.67</v>
      </c>
      <c r="F7" s="412">
        <v>1.1532760399399216</v>
      </c>
      <c r="G7" s="412">
        <v>1</v>
      </c>
      <c r="H7" s="411">
        <v>2888959</v>
      </c>
      <c r="I7" s="412">
        <v>1.1870599962442516</v>
      </c>
      <c r="J7" s="412">
        <v>1.0292939028769643</v>
      </c>
      <c r="K7" s="411"/>
      <c r="L7" s="412"/>
      <c r="M7" s="412"/>
      <c r="N7" s="411"/>
      <c r="O7" s="412"/>
      <c r="P7" s="412"/>
      <c r="Q7" s="411"/>
      <c r="R7" s="412"/>
      <c r="S7" s="412"/>
      <c r="T7" s="411"/>
      <c r="U7" s="412"/>
      <c r="V7" s="412"/>
      <c r="W7" s="411"/>
      <c r="X7" s="412"/>
      <c r="Y7" s="412"/>
      <c r="Z7" s="411"/>
      <c r="AA7" s="412"/>
      <c r="AB7" s="413"/>
    </row>
    <row r="8" spans="1:28" ht="14.45" customHeight="1" thickBot="1" x14ac:dyDescent="0.25"/>
    <row r="9" spans="1:28" ht="14.45" customHeight="1" x14ac:dyDescent="0.25">
      <c r="A9" s="407" t="s">
        <v>341</v>
      </c>
      <c r="B9" s="408">
        <v>2433709.3400000003</v>
      </c>
      <c r="C9" s="409">
        <v>1</v>
      </c>
      <c r="D9" s="409">
        <v>0.86709509724323564</v>
      </c>
      <c r="E9" s="408">
        <v>2806738.6700000004</v>
      </c>
      <c r="F9" s="409">
        <v>1.1532760399399216</v>
      </c>
      <c r="G9" s="409">
        <v>1</v>
      </c>
      <c r="H9" s="408">
        <v>2888959</v>
      </c>
      <c r="I9" s="409">
        <v>1.1870599962442514</v>
      </c>
      <c r="J9" s="410">
        <v>1.0292939028769641</v>
      </c>
    </row>
    <row r="10" spans="1:28" ht="14.45" customHeight="1" x14ac:dyDescent="0.25">
      <c r="A10" s="418" t="s">
        <v>366</v>
      </c>
      <c r="B10" s="415"/>
      <c r="C10" s="416"/>
      <c r="D10" s="416"/>
      <c r="E10" s="415">
        <v>1388</v>
      </c>
      <c r="F10" s="416"/>
      <c r="G10" s="416">
        <v>1</v>
      </c>
      <c r="H10" s="415"/>
      <c r="I10" s="416"/>
      <c r="J10" s="417"/>
    </row>
    <row r="11" spans="1:28" ht="14.45" customHeight="1" thickBot="1" x14ac:dyDescent="0.3">
      <c r="A11" s="414" t="s">
        <v>367</v>
      </c>
      <c r="B11" s="411">
        <v>2433709.3400000003</v>
      </c>
      <c r="C11" s="412">
        <v>1</v>
      </c>
      <c r="D11" s="412">
        <v>0.8675241088487522</v>
      </c>
      <c r="E11" s="411">
        <v>2805350.6700000004</v>
      </c>
      <c r="F11" s="412">
        <v>1.1527057171091764</v>
      </c>
      <c r="G11" s="412">
        <v>1</v>
      </c>
      <c r="H11" s="411">
        <v>2888959</v>
      </c>
      <c r="I11" s="412">
        <v>1.1870599962442514</v>
      </c>
      <c r="J11" s="413">
        <v>1.0298031653917974</v>
      </c>
    </row>
    <row r="12" spans="1:28" ht="14.45" customHeight="1" x14ac:dyDescent="0.2">
      <c r="A12" s="419" t="s">
        <v>185</v>
      </c>
    </row>
    <row r="13" spans="1:28" ht="14.45" customHeight="1" x14ac:dyDescent="0.2">
      <c r="A13" s="420" t="s">
        <v>368</v>
      </c>
    </row>
    <row r="14" spans="1:28" ht="14.45" customHeight="1" x14ac:dyDescent="0.2">
      <c r="A14" s="419" t="s">
        <v>369</v>
      </c>
    </row>
    <row r="15" spans="1:28" ht="14.45" customHeight="1" x14ac:dyDescent="0.2">
      <c r="A15" s="419" t="s">
        <v>370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C750BF86-0472-40D9-B697-2CDCD4548193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24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01" bestFit="1" customWidth="1"/>
    <col min="2" max="2" width="7.7109375" style="176" hidden="1" customWidth="1" outlineLevel="1"/>
    <col min="3" max="3" width="7.7109375" style="176" customWidth="1" collapsed="1"/>
    <col min="4" max="4" width="7.7109375" style="176" customWidth="1"/>
    <col min="5" max="5" width="7.7109375" style="78" hidden="1" customWidth="1" outlineLevel="1"/>
    <col min="6" max="6" width="7.7109375" style="78" customWidth="1" collapsed="1"/>
    <col min="7" max="7" width="7.7109375" style="78" customWidth="1"/>
    <col min="8" max="16384" width="8.85546875" style="101"/>
  </cols>
  <sheetData>
    <row r="1" spans="1:7" ht="18.600000000000001" customHeight="1" thickBot="1" x14ac:dyDescent="0.35">
      <c r="A1" s="348" t="s">
        <v>386</v>
      </c>
      <c r="B1" s="276"/>
      <c r="C1" s="276"/>
      <c r="D1" s="276"/>
      <c r="E1" s="276"/>
      <c r="F1" s="276"/>
      <c r="G1" s="276"/>
    </row>
    <row r="2" spans="1:7" ht="14.45" customHeight="1" thickBot="1" x14ac:dyDescent="0.25">
      <c r="A2" s="192" t="s">
        <v>208</v>
      </c>
      <c r="B2" s="83"/>
      <c r="C2" s="83"/>
      <c r="D2" s="83"/>
      <c r="E2" s="83"/>
      <c r="F2" s="83"/>
      <c r="G2" s="83"/>
    </row>
    <row r="3" spans="1:7" ht="14.45" customHeight="1" thickBot="1" x14ac:dyDescent="0.25">
      <c r="A3" s="222" t="s">
        <v>99</v>
      </c>
      <c r="B3" s="208">
        <f t="shared" ref="B3:G3" si="0">SUBTOTAL(9,B6:B1048576)</f>
        <v>6538</v>
      </c>
      <c r="C3" s="209">
        <f t="shared" si="0"/>
        <v>7515</v>
      </c>
      <c r="D3" s="221">
        <f t="shared" si="0"/>
        <v>7726</v>
      </c>
      <c r="E3" s="184">
        <f t="shared" si="0"/>
        <v>2433709.34</v>
      </c>
      <c r="F3" s="182">
        <f t="shared" si="0"/>
        <v>2806738.67</v>
      </c>
      <c r="G3" s="210">
        <f t="shared" si="0"/>
        <v>2888959.0000000005</v>
      </c>
    </row>
    <row r="4" spans="1:7" ht="14.45" customHeight="1" x14ac:dyDescent="0.2">
      <c r="A4" s="349" t="s">
        <v>100</v>
      </c>
      <c r="B4" s="354" t="s">
        <v>147</v>
      </c>
      <c r="C4" s="352"/>
      <c r="D4" s="355"/>
      <c r="E4" s="354" t="s">
        <v>74</v>
      </c>
      <c r="F4" s="352"/>
      <c r="G4" s="355"/>
    </row>
    <row r="5" spans="1:7" ht="14.45" customHeight="1" thickBot="1" x14ac:dyDescent="0.25">
      <c r="A5" s="402"/>
      <c r="B5" s="403">
        <v>2015</v>
      </c>
      <c r="C5" s="404">
        <v>2018</v>
      </c>
      <c r="D5" s="421">
        <v>2019</v>
      </c>
      <c r="E5" s="403">
        <v>2015</v>
      </c>
      <c r="F5" s="404">
        <v>2018</v>
      </c>
      <c r="G5" s="421">
        <v>2019</v>
      </c>
    </row>
    <row r="6" spans="1:7" ht="14.45" customHeight="1" x14ac:dyDescent="0.2">
      <c r="A6" s="434" t="s">
        <v>366</v>
      </c>
      <c r="B6" s="423"/>
      <c r="C6" s="423">
        <v>4</v>
      </c>
      <c r="D6" s="423"/>
      <c r="E6" s="424"/>
      <c r="F6" s="424">
        <v>1388</v>
      </c>
      <c r="G6" s="425"/>
    </row>
    <row r="7" spans="1:7" ht="14.45" customHeight="1" x14ac:dyDescent="0.2">
      <c r="A7" s="435" t="s">
        <v>371</v>
      </c>
      <c r="B7" s="427">
        <v>293</v>
      </c>
      <c r="C7" s="427">
        <v>380</v>
      </c>
      <c r="D7" s="427">
        <v>288</v>
      </c>
      <c r="E7" s="428">
        <v>115263</v>
      </c>
      <c r="F7" s="428">
        <v>152934</v>
      </c>
      <c r="G7" s="429">
        <v>111450</v>
      </c>
    </row>
    <row r="8" spans="1:7" ht="14.45" customHeight="1" x14ac:dyDescent="0.2">
      <c r="A8" s="435" t="s">
        <v>372</v>
      </c>
      <c r="B8" s="427">
        <v>735</v>
      </c>
      <c r="C8" s="427">
        <v>559</v>
      </c>
      <c r="D8" s="427">
        <v>284</v>
      </c>
      <c r="E8" s="428">
        <v>252933.33000000002</v>
      </c>
      <c r="F8" s="428">
        <v>193733.99</v>
      </c>
      <c r="G8" s="429">
        <v>99400</v>
      </c>
    </row>
    <row r="9" spans="1:7" ht="14.45" customHeight="1" x14ac:dyDescent="0.2">
      <c r="A9" s="435" t="s">
        <v>373</v>
      </c>
      <c r="B9" s="427">
        <v>382</v>
      </c>
      <c r="C9" s="427">
        <v>1058</v>
      </c>
      <c r="D9" s="427">
        <v>1079</v>
      </c>
      <c r="E9" s="428">
        <v>163130</v>
      </c>
      <c r="F9" s="428">
        <v>395257</v>
      </c>
      <c r="G9" s="429">
        <v>388385</v>
      </c>
    </row>
    <row r="10" spans="1:7" ht="14.45" customHeight="1" x14ac:dyDescent="0.2">
      <c r="A10" s="435" t="s">
        <v>374</v>
      </c>
      <c r="B10" s="427">
        <v>965</v>
      </c>
      <c r="C10" s="427">
        <v>965</v>
      </c>
      <c r="D10" s="427">
        <v>988</v>
      </c>
      <c r="E10" s="428">
        <v>345591.31</v>
      </c>
      <c r="F10" s="428">
        <v>343404.99</v>
      </c>
      <c r="G10" s="429">
        <v>357883.98</v>
      </c>
    </row>
    <row r="11" spans="1:7" ht="14.45" customHeight="1" x14ac:dyDescent="0.2">
      <c r="A11" s="435" t="s">
        <v>375</v>
      </c>
      <c r="B11" s="427">
        <v>33</v>
      </c>
      <c r="C11" s="427"/>
      <c r="D11" s="427"/>
      <c r="E11" s="428">
        <v>11451</v>
      </c>
      <c r="F11" s="428"/>
      <c r="G11" s="429"/>
    </row>
    <row r="12" spans="1:7" ht="14.45" customHeight="1" x14ac:dyDescent="0.2">
      <c r="A12" s="435" t="s">
        <v>376</v>
      </c>
      <c r="B12" s="427">
        <v>706</v>
      </c>
      <c r="C12" s="427">
        <v>918</v>
      </c>
      <c r="D12" s="427">
        <v>868</v>
      </c>
      <c r="E12" s="428">
        <v>286322</v>
      </c>
      <c r="F12" s="428">
        <v>364295</v>
      </c>
      <c r="G12" s="429">
        <v>359418</v>
      </c>
    </row>
    <row r="13" spans="1:7" ht="14.45" customHeight="1" x14ac:dyDescent="0.2">
      <c r="A13" s="435" t="s">
        <v>377</v>
      </c>
      <c r="B13" s="427">
        <v>184</v>
      </c>
      <c r="C13" s="427"/>
      <c r="D13" s="427"/>
      <c r="E13" s="428">
        <v>63848</v>
      </c>
      <c r="F13" s="428"/>
      <c r="G13" s="429"/>
    </row>
    <row r="14" spans="1:7" ht="14.45" customHeight="1" x14ac:dyDescent="0.2">
      <c r="A14" s="435" t="s">
        <v>378</v>
      </c>
      <c r="B14" s="427">
        <v>249</v>
      </c>
      <c r="C14" s="427">
        <v>409</v>
      </c>
      <c r="D14" s="427">
        <v>356</v>
      </c>
      <c r="E14" s="428">
        <v>86386.01</v>
      </c>
      <c r="F14" s="428">
        <v>149638.34</v>
      </c>
      <c r="G14" s="429">
        <v>131959.34</v>
      </c>
    </row>
    <row r="15" spans="1:7" ht="14.45" customHeight="1" x14ac:dyDescent="0.2">
      <c r="A15" s="435" t="s">
        <v>379</v>
      </c>
      <c r="B15" s="427">
        <v>710</v>
      </c>
      <c r="C15" s="427">
        <v>755</v>
      </c>
      <c r="D15" s="427">
        <v>985</v>
      </c>
      <c r="E15" s="428">
        <v>223204.64999999997</v>
      </c>
      <c r="F15" s="428">
        <v>246918.31999999998</v>
      </c>
      <c r="G15" s="429">
        <v>327822.00000000006</v>
      </c>
    </row>
    <row r="16" spans="1:7" ht="14.45" customHeight="1" x14ac:dyDescent="0.2">
      <c r="A16" s="435" t="s">
        <v>380</v>
      </c>
      <c r="B16" s="427"/>
      <c r="C16" s="427">
        <v>41</v>
      </c>
      <c r="D16" s="427">
        <v>870</v>
      </c>
      <c r="E16" s="428"/>
      <c r="F16" s="428">
        <v>15626</v>
      </c>
      <c r="G16" s="429">
        <v>320205.62999999995</v>
      </c>
    </row>
    <row r="17" spans="1:7" ht="14.45" customHeight="1" x14ac:dyDescent="0.2">
      <c r="A17" s="435" t="s">
        <v>381</v>
      </c>
      <c r="B17" s="427">
        <v>164</v>
      </c>
      <c r="C17" s="427">
        <v>212</v>
      </c>
      <c r="D17" s="427">
        <v>181</v>
      </c>
      <c r="E17" s="428">
        <v>57678.67</v>
      </c>
      <c r="F17" s="428">
        <v>74340.67</v>
      </c>
      <c r="G17" s="429">
        <v>62250</v>
      </c>
    </row>
    <row r="18" spans="1:7" ht="14.45" customHeight="1" x14ac:dyDescent="0.2">
      <c r="A18" s="435" t="s">
        <v>382</v>
      </c>
      <c r="B18" s="427">
        <v>686</v>
      </c>
      <c r="C18" s="427">
        <v>565</v>
      </c>
      <c r="D18" s="427">
        <v>358</v>
      </c>
      <c r="E18" s="428">
        <v>258240.69000000003</v>
      </c>
      <c r="F18" s="428">
        <v>219683.66999999998</v>
      </c>
      <c r="G18" s="429">
        <v>159858.03000000003</v>
      </c>
    </row>
    <row r="19" spans="1:7" ht="14.45" customHeight="1" x14ac:dyDescent="0.2">
      <c r="A19" s="435" t="s">
        <v>383</v>
      </c>
      <c r="B19" s="427">
        <v>828</v>
      </c>
      <c r="C19" s="427">
        <v>857</v>
      </c>
      <c r="D19" s="427">
        <v>679</v>
      </c>
      <c r="E19" s="428">
        <v>312049.01000000007</v>
      </c>
      <c r="F19" s="428">
        <v>333290.01999999996</v>
      </c>
      <c r="G19" s="429">
        <v>271742.01999999996</v>
      </c>
    </row>
    <row r="20" spans="1:7" ht="14.45" customHeight="1" x14ac:dyDescent="0.2">
      <c r="A20" s="435" t="s">
        <v>384</v>
      </c>
      <c r="B20" s="427">
        <v>276</v>
      </c>
      <c r="C20" s="427">
        <v>138</v>
      </c>
      <c r="D20" s="427"/>
      <c r="E20" s="428">
        <v>115038.67</v>
      </c>
      <c r="F20" s="428">
        <v>62652.67</v>
      </c>
      <c r="G20" s="429"/>
    </row>
    <row r="21" spans="1:7" ht="14.45" customHeight="1" thickBot="1" x14ac:dyDescent="0.25">
      <c r="A21" s="436" t="s">
        <v>385</v>
      </c>
      <c r="B21" s="431">
        <v>327</v>
      </c>
      <c r="C21" s="431">
        <v>654</v>
      </c>
      <c r="D21" s="431">
        <v>790</v>
      </c>
      <c r="E21" s="432">
        <v>142573</v>
      </c>
      <c r="F21" s="432">
        <v>253576</v>
      </c>
      <c r="G21" s="433">
        <v>298585</v>
      </c>
    </row>
    <row r="22" spans="1:7" ht="14.45" customHeight="1" x14ac:dyDescent="0.2">
      <c r="A22" s="419" t="s">
        <v>185</v>
      </c>
    </row>
    <row r="23" spans="1:7" ht="14.45" customHeight="1" x14ac:dyDescent="0.2">
      <c r="A23" s="420" t="s">
        <v>368</v>
      </c>
    </row>
    <row r="24" spans="1:7" ht="14.45" customHeight="1" x14ac:dyDescent="0.2">
      <c r="A24" s="419" t="s">
        <v>369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17CFD7F9-7689-404B-8447-4AD85A949AE5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17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01" customWidth="1"/>
    <col min="2" max="2" width="8.7109375" style="101" bestFit="1" customWidth="1"/>
    <col min="3" max="3" width="6.140625" style="101" customWidth="1"/>
    <col min="4" max="4" width="2.140625" style="101" bestFit="1" customWidth="1"/>
    <col min="5" max="5" width="8" style="101" customWidth="1"/>
    <col min="6" max="6" width="50.85546875" style="101" bestFit="1" customWidth="1" collapsed="1"/>
    <col min="7" max="8" width="11.140625" style="176" hidden="1" customWidth="1" outlineLevel="1"/>
    <col min="9" max="10" width="9.28515625" style="101" hidden="1" customWidth="1"/>
    <col min="11" max="12" width="11.140625" style="176" customWidth="1"/>
    <col min="13" max="14" width="9.28515625" style="101" hidden="1" customWidth="1"/>
    <col min="15" max="16" width="11.140625" style="176" customWidth="1"/>
    <col min="17" max="17" width="11.140625" style="179" customWidth="1"/>
    <col min="18" max="18" width="11.140625" style="176" customWidth="1"/>
    <col min="19" max="16384" width="8.85546875" style="101"/>
  </cols>
  <sheetData>
    <row r="1" spans="1:18" ht="18.600000000000001" customHeight="1" thickBot="1" x14ac:dyDescent="0.35">
      <c r="A1" s="276" t="s">
        <v>414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</row>
    <row r="2" spans="1:18" ht="14.45" customHeight="1" thickBot="1" x14ac:dyDescent="0.25">
      <c r="A2" s="192" t="s">
        <v>208</v>
      </c>
      <c r="B2" s="166"/>
      <c r="C2" s="166"/>
      <c r="D2" s="83"/>
      <c r="E2" s="83"/>
      <c r="F2" s="83"/>
      <c r="G2" s="190"/>
      <c r="H2" s="190"/>
      <c r="I2" s="83"/>
      <c r="J2" s="83"/>
      <c r="K2" s="190"/>
      <c r="L2" s="190"/>
      <c r="M2" s="83"/>
      <c r="N2" s="83"/>
      <c r="O2" s="190"/>
      <c r="P2" s="190"/>
      <c r="Q2" s="187"/>
      <c r="R2" s="190"/>
    </row>
    <row r="3" spans="1:18" ht="14.45" customHeight="1" thickBot="1" x14ac:dyDescent="0.25">
      <c r="F3" s="62" t="s">
        <v>99</v>
      </c>
      <c r="G3" s="74">
        <f t="shared" ref="G3:P3" si="0">SUBTOTAL(9,G6:G1048576)</f>
        <v>6538</v>
      </c>
      <c r="H3" s="75">
        <f t="shared" si="0"/>
        <v>2433709.34</v>
      </c>
      <c r="I3" s="57"/>
      <c r="J3" s="57"/>
      <c r="K3" s="75">
        <f t="shared" si="0"/>
        <v>7515</v>
      </c>
      <c r="L3" s="75">
        <f t="shared" si="0"/>
        <v>2806738.67</v>
      </c>
      <c r="M3" s="57"/>
      <c r="N3" s="57"/>
      <c r="O3" s="75">
        <f t="shared" si="0"/>
        <v>7726</v>
      </c>
      <c r="P3" s="75">
        <f t="shared" si="0"/>
        <v>2888959</v>
      </c>
      <c r="Q3" s="58">
        <f>IF(L3=0,0,P3/L3)</f>
        <v>1.0292939028769643</v>
      </c>
      <c r="R3" s="76">
        <f>IF(O3=0,0,P3/O3)</f>
        <v>373.92687030805075</v>
      </c>
    </row>
    <row r="4" spans="1:18" ht="14.45" customHeight="1" x14ac:dyDescent="0.2">
      <c r="A4" s="356" t="s">
        <v>151</v>
      </c>
      <c r="B4" s="356" t="s">
        <v>70</v>
      </c>
      <c r="C4" s="364" t="s">
        <v>0</v>
      </c>
      <c r="D4" s="358" t="s">
        <v>71</v>
      </c>
      <c r="E4" s="363" t="s">
        <v>46</v>
      </c>
      <c r="F4" s="359" t="s">
        <v>45</v>
      </c>
      <c r="G4" s="360">
        <v>2015</v>
      </c>
      <c r="H4" s="361"/>
      <c r="I4" s="73"/>
      <c r="J4" s="73"/>
      <c r="K4" s="360">
        <v>2018</v>
      </c>
      <c r="L4" s="361"/>
      <c r="M4" s="73"/>
      <c r="N4" s="73"/>
      <c r="O4" s="360">
        <v>2019</v>
      </c>
      <c r="P4" s="361"/>
      <c r="Q4" s="362" t="s">
        <v>2</v>
      </c>
      <c r="R4" s="357" t="s">
        <v>73</v>
      </c>
    </row>
    <row r="5" spans="1:18" ht="14.45" customHeight="1" thickBot="1" x14ac:dyDescent="0.25">
      <c r="A5" s="437"/>
      <c r="B5" s="437"/>
      <c r="C5" s="438"/>
      <c r="D5" s="439"/>
      <c r="E5" s="440"/>
      <c r="F5" s="441"/>
      <c r="G5" s="442" t="s">
        <v>47</v>
      </c>
      <c r="H5" s="443" t="s">
        <v>4</v>
      </c>
      <c r="I5" s="444"/>
      <c r="J5" s="444"/>
      <c r="K5" s="442" t="s">
        <v>47</v>
      </c>
      <c r="L5" s="443" t="s">
        <v>4</v>
      </c>
      <c r="M5" s="444"/>
      <c r="N5" s="444"/>
      <c r="O5" s="442" t="s">
        <v>47</v>
      </c>
      <c r="P5" s="443" t="s">
        <v>4</v>
      </c>
      <c r="Q5" s="445"/>
      <c r="R5" s="446"/>
    </row>
    <row r="6" spans="1:18" ht="14.45" customHeight="1" x14ac:dyDescent="0.2">
      <c r="A6" s="422" t="s">
        <v>387</v>
      </c>
      <c r="B6" s="447" t="s">
        <v>388</v>
      </c>
      <c r="C6" s="447" t="s">
        <v>341</v>
      </c>
      <c r="D6" s="447" t="s">
        <v>389</v>
      </c>
      <c r="E6" s="447" t="s">
        <v>390</v>
      </c>
      <c r="F6" s="447" t="s">
        <v>391</v>
      </c>
      <c r="G6" s="423">
        <v>152</v>
      </c>
      <c r="H6" s="423">
        <v>11248</v>
      </c>
      <c r="I6" s="447">
        <v>1.9</v>
      </c>
      <c r="J6" s="447">
        <v>74</v>
      </c>
      <c r="K6" s="423">
        <v>80</v>
      </c>
      <c r="L6" s="423">
        <v>5920</v>
      </c>
      <c r="M6" s="447">
        <v>1</v>
      </c>
      <c r="N6" s="447">
        <v>74</v>
      </c>
      <c r="O6" s="423">
        <v>100</v>
      </c>
      <c r="P6" s="423">
        <v>7500</v>
      </c>
      <c r="Q6" s="448">
        <v>1.2668918918918919</v>
      </c>
      <c r="R6" s="449">
        <v>75</v>
      </c>
    </row>
    <row r="7" spans="1:18" ht="14.45" customHeight="1" x14ac:dyDescent="0.2">
      <c r="A7" s="426" t="s">
        <v>387</v>
      </c>
      <c r="B7" s="450" t="s">
        <v>388</v>
      </c>
      <c r="C7" s="450" t="s">
        <v>341</v>
      </c>
      <c r="D7" s="450" t="s">
        <v>389</v>
      </c>
      <c r="E7" s="450" t="s">
        <v>392</v>
      </c>
      <c r="F7" s="450" t="s">
        <v>393</v>
      </c>
      <c r="G7" s="427">
        <v>4450</v>
      </c>
      <c r="H7" s="427">
        <v>1544150</v>
      </c>
      <c r="I7" s="450">
        <v>0.94519966015293122</v>
      </c>
      <c r="J7" s="450">
        <v>347</v>
      </c>
      <c r="K7" s="427">
        <v>4708</v>
      </c>
      <c r="L7" s="427">
        <v>1633676</v>
      </c>
      <c r="M7" s="450">
        <v>1</v>
      </c>
      <c r="N7" s="450">
        <v>347</v>
      </c>
      <c r="O7" s="427">
        <v>5261</v>
      </c>
      <c r="P7" s="427">
        <v>1841350</v>
      </c>
      <c r="Q7" s="451">
        <v>1.1271206775394875</v>
      </c>
      <c r="R7" s="452">
        <v>350</v>
      </c>
    </row>
    <row r="8" spans="1:18" ht="14.45" customHeight="1" x14ac:dyDescent="0.2">
      <c r="A8" s="426" t="s">
        <v>387</v>
      </c>
      <c r="B8" s="450" t="s">
        <v>388</v>
      </c>
      <c r="C8" s="450" t="s">
        <v>341</v>
      </c>
      <c r="D8" s="450" t="s">
        <v>389</v>
      </c>
      <c r="E8" s="450" t="s">
        <v>394</v>
      </c>
      <c r="F8" s="450" t="s">
        <v>395</v>
      </c>
      <c r="G8" s="427"/>
      <c r="H8" s="427"/>
      <c r="I8" s="450"/>
      <c r="J8" s="450"/>
      <c r="K8" s="427"/>
      <c r="L8" s="427"/>
      <c r="M8" s="450"/>
      <c r="N8" s="450"/>
      <c r="O8" s="427">
        <v>54</v>
      </c>
      <c r="P8" s="427">
        <v>12582</v>
      </c>
      <c r="Q8" s="451"/>
      <c r="R8" s="452">
        <v>233</v>
      </c>
    </row>
    <row r="9" spans="1:18" ht="14.45" customHeight="1" x14ac:dyDescent="0.2">
      <c r="A9" s="426" t="s">
        <v>387</v>
      </c>
      <c r="B9" s="450" t="s">
        <v>388</v>
      </c>
      <c r="C9" s="450" t="s">
        <v>341</v>
      </c>
      <c r="D9" s="450" t="s">
        <v>389</v>
      </c>
      <c r="E9" s="450" t="s">
        <v>396</v>
      </c>
      <c r="F9" s="450" t="s">
        <v>397</v>
      </c>
      <c r="G9" s="427">
        <v>511</v>
      </c>
      <c r="H9" s="427">
        <v>177317</v>
      </c>
      <c r="I9" s="450">
        <v>0.48207547169811321</v>
      </c>
      <c r="J9" s="450">
        <v>347</v>
      </c>
      <c r="K9" s="427">
        <v>1060</v>
      </c>
      <c r="L9" s="427">
        <v>367820</v>
      </c>
      <c r="M9" s="450">
        <v>1</v>
      </c>
      <c r="N9" s="450">
        <v>347</v>
      </c>
      <c r="O9" s="427">
        <v>946</v>
      </c>
      <c r="P9" s="427">
        <v>331100</v>
      </c>
      <c r="Q9" s="451">
        <v>0.9001685607090425</v>
      </c>
      <c r="R9" s="452">
        <v>350</v>
      </c>
    </row>
    <row r="10" spans="1:18" ht="14.45" customHeight="1" x14ac:dyDescent="0.2">
      <c r="A10" s="426" t="s">
        <v>387</v>
      </c>
      <c r="B10" s="450" t="s">
        <v>388</v>
      </c>
      <c r="C10" s="450" t="s">
        <v>341</v>
      </c>
      <c r="D10" s="450" t="s">
        <v>389</v>
      </c>
      <c r="E10" s="450" t="s">
        <v>398</v>
      </c>
      <c r="F10" s="450" t="s">
        <v>399</v>
      </c>
      <c r="G10" s="427">
        <v>38</v>
      </c>
      <c r="H10" s="427">
        <v>13186</v>
      </c>
      <c r="I10" s="450">
        <v>0.296875</v>
      </c>
      <c r="J10" s="450">
        <v>347</v>
      </c>
      <c r="K10" s="427">
        <v>128</v>
      </c>
      <c r="L10" s="427">
        <v>44416</v>
      </c>
      <c r="M10" s="450">
        <v>1</v>
      </c>
      <c r="N10" s="450">
        <v>347</v>
      </c>
      <c r="O10" s="427">
        <v>32</v>
      </c>
      <c r="P10" s="427">
        <v>11200</v>
      </c>
      <c r="Q10" s="451">
        <v>0.25216138328530258</v>
      </c>
      <c r="R10" s="452">
        <v>350</v>
      </c>
    </row>
    <row r="11" spans="1:18" ht="14.45" customHeight="1" x14ac:dyDescent="0.2">
      <c r="A11" s="426" t="s">
        <v>387</v>
      </c>
      <c r="B11" s="450" t="s">
        <v>388</v>
      </c>
      <c r="C11" s="450" t="s">
        <v>341</v>
      </c>
      <c r="D11" s="450" t="s">
        <v>389</v>
      </c>
      <c r="E11" s="450" t="s">
        <v>400</v>
      </c>
      <c r="F11" s="450" t="s">
        <v>401</v>
      </c>
      <c r="G11" s="427">
        <v>208</v>
      </c>
      <c r="H11" s="427">
        <v>6933.3399999999992</v>
      </c>
      <c r="I11" s="450">
        <v>0.96744234072449253</v>
      </c>
      <c r="J11" s="450">
        <v>33.333365384615384</v>
      </c>
      <c r="K11" s="427">
        <v>215</v>
      </c>
      <c r="L11" s="427">
        <v>7166.67</v>
      </c>
      <c r="M11" s="450">
        <v>1</v>
      </c>
      <c r="N11" s="450">
        <v>33.3333488372093</v>
      </c>
      <c r="O11" s="427">
        <v>168</v>
      </c>
      <c r="P11" s="427">
        <v>5600</v>
      </c>
      <c r="Q11" s="451">
        <v>0.78139498539768115</v>
      </c>
      <c r="R11" s="452">
        <v>33.333333333333336</v>
      </c>
    </row>
    <row r="12" spans="1:18" ht="14.45" customHeight="1" x14ac:dyDescent="0.2">
      <c r="A12" s="426" t="s">
        <v>387</v>
      </c>
      <c r="B12" s="450" t="s">
        <v>388</v>
      </c>
      <c r="C12" s="450" t="s">
        <v>341</v>
      </c>
      <c r="D12" s="450" t="s">
        <v>389</v>
      </c>
      <c r="E12" s="450" t="s">
        <v>402</v>
      </c>
      <c r="F12" s="450" t="s">
        <v>403</v>
      </c>
      <c r="G12" s="427">
        <v>600</v>
      </c>
      <c r="H12" s="427">
        <v>348000</v>
      </c>
      <c r="I12" s="450">
        <v>0.98352594049668063</v>
      </c>
      <c r="J12" s="450">
        <v>580</v>
      </c>
      <c r="K12" s="427">
        <v>609</v>
      </c>
      <c r="L12" s="427">
        <v>353829</v>
      </c>
      <c r="M12" s="450">
        <v>1</v>
      </c>
      <c r="N12" s="450">
        <v>581</v>
      </c>
      <c r="O12" s="427">
        <v>534</v>
      </c>
      <c r="P12" s="427">
        <v>313458</v>
      </c>
      <c r="Q12" s="451">
        <v>0.88590251223048422</v>
      </c>
      <c r="R12" s="452">
        <v>587</v>
      </c>
    </row>
    <row r="13" spans="1:18" ht="14.45" customHeight="1" x14ac:dyDescent="0.2">
      <c r="A13" s="426" t="s">
        <v>387</v>
      </c>
      <c r="B13" s="450" t="s">
        <v>388</v>
      </c>
      <c r="C13" s="450" t="s">
        <v>341</v>
      </c>
      <c r="D13" s="450" t="s">
        <v>389</v>
      </c>
      <c r="E13" s="450" t="s">
        <v>404</v>
      </c>
      <c r="F13" s="450" t="s">
        <v>405</v>
      </c>
      <c r="G13" s="427">
        <v>385</v>
      </c>
      <c r="H13" s="427">
        <v>223685</v>
      </c>
      <c r="I13" s="450">
        <v>1.2240079234793266</v>
      </c>
      <c r="J13" s="450">
        <v>581</v>
      </c>
      <c r="K13" s="427">
        <v>314</v>
      </c>
      <c r="L13" s="427">
        <v>182748</v>
      </c>
      <c r="M13" s="450">
        <v>1</v>
      </c>
      <c r="N13" s="450">
        <v>582</v>
      </c>
      <c r="O13" s="427">
        <v>296</v>
      </c>
      <c r="P13" s="427">
        <v>174048</v>
      </c>
      <c r="Q13" s="451">
        <v>0.95239345984634582</v>
      </c>
      <c r="R13" s="452">
        <v>588</v>
      </c>
    </row>
    <row r="14" spans="1:18" ht="14.45" customHeight="1" x14ac:dyDescent="0.2">
      <c r="A14" s="426" t="s">
        <v>387</v>
      </c>
      <c r="B14" s="450" t="s">
        <v>388</v>
      </c>
      <c r="C14" s="450" t="s">
        <v>341</v>
      </c>
      <c r="D14" s="450" t="s">
        <v>389</v>
      </c>
      <c r="E14" s="450" t="s">
        <v>406</v>
      </c>
      <c r="F14" s="450" t="s">
        <v>407</v>
      </c>
      <c r="G14" s="427">
        <v>12</v>
      </c>
      <c r="H14" s="427">
        <v>3492</v>
      </c>
      <c r="I14" s="450"/>
      <c r="J14" s="450">
        <v>291</v>
      </c>
      <c r="K14" s="427"/>
      <c r="L14" s="427"/>
      <c r="M14" s="450"/>
      <c r="N14" s="450"/>
      <c r="O14" s="427">
        <v>4</v>
      </c>
      <c r="P14" s="427">
        <v>1176</v>
      </c>
      <c r="Q14" s="451"/>
      <c r="R14" s="452">
        <v>294</v>
      </c>
    </row>
    <row r="15" spans="1:18" ht="14.45" customHeight="1" x14ac:dyDescent="0.2">
      <c r="A15" s="426" t="s">
        <v>387</v>
      </c>
      <c r="B15" s="450" t="s">
        <v>388</v>
      </c>
      <c r="C15" s="450" t="s">
        <v>341</v>
      </c>
      <c r="D15" s="450" t="s">
        <v>389</v>
      </c>
      <c r="E15" s="450" t="s">
        <v>408</v>
      </c>
      <c r="F15" s="450" t="s">
        <v>409</v>
      </c>
      <c r="G15" s="427">
        <v>138</v>
      </c>
      <c r="H15" s="427">
        <v>80178</v>
      </c>
      <c r="I15" s="450">
        <v>0.62055354323395562</v>
      </c>
      <c r="J15" s="450">
        <v>581</v>
      </c>
      <c r="K15" s="427">
        <v>222</v>
      </c>
      <c r="L15" s="427">
        <v>129204</v>
      </c>
      <c r="M15" s="450">
        <v>1</v>
      </c>
      <c r="N15" s="450">
        <v>582</v>
      </c>
      <c r="O15" s="427">
        <v>164</v>
      </c>
      <c r="P15" s="427">
        <v>96432</v>
      </c>
      <c r="Q15" s="451">
        <v>0.74635460202470516</v>
      </c>
      <c r="R15" s="452">
        <v>588</v>
      </c>
    </row>
    <row r="16" spans="1:18" ht="14.45" customHeight="1" x14ac:dyDescent="0.2">
      <c r="A16" s="426" t="s">
        <v>387</v>
      </c>
      <c r="B16" s="450" t="s">
        <v>388</v>
      </c>
      <c r="C16" s="450" t="s">
        <v>341</v>
      </c>
      <c r="D16" s="450" t="s">
        <v>389</v>
      </c>
      <c r="E16" s="450" t="s">
        <v>410</v>
      </c>
      <c r="F16" s="450" t="s">
        <v>411</v>
      </c>
      <c r="G16" s="427">
        <v>44</v>
      </c>
      <c r="H16" s="427">
        <v>25520</v>
      </c>
      <c r="I16" s="450">
        <v>0.42644920876292969</v>
      </c>
      <c r="J16" s="450">
        <v>580</v>
      </c>
      <c r="K16" s="427">
        <v>103</v>
      </c>
      <c r="L16" s="427">
        <v>59843</v>
      </c>
      <c r="M16" s="450">
        <v>1</v>
      </c>
      <c r="N16" s="450">
        <v>581</v>
      </c>
      <c r="O16" s="427">
        <v>155</v>
      </c>
      <c r="P16" s="427">
        <v>90985</v>
      </c>
      <c r="Q16" s="451">
        <v>1.5203950336714402</v>
      </c>
      <c r="R16" s="452">
        <v>587</v>
      </c>
    </row>
    <row r="17" spans="1:18" ht="14.45" customHeight="1" thickBot="1" x14ac:dyDescent="0.25">
      <c r="A17" s="430" t="s">
        <v>387</v>
      </c>
      <c r="B17" s="453" t="s">
        <v>388</v>
      </c>
      <c r="C17" s="453" t="s">
        <v>341</v>
      </c>
      <c r="D17" s="453" t="s">
        <v>389</v>
      </c>
      <c r="E17" s="453" t="s">
        <v>412</v>
      </c>
      <c r="F17" s="453" t="s">
        <v>413</v>
      </c>
      <c r="G17" s="431"/>
      <c r="H17" s="431"/>
      <c r="I17" s="453"/>
      <c r="J17" s="453"/>
      <c r="K17" s="431">
        <v>76</v>
      </c>
      <c r="L17" s="431">
        <v>22116</v>
      </c>
      <c r="M17" s="453">
        <v>1</v>
      </c>
      <c r="N17" s="453">
        <v>291</v>
      </c>
      <c r="O17" s="431">
        <v>12</v>
      </c>
      <c r="P17" s="431">
        <v>3528</v>
      </c>
      <c r="Q17" s="454">
        <v>0.15952251763429193</v>
      </c>
      <c r="R17" s="455">
        <v>294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512A5CE2-1F50-4C56-88B7-7915B53749F9}"/>
  </hyperlinks>
  <pageMargins left="0.25" right="0.25" top="0.75" bottom="0.75" header="0.3" footer="0.3"/>
  <pageSetup paperSize="9" scale="7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81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01" customWidth="1"/>
    <col min="2" max="2" width="8.7109375" style="101" bestFit="1" customWidth="1"/>
    <col min="3" max="3" width="6.140625" style="101" customWidth="1"/>
    <col min="4" max="4" width="27.7109375" style="101" customWidth="1"/>
    <col min="5" max="5" width="2.140625" style="101" bestFit="1" customWidth="1"/>
    <col min="6" max="6" width="8" style="101" customWidth="1"/>
    <col min="7" max="7" width="50.85546875" style="101" bestFit="1" customWidth="1" collapsed="1"/>
    <col min="8" max="9" width="11.140625" style="176" hidden="1" customWidth="1" outlineLevel="1"/>
    <col min="10" max="11" width="9.28515625" style="101" hidden="1" customWidth="1"/>
    <col min="12" max="13" width="11.140625" style="176" customWidth="1"/>
    <col min="14" max="15" width="9.28515625" style="101" hidden="1" customWidth="1"/>
    <col min="16" max="17" width="11.140625" style="176" customWidth="1"/>
    <col min="18" max="18" width="11.140625" style="179" customWidth="1"/>
    <col min="19" max="19" width="11.140625" style="176" customWidth="1"/>
    <col min="20" max="16384" width="8.85546875" style="101"/>
  </cols>
  <sheetData>
    <row r="1" spans="1:19" ht="18.600000000000001" customHeight="1" thickBot="1" x14ac:dyDescent="0.35">
      <c r="A1" s="276" t="s">
        <v>415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</row>
    <row r="2" spans="1:19" ht="14.45" customHeight="1" thickBot="1" x14ac:dyDescent="0.25">
      <c r="A2" s="192" t="s">
        <v>208</v>
      </c>
      <c r="B2" s="166"/>
      <c r="C2" s="166"/>
      <c r="D2" s="166"/>
      <c r="E2" s="83"/>
      <c r="F2" s="83"/>
      <c r="G2" s="83"/>
      <c r="H2" s="190"/>
      <c r="I2" s="190"/>
      <c r="J2" s="83"/>
      <c r="K2" s="83"/>
      <c r="L2" s="190"/>
      <c r="M2" s="190"/>
      <c r="N2" s="83"/>
      <c r="O2" s="83"/>
      <c r="P2" s="190"/>
      <c r="Q2" s="190"/>
      <c r="R2" s="187"/>
      <c r="S2" s="190"/>
    </row>
    <row r="3" spans="1:19" ht="14.45" customHeight="1" thickBot="1" x14ac:dyDescent="0.25">
      <c r="G3" s="62" t="s">
        <v>99</v>
      </c>
      <c r="H3" s="74">
        <f t="shared" ref="H3:Q3" si="0">SUBTOTAL(9,H6:H1048576)</f>
        <v>6538</v>
      </c>
      <c r="I3" s="75">
        <f t="shared" si="0"/>
        <v>2433709.34</v>
      </c>
      <c r="J3" s="57"/>
      <c r="K3" s="57"/>
      <c r="L3" s="75">
        <f t="shared" si="0"/>
        <v>7515</v>
      </c>
      <c r="M3" s="75">
        <f t="shared" si="0"/>
        <v>2806738.67</v>
      </c>
      <c r="N3" s="57"/>
      <c r="O3" s="57"/>
      <c r="P3" s="75">
        <f t="shared" si="0"/>
        <v>7726</v>
      </c>
      <c r="Q3" s="75">
        <f t="shared" si="0"/>
        <v>2888959</v>
      </c>
      <c r="R3" s="58">
        <f>IF(M3=0,0,Q3/M3)</f>
        <v>1.0292939028769643</v>
      </c>
      <c r="S3" s="76">
        <f>IF(P3=0,0,Q3/P3)</f>
        <v>373.92687030805075</v>
      </c>
    </row>
    <row r="4" spans="1:19" ht="14.45" customHeight="1" x14ac:dyDescent="0.2">
      <c r="A4" s="356" t="s">
        <v>151</v>
      </c>
      <c r="B4" s="356" t="s">
        <v>70</v>
      </c>
      <c r="C4" s="364" t="s">
        <v>0</v>
      </c>
      <c r="D4" s="215" t="s">
        <v>100</v>
      </c>
      <c r="E4" s="358" t="s">
        <v>71</v>
      </c>
      <c r="F4" s="363" t="s">
        <v>46</v>
      </c>
      <c r="G4" s="359" t="s">
        <v>45</v>
      </c>
      <c r="H4" s="360">
        <v>2015</v>
      </c>
      <c r="I4" s="361"/>
      <c r="J4" s="73"/>
      <c r="K4" s="73"/>
      <c r="L4" s="360">
        <v>2018</v>
      </c>
      <c r="M4" s="361"/>
      <c r="N4" s="73"/>
      <c r="O4" s="73"/>
      <c r="P4" s="360">
        <v>2019</v>
      </c>
      <c r="Q4" s="361"/>
      <c r="R4" s="362" t="s">
        <v>2</v>
      </c>
      <c r="S4" s="357" t="s">
        <v>73</v>
      </c>
    </row>
    <row r="5" spans="1:19" ht="14.45" customHeight="1" thickBot="1" x14ac:dyDescent="0.25">
      <c r="A5" s="437"/>
      <c r="B5" s="437"/>
      <c r="C5" s="438"/>
      <c r="D5" s="456"/>
      <c r="E5" s="439"/>
      <c r="F5" s="440"/>
      <c r="G5" s="441"/>
      <c r="H5" s="442" t="s">
        <v>47</v>
      </c>
      <c r="I5" s="443" t="s">
        <v>4</v>
      </c>
      <c r="J5" s="444"/>
      <c r="K5" s="444"/>
      <c r="L5" s="442" t="s">
        <v>47</v>
      </c>
      <c r="M5" s="443" t="s">
        <v>4</v>
      </c>
      <c r="N5" s="444"/>
      <c r="O5" s="444"/>
      <c r="P5" s="442" t="s">
        <v>47</v>
      </c>
      <c r="Q5" s="443" t="s">
        <v>4</v>
      </c>
      <c r="R5" s="445"/>
      <c r="S5" s="446"/>
    </row>
    <row r="6" spans="1:19" ht="14.45" customHeight="1" x14ac:dyDescent="0.2">
      <c r="A6" s="422" t="s">
        <v>387</v>
      </c>
      <c r="B6" s="447" t="s">
        <v>388</v>
      </c>
      <c r="C6" s="447" t="s">
        <v>341</v>
      </c>
      <c r="D6" s="447" t="s">
        <v>366</v>
      </c>
      <c r="E6" s="447" t="s">
        <v>389</v>
      </c>
      <c r="F6" s="447" t="s">
        <v>392</v>
      </c>
      <c r="G6" s="447" t="s">
        <v>393</v>
      </c>
      <c r="H6" s="423"/>
      <c r="I6" s="423"/>
      <c r="J6" s="447"/>
      <c r="K6" s="447"/>
      <c r="L6" s="423">
        <v>4</v>
      </c>
      <c r="M6" s="423">
        <v>1388</v>
      </c>
      <c r="N6" s="447">
        <v>1</v>
      </c>
      <c r="O6" s="447">
        <v>347</v>
      </c>
      <c r="P6" s="423"/>
      <c r="Q6" s="423"/>
      <c r="R6" s="448"/>
      <c r="S6" s="449"/>
    </row>
    <row r="7" spans="1:19" ht="14.45" customHeight="1" x14ac:dyDescent="0.2">
      <c r="A7" s="426" t="s">
        <v>387</v>
      </c>
      <c r="B7" s="450" t="s">
        <v>388</v>
      </c>
      <c r="C7" s="450" t="s">
        <v>341</v>
      </c>
      <c r="D7" s="450" t="s">
        <v>371</v>
      </c>
      <c r="E7" s="450" t="s">
        <v>389</v>
      </c>
      <c r="F7" s="450" t="s">
        <v>390</v>
      </c>
      <c r="G7" s="450" t="s">
        <v>391</v>
      </c>
      <c r="H7" s="427">
        <v>6</v>
      </c>
      <c r="I7" s="427">
        <v>444</v>
      </c>
      <c r="J7" s="450">
        <v>3</v>
      </c>
      <c r="K7" s="450">
        <v>74</v>
      </c>
      <c r="L7" s="427">
        <v>2</v>
      </c>
      <c r="M7" s="427">
        <v>148</v>
      </c>
      <c r="N7" s="450">
        <v>1</v>
      </c>
      <c r="O7" s="450">
        <v>74</v>
      </c>
      <c r="P7" s="427">
        <v>2</v>
      </c>
      <c r="Q7" s="427">
        <v>150</v>
      </c>
      <c r="R7" s="451">
        <v>1.0135135135135136</v>
      </c>
      <c r="S7" s="452">
        <v>75</v>
      </c>
    </row>
    <row r="8" spans="1:19" ht="14.45" customHeight="1" x14ac:dyDescent="0.2">
      <c r="A8" s="426" t="s">
        <v>387</v>
      </c>
      <c r="B8" s="450" t="s">
        <v>388</v>
      </c>
      <c r="C8" s="450" t="s">
        <v>341</v>
      </c>
      <c r="D8" s="450" t="s">
        <v>371</v>
      </c>
      <c r="E8" s="450" t="s">
        <v>389</v>
      </c>
      <c r="F8" s="450" t="s">
        <v>392</v>
      </c>
      <c r="G8" s="450" t="s">
        <v>393</v>
      </c>
      <c r="H8" s="427">
        <v>22</v>
      </c>
      <c r="I8" s="427">
        <v>7634</v>
      </c>
      <c r="J8" s="450">
        <v>0.61111111111111116</v>
      </c>
      <c r="K8" s="450">
        <v>347</v>
      </c>
      <c r="L8" s="427">
        <v>36</v>
      </c>
      <c r="M8" s="427">
        <v>12492</v>
      </c>
      <c r="N8" s="450">
        <v>1</v>
      </c>
      <c r="O8" s="450">
        <v>347</v>
      </c>
      <c r="P8" s="427">
        <v>44</v>
      </c>
      <c r="Q8" s="427">
        <v>15400</v>
      </c>
      <c r="R8" s="451">
        <v>1.2327889849503681</v>
      </c>
      <c r="S8" s="452">
        <v>350</v>
      </c>
    </row>
    <row r="9" spans="1:19" ht="14.45" customHeight="1" x14ac:dyDescent="0.2">
      <c r="A9" s="426" t="s">
        <v>387</v>
      </c>
      <c r="B9" s="450" t="s">
        <v>388</v>
      </c>
      <c r="C9" s="450" t="s">
        <v>341</v>
      </c>
      <c r="D9" s="450" t="s">
        <v>371</v>
      </c>
      <c r="E9" s="450" t="s">
        <v>389</v>
      </c>
      <c r="F9" s="450" t="s">
        <v>396</v>
      </c>
      <c r="G9" s="450" t="s">
        <v>397</v>
      </c>
      <c r="H9" s="427">
        <v>190</v>
      </c>
      <c r="I9" s="427">
        <v>65930</v>
      </c>
      <c r="J9" s="450">
        <v>0.76</v>
      </c>
      <c r="K9" s="450">
        <v>347</v>
      </c>
      <c r="L9" s="427">
        <v>250</v>
      </c>
      <c r="M9" s="427">
        <v>86750</v>
      </c>
      <c r="N9" s="450">
        <v>1</v>
      </c>
      <c r="O9" s="450">
        <v>347</v>
      </c>
      <c r="P9" s="427">
        <v>190</v>
      </c>
      <c r="Q9" s="427">
        <v>66500</v>
      </c>
      <c r="R9" s="451">
        <v>0.7665706051873199</v>
      </c>
      <c r="S9" s="452">
        <v>350</v>
      </c>
    </row>
    <row r="10" spans="1:19" ht="14.45" customHeight="1" x14ac:dyDescent="0.2">
      <c r="A10" s="426" t="s">
        <v>387</v>
      </c>
      <c r="B10" s="450" t="s">
        <v>388</v>
      </c>
      <c r="C10" s="450" t="s">
        <v>341</v>
      </c>
      <c r="D10" s="450" t="s">
        <v>371</v>
      </c>
      <c r="E10" s="450" t="s">
        <v>389</v>
      </c>
      <c r="F10" s="450" t="s">
        <v>404</v>
      </c>
      <c r="G10" s="450" t="s">
        <v>405</v>
      </c>
      <c r="H10" s="427">
        <v>59</v>
      </c>
      <c r="I10" s="427">
        <v>34279</v>
      </c>
      <c r="J10" s="450">
        <v>0.66930256169946889</v>
      </c>
      <c r="K10" s="450">
        <v>581</v>
      </c>
      <c r="L10" s="427">
        <v>88</v>
      </c>
      <c r="M10" s="427">
        <v>51216</v>
      </c>
      <c r="N10" s="450">
        <v>1</v>
      </c>
      <c r="O10" s="450">
        <v>582</v>
      </c>
      <c r="P10" s="427">
        <v>48</v>
      </c>
      <c r="Q10" s="427">
        <v>28224</v>
      </c>
      <c r="R10" s="451">
        <v>0.55107778819119024</v>
      </c>
      <c r="S10" s="452">
        <v>588</v>
      </c>
    </row>
    <row r="11" spans="1:19" ht="14.45" customHeight="1" x14ac:dyDescent="0.2">
      <c r="A11" s="426" t="s">
        <v>387</v>
      </c>
      <c r="B11" s="450" t="s">
        <v>388</v>
      </c>
      <c r="C11" s="450" t="s">
        <v>341</v>
      </c>
      <c r="D11" s="450" t="s">
        <v>371</v>
      </c>
      <c r="E11" s="450" t="s">
        <v>389</v>
      </c>
      <c r="F11" s="450" t="s">
        <v>406</v>
      </c>
      <c r="G11" s="450" t="s">
        <v>407</v>
      </c>
      <c r="H11" s="427">
        <v>8</v>
      </c>
      <c r="I11" s="427">
        <v>2328</v>
      </c>
      <c r="J11" s="450"/>
      <c r="K11" s="450">
        <v>291</v>
      </c>
      <c r="L11" s="427"/>
      <c r="M11" s="427"/>
      <c r="N11" s="450"/>
      <c r="O11" s="450"/>
      <c r="P11" s="427">
        <v>4</v>
      </c>
      <c r="Q11" s="427">
        <v>1176</v>
      </c>
      <c r="R11" s="451"/>
      <c r="S11" s="452">
        <v>294</v>
      </c>
    </row>
    <row r="12" spans="1:19" ht="14.45" customHeight="1" x14ac:dyDescent="0.2">
      <c r="A12" s="426" t="s">
        <v>387</v>
      </c>
      <c r="B12" s="450" t="s">
        <v>388</v>
      </c>
      <c r="C12" s="450" t="s">
        <v>341</v>
      </c>
      <c r="D12" s="450" t="s">
        <v>371</v>
      </c>
      <c r="E12" s="450" t="s">
        <v>389</v>
      </c>
      <c r="F12" s="450" t="s">
        <v>408</v>
      </c>
      <c r="G12" s="450" t="s">
        <v>409</v>
      </c>
      <c r="H12" s="427">
        <v>8</v>
      </c>
      <c r="I12" s="427">
        <v>4648</v>
      </c>
      <c r="J12" s="450">
        <v>1.9965635738831615</v>
      </c>
      <c r="K12" s="450">
        <v>581</v>
      </c>
      <c r="L12" s="427">
        <v>4</v>
      </c>
      <c r="M12" s="427">
        <v>2328</v>
      </c>
      <c r="N12" s="450">
        <v>1</v>
      </c>
      <c r="O12" s="450">
        <v>582</v>
      </c>
      <c r="P12" s="427"/>
      <c r="Q12" s="427"/>
      <c r="R12" s="451"/>
      <c r="S12" s="452"/>
    </row>
    <row r="13" spans="1:19" ht="14.45" customHeight="1" x14ac:dyDescent="0.2">
      <c r="A13" s="426" t="s">
        <v>387</v>
      </c>
      <c r="B13" s="450" t="s">
        <v>388</v>
      </c>
      <c r="C13" s="450" t="s">
        <v>341</v>
      </c>
      <c r="D13" s="450" t="s">
        <v>372</v>
      </c>
      <c r="E13" s="450" t="s">
        <v>389</v>
      </c>
      <c r="F13" s="450" t="s">
        <v>390</v>
      </c>
      <c r="G13" s="450" t="s">
        <v>391</v>
      </c>
      <c r="H13" s="427">
        <v>10</v>
      </c>
      <c r="I13" s="427">
        <v>740</v>
      </c>
      <c r="J13" s="450">
        <v>1.6666666666666667</v>
      </c>
      <c r="K13" s="450">
        <v>74</v>
      </c>
      <c r="L13" s="427">
        <v>6</v>
      </c>
      <c r="M13" s="427">
        <v>444</v>
      </c>
      <c r="N13" s="450">
        <v>1</v>
      </c>
      <c r="O13" s="450">
        <v>74</v>
      </c>
      <c r="P13" s="427"/>
      <c r="Q13" s="427"/>
      <c r="R13" s="451"/>
      <c r="S13" s="452"/>
    </row>
    <row r="14" spans="1:19" ht="14.45" customHeight="1" x14ac:dyDescent="0.2">
      <c r="A14" s="426" t="s">
        <v>387</v>
      </c>
      <c r="B14" s="450" t="s">
        <v>388</v>
      </c>
      <c r="C14" s="450" t="s">
        <v>341</v>
      </c>
      <c r="D14" s="450" t="s">
        <v>372</v>
      </c>
      <c r="E14" s="450" t="s">
        <v>389</v>
      </c>
      <c r="F14" s="450" t="s">
        <v>392</v>
      </c>
      <c r="G14" s="450" t="s">
        <v>393</v>
      </c>
      <c r="H14" s="427">
        <v>712</v>
      </c>
      <c r="I14" s="427">
        <v>247064</v>
      </c>
      <c r="J14" s="450">
        <v>1.390625</v>
      </c>
      <c r="K14" s="450">
        <v>347</v>
      </c>
      <c r="L14" s="427">
        <v>512</v>
      </c>
      <c r="M14" s="427">
        <v>177664</v>
      </c>
      <c r="N14" s="450">
        <v>1</v>
      </c>
      <c r="O14" s="450">
        <v>347</v>
      </c>
      <c r="P14" s="427">
        <v>272</v>
      </c>
      <c r="Q14" s="427">
        <v>95200</v>
      </c>
      <c r="R14" s="451">
        <v>0.53584293948126804</v>
      </c>
      <c r="S14" s="452">
        <v>350</v>
      </c>
    </row>
    <row r="15" spans="1:19" ht="14.45" customHeight="1" x14ac:dyDescent="0.2">
      <c r="A15" s="426" t="s">
        <v>387</v>
      </c>
      <c r="B15" s="450" t="s">
        <v>388</v>
      </c>
      <c r="C15" s="450" t="s">
        <v>341</v>
      </c>
      <c r="D15" s="450" t="s">
        <v>372</v>
      </c>
      <c r="E15" s="450" t="s">
        <v>389</v>
      </c>
      <c r="F15" s="450" t="s">
        <v>396</v>
      </c>
      <c r="G15" s="450" t="s">
        <v>397</v>
      </c>
      <c r="H15" s="427"/>
      <c r="I15" s="427"/>
      <c r="J15" s="450"/>
      <c r="K15" s="450"/>
      <c r="L15" s="427">
        <v>12</v>
      </c>
      <c r="M15" s="427">
        <v>4164</v>
      </c>
      <c r="N15" s="450">
        <v>1</v>
      </c>
      <c r="O15" s="450">
        <v>347</v>
      </c>
      <c r="P15" s="427"/>
      <c r="Q15" s="427"/>
      <c r="R15" s="451"/>
      <c r="S15" s="452"/>
    </row>
    <row r="16" spans="1:19" ht="14.45" customHeight="1" x14ac:dyDescent="0.2">
      <c r="A16" s="426" t="s">
        <v>387</v>
      </c>
      <c r="B16" s="450" t="s">
        <v>388</v>
      </c>
      <c r="C16" s="450" t="s">
        <v>341</v>
      </c>
      <c r="D16" s="450" t="s">
        <v>372</v>
      </c>
      <c r="E16" s="450" t="s">
        <v>389</v>
      </c>
      <c r="F16" s="450" t="s">
        <v>398</v>
      </c>
      <c r="G16" s="450" t="s">
        <v>399</v>
      </c>
      <c r="H16" s="427">
        <v>8</v>
      </c>
      <c r="I16" s="427">
        <v>2776</v>
      </c>
      <c r="J16" s="450">
        <v>0.5</v>
      </c>
      <c r="K16" s="450">
        <v>347</v>
      </c>
      <c r="L16" s="427">
        <v>16</v>
      </c>
      <c r="M16" s="427">
        <v>5552</v>
      </c>
      <c r="N16" s="450">
        <v>1</v>
      </c>
      <c r="O16" s="450">
        <v>347</v>
      </c>
      <c r="P16" s="427">
        <v>12</v>
      </c>
      <c r="Q16" s="427">
        <v>4200</v>
      </c>
      <c r="R16" s="451">
        <v>0.75648414985590773</v>
      </c>
      <c r="S16" s="452">
        <v>350</v>
      </c>
    </row>
    <row r="17" spans="1:19" ht="14.45" customHeight="1" x14ac:dyDescent="0.2">
      <c r="A17" s="426" t="s">
        <v>387</v>
      </c>
      <c r="B17" s="450" t="s">
        <v>388</v>
      </c>
      <c r="C17" s="450" t="s">
        <v>341</v>
      </c>
      <c r="D17" s="450" t="s">
        <v>372</v>
      </c>
      <c r="E17" s="450" t="s">
        <v>389</v>
      </c>
      <c r="F17" s="450" t="s">
        <v>400</v>
      </c>
      <c r="G17" s="450" t="s">
        <v>401</v>
      </c>
      <c r="H17" s="427">
        <v>1</v>
      </c>
      <c r="I17" s="427">
        <v>33.33</v>
      </c>
      <c r="J17" s="450">
        <v>0.33333333333333331</v>
      </c>
      <c r="K17" s="450">
        <v>33.33</v>
      </c>
      <c r="L17" s="427">
        <v>3</v>
      </c>
      <c r="M17" s="427">
        <v>99.99</v>
      </c>
      <c r="N17" s="450">
        <v>1</v>
      </c>
      <c r="O17" s="450">
        <v>33.33</v>
      </c>
      <c r="P17" s="427"/>
      <c r="Q17" s="427"/>
      <c r="R17" s="451"/>
      <c r="S17" s="452"/>
    </row>
    <row r="18" spans="1:19" ht="14.45" customHeight="1" x14ac:dyDescent="0.2">
      <c r="A18" s="426" t="s">
        <v>387</v>
      </c>
      <c r="B18" s="450" t="s">
        <v>388</v>
      </c>
      <c r="C18" s="450" t="s">
        <v>341</v>
      </c>
      <c r="D18" s="450" t="s">
        <v>372</v>
      </c>
      <c r="E18" s="450" t="s">
        <v>389</v>
      </c>
      <c r="F18" s="450" t="s">
        <v>402</v>
      </c>
      <c r="G18" s="450" t="s">
        <v>403</v>
      </c>
      <c r="H18" s="427">
        <v>4</v>
      </c>
      <c r="I18" s="427">
        <v>2320</v>
      </c>
      <c r="J18" s="450">
        <v>0.3993115318416523</v>
      </c>
      <c r="K18" s="450">
        <v>580</v>
      </c>
      <c r="L18" s="427">
        <v>10</v>
      </c>
      <c r="M18" s="427">
        <v>5810</v>
      </c>
      <c r="N18" s="450">
        <v>1</v>
      </c>
      <c r="O18" s="450">
        <v>581</v>
      </c>
      <c r="P18" s="427"/>
      <c r="Q18" s="427"/>
      <c r="R18" s="451"/>
      <c r="S18" s="452"/>
    </row>
    <row r="19" spans="1:19" ht="14.45" customHeight="1" x14ac:dyDescent="0.2">
      <c r="A19" s="426" t="s">
        <v>387</v>
      </c>
      <c r="B19" s="450" t="s">
        <v>388</v>
      </c>
      <c r="C19" s="450" t="s">
        <v>341</v>
      </c>
      <c r="D19" s="450" t="s">
        <v>374</v>
      </c>
      <c r="E19" s="450" t="s">
        <v>389</v>
      </c>
      <c r="F19" s="450" t="s">
        <v>390</v>
      </c>
      <c r="G19" s="450" t="s">
        <v>391</v>
      </c>
      <c r="H19" s="427">
        <v>2</v>
      </c>
      <c r="I19" s="427">
        <v>148</v>
      </c>
      <c r="J19" s="450">
        <v>1</v>
      </c>
      <c r="K19" s="450">
        <v>74</v>
      </c>
      <c r="L19" s="427">
        <v>2</v>
      </c>
      <c r="M19" s="427">
        <v>148</v>
      </c>
      <c r="N19" s="450">
        <v>1</v>
      </c>
      <c r="O19" s="450">
        <v>74</v>
      </c>
      <c r="P19" s="427">
        <v>6</v>
      </c>
      <c r="Q19" s="427">
        <v>450</v>
      </c>
      <c r="R19" s="451">
        <v>3.0405405405405403</v>
      </c>
      <c r="S19" s="452">
        <v>75</v>
      </c>
    </row>
    <row r="20" spans="1:19" ht="14.45" customHeight="1" x14ac:dyDescent="0.2">
      <c r="A20" s="426" t="s">
        <v>387</v>
      </c>
      <c r="B20" s="450" t="s">
        <v>388</v>
      </c>
      <c r="C20" s="450" t="s">
        <v>341</v>
      </c>
      <c r="D20" s="450" t="s">
        <v>374</v>
      </c>
      <c r="E20" s="450" t="s">
        <v>389</v>
      </c>
      <c r="F20" s="450" t="s">
        <v>392</v>
      </c>
      <c r="G20" s="450" t="s">
        <v>393</v>
      </c>
      <c r="H20" s="427">
        <v>850</v>
      </c>
      <c r="I20" s="427">
        <v>294950</v>
      </c>
      <c r="J20" s="450">
        <v>0.97926267281105994</v>
      </c>
      <c r="K20" s="450">
        <v>347</v>
      </c>
      <c r="L20" s="427">
        <v>868</v>
      </c>
      <c r="M20" s="427">
        <v>301196</v>
      </c>
      <c r="N20" s="450">
        <v>1</v>
      </c>
      <c r="O20" s="450">
        <v>347</v>
      </c>
      <c r="P20" s="427">
        <v>881</v>
      </c>
      <c r="Q20" s="427">
        <v>308350</v>
      </c>
      <c r="R20" s="451">
        <v>1.0237519754578415</v>
      </c>
      <c r="S20" s="452">
        <v>350</v>
      </c>
    </row>
    <row r="21" spans="1:19" ht="14.45" customHeight="1" x14ac:dyDescent="0.2">
      <c r="A21" s="426" t="s">
        <v>387</v>
      </c>
      <c r="B21" s="450" t="s">
        <v>388</v>
      </c>
      <c r="C21" s="450" t="s">
        <v>341</v>
      </c>
      <c r="D21" s="450" t="s">
        <v>374</v>
      </c>
      <c r="E21" s="450" t="s">
        <v>389</v>
      </c>
      <c r="F21" s="450" t="s">
        <v>396</v>
      </c>
      <c r="G21" s="450" t="s">
        <v>397</v>
      </c>
      <c r="H21" s="427">
        <v>20</v>
      </c>
      <c r="I21" s="427">
        <v>6940</v>
      </c>
      <c r="J21" s="450">
        <v>1.4285714285714286</v>
      </c>
      <c r="K21" s="450">
        <v>347</v>
      </c>
      <c r="L21" s="427">
        <v>14</v>
      </c>
      <c r="M21" s="427">
        <v>4858</v>
      </c>
      <c r="N21" s="450">
        <v>1</v>
      </c>
      <c r="O21" s="450">
        <v>347</v>
      </c>
      <c r="P21" s="427">
        <v>1</v>
      </c>
      <c r="Q21" s="427">
        <v>350</v>
      </c>
      <c r="R21" s="451">
        <v>7.2046109510086456E-2</v>
      </c>
      <c r="S21" s="452">
        <v>350</v>
      </c>
    </row>
    <row r="22" spans="1:19" ht="14.45" customHeight="1" x14ac:dyDescent="0.2">
      <c r="A22" s="426" t="s">
        <v>387</v>
      </c>
      <c r="B22" s="450" t="s">
        <v>388</v>
      </c>
      <c r="C22" s="450" t="s">
        <v>341</v>
      </c>
      <c r="D22" s="450" t="s">
        <v>374</v>
      </c>
      <c r="E22" s="450" t="s">
        <v>389</v>
      </c>
      <c r="F22" s="450" t="s">
        <v>400</v>
      </c>
      <c r="G22" s="450" t="s">
        <v>401</v>
      </c>
      <c r="H22" s="427">
        <v>19</v>
      </c>
      <c r="I22" s="427">
        <v>633.31000000000006</v>
      </c>
      <c r="J22" s="450">
        <v>1.0555342589043151</v>
      </c>
      <c r="K22" s="450">
        <v>33.332105263157899</v>
      </c>
      <c r="L22" s="427">
        <v>18</v>
      </c>
      <c r="M22" s="427">
        <v>599.99</v>
      </c>
      <c r="N22" s="450">
        <v>1</v>
      </c>
      <c r="O22" s="450">
        <v>33.332777777777778</v>
      </c>
      <c r="P22" s="427">
        <v>18</v>
      </c>
      <c r="Q22" s="427">
        <v>599.9799999999999</v>
      </c>
      <c r="R22" s="451">
        <v>0.99998333305555076</v>
      </c>
      <c r="S22" s="452">
        <v>33.332222222222214</v>
      </c>
    </row>
    <row r="23" spans="1:19" ht="14.45" customHeight="1" x14ac:dyDescent="0.2">
      <c r="A23" s="426" t="s">
        <v>387</v>
      </c>
      <c r="B23" s="450" t="s">
        <v>388</v>
      </c>
      <c r="C23" s="450" t="s">
        <v>341</v>
      </c>
      <c r="D23" s="450" t="s">
        <v>374</v>
      </c>
      <c r="E23" s="450" t="s">
        <v>389</v>
      </c>
      <c r="F23" s="450" t="s">
        <v>402</v>
      </c>
      <c r="G23" s="450" t="s">
        <v>403</v>
      </c>
      <c r="H23" s="427">
        <v>58</v>
      </c>
      <c r="I23" s="427">
        <v>33640</v>
      </c>
      <c r="J23" s="450">
        <v>2.4125071715433162</v>
      </c>
      <c r="K23" s="450">
        <v>580</v>
      </c>
      <c r="L23" s="427">
        <v>24</v>
      </c>
      <c r="M23" s="427">
        <v>13944</v>
      </c>
      <c r="N23" s="450">
        <v>1</v>
      </c>
      <c r="O23" s="450">
        <v>581</v>
      </c>
      <c r="P23" s="427">
        <v>25</v>
      </c>
      <c r="Q23" s="427">
        <v>14675</v>
      </c>
      <c r="R23" s="451">
        <v>1.0524239816408492</v>
      </c>
      <c r="S23" s="452">
        <v>587</v>
      </c>
    </row>
    <row r="24" spans="1:19" ht="14.45" customHeight="1" x14ac:dyDescent="0.2">
      <c r="A24" s="426" t="s">
        <v>387</v>
      </c>
      <c r="B24" s="450" t="s">
        <v>388</v>
      </c>
      <c r="C24" s="450" t="s">
        <v>341</v>
      </c>
      <c r="D24" s="450" t="s">
        <v>374</v>
      </c>
      <c r="E24" s="450" t="s">
        <v>389</v>
      </c>
      <c r="F24" s="450" t="s">
        <v>410</v>
      </c>
      <c r="G24" s="450" t="s">
        <v>411</v>
      </c>
      <c r="H24" s="427">
        <v>16</v>
      </c>
      <c r="I24" s="427">
        <v>9280</v>
      </c>
      <c r="J24" s="450">
        <v>0.40955028906836138</v>
      </c>
      <c r="K24" s="450">
        <v>580</v>
      </c>
      <c r="L24" s="427">
        <v>39</v>
      </c>
      <c r="M24" s="427">
        <v>22659</v>
      </c>
      <c r="N24" s="450">
        <v>1</v>
      </c>
      <c r="O24" s="450">
        <v>581</v>
      </c>
      <c r="P24" s="427">
        <v>57</v>
      </c>
      <c r="Q24" s="427">
        <v>33459</v>
      </c>
      <c r="R24" s="451">
        <v>1.4766318019330067</v>
      </c>
      <c r="S24" s="452">
        <v>587</v>
      </c>
    </row>
    <row r="25" spans="1:19" ht="14.45" customHeight="1" x14ac:dyDescent="0.2">
      <c r="A25" s="426" t="s">
        <v>387</v>
      </c>
      <c r="B25" s="450" t="s">
        <v>388</v>
      </c>
      <c r="C25" s="450" t="s">
        <v>341</v>
      </c>
      <c r="D25" s="450" t="s">
        <v>375</v>
      </c>
      <c r="E25" s="450" t="s">
        <v>389</v>
      </c>
      <c r="F25" s="450" t="s">
        <v>392</v>
      </c>
      <c r="G25" s="450" t="s">
        <v>393</v>
      </c>
      <c r="H25" s="427">
        <v>33</v>
      </c>
      <c r="I25" s="427">
        <v>11451</v>
      </c>
      <c r="J25" s="450"/>
      <c r="K25" s="450">
        <v>347</v>
      </c>
      <c r="L25" s="427"/>
      <c r="M25" s="427"/>
      <c r="N25" s="450"/>
      <c r="O25" s="450"/>
      <c r="P25" s="427"/>
      <c r="Q25" s="427"/>
      <c r="R25" s="451"/>
      <c r="S25" s="452"/>
    </row>
    <row r="26" spans="1:19" ht="14.45" customHeight="1" x14ac:dyDescent="0.2">
      <c r="A26" s="426" t="s">
        <v>387</v>
      </c>
      <c r="B26" s="450" t="s">
        <v>388</v>
      </c>
      <c r="C26" s="450" t="s">
        <v>341</v>
      </c>
      <c r="D26" s="450" t="s">
        <v>376</v>
      </c>
      <c r="E26" s="450" t="s">
        <v>389</v>
      </c>
      <c r="F26" s="450" t="s">
        <v>390</v>
      </c>
      <c r="G26" s="450" t="s">
        <v>391</v>
      </c>
      <c r="H26" s="427">
        <v>8</v>
      </c>
      <c r="I26" s="427">
        <v>592</v>
      </c>
      <c r="J26" s="450">
        <v>4</v>
      </c>
      <c r="K26" s="450">
        <v>74</v>
      </c>
      <c r="L26" s="427">
        <v>2</v>
      </c>
      <c r="M26" s="427">
        <v>148</v>
      </c>
      <c r="N26" s="450">
        <v>1</v>
      </c>
      <c r="O26" s="450">
        <v>74</v>
      </c>
      <c r="P26" s="427">
        <v>2</v>
      </c>
      <c r="Q26" s="427">
        <v>150</v>
      </c>
      <c r="R26" s="451">
        <v>1.0135135135135136</v>
      </c>
      <c r="S26" s="452">
        <v>75</v>
      </c>
    </row>
    <row r="27" spans="1:19" ht="14.45" customHeight="1" x14ac:dyDescent="0.2">
      <c r="A27" s="426" t="s">
        <v>387</v>
      </c>
      <c r="B27" s="450" t="s">
        <v>388</v>
      </c>
      <c r="C27" s="450" t="s">
        <v>341</v>
      </c>
      <c r="D27" s="450" t="s">
        <v>376</v>
      </c>
      <c r="E27" s="450" t="s">
        <v>389</v>
      </c>
      <c r="F27" s="450" t="s">
        <v>392</v>
      </c>
      <c r="G27" s="450" t="s">
        <v>393</v>
      </c>
      <c r="H27" s="427">
        <v>379</v>
      </c>
      <c r="I27" s="427">
        <v>131513</v>
      </c>
      <c r="J27" s="450">
        <v>0.85941043083900226</v>
      </c>
      <c r="K27" s="450">
        <v>347</v>
      </c>
      <c r="L27" s="427">
        <v>441</v>
      </c>
      <c r="M27" s="427">
        <v>153027</v>
      </c>
      <c r="N27" s="450">
        <v>1</v>
      </c>
      <c r="O27" s="450">
        <v>347</v>
      </c>
      <c r="P27" s="427">
        <v>399</v>
      </c>
      <c r="Q27" s="427">
        <v>139650</v>
      </c>
      <c r="R27" s="451">
        <v>0.91258405379442842</v>
      </c>
      <c r="S27" s="452">
        <v>350</v>
      </c>
    </row>
    <row r="28" spans="1:19" ht="14.45" customHeight="1" x14ac:dyDescent="0.2">
      <c r="A28" s="426" t="s">
        <v>387</v>
      </c>
      <c r="B28" s="450" t="s">
        <v>388</v>
      </c>
      <c r="C28" s="450" t="s">
        <v>341</v>
      </c>
      <c r="D28" s="450" t="s">
        <v>376</v>
      </c>
      <c r="E28" s="450" t="s">
        <v>389</v>
      </c>
      <c r="F28" s="450" t="s">
        <v>396</v>
      </c>
      <c r="G28" s="450" t="s">
        <v>397</v>
      </c>
      <c r="H28" s="427">
        <v>123</v>
      </c>
      <c r="I28" s="427">
        <v>42681</v>
      </c>
      <c r="J28" s="450">
        <v>0.54185022026431717</v>
      </c>
      <c r="K28" s="450">
        <v>347</v>
      </c>
      <c r="L28" s="427">
        <v>227</v>
      </c>
      <c r="M28" s="427">
        <v>78769</v>
      </c>
      <c r="N28" s="450">
        <v>1</v>
      </c>
      <c r="O28" s="450">
        <v>347</v>
      </c>
      <c r="P28" s="427">
        <v>223</v>
      </c>
      <c r="Q28" s="427">
        <v>78050</v>
      </c>
      <c r="R28" s="451">
        <v>0.99087204357044012</v>
      </c>
      <c r="S28" s="452">
        <v>350</v>
      </c>
    </row>
    <row r="29" spans="1:19" ht="14.45" customHeight="1" x14ac:dyDescent="0.2">
      <c r="A29" s="426" t="s">
        <v>387</v>
      </c>
      <c r="B29" s="450" t="s">
        <v>388</v>
      </c>
      <c r="C29" s="450" t="s">
        <v>341</v>
      </c>
      <c r="D29" s="450" t="s">
        <v>376</v>
      </c>
      <c r="E29" s="450" t="s">
        <v>389</v>
      </c>
      <c r="F29" s="450" t="s">
        <v>398</v>
      </c>
      <c r="G29" s="450" t="s">
        <v>399</v>
      </c>
      <c r="H29" s="427">
        <v>10</v>
      </c>
      <c r="I29" s="427">
        <v>3470</v>
      </c>
      <c r="J29" s="450">
        <v>0.19607843137254902</v>
      </c>
      <c r="K29" s="450">
        <v>347</v>
      </c>
      <c r="L29" s="427">
        <v>51</v>
      </c>
      <c r="M29" s="427">
        <v>17697</v>
      </c>
      <c r="N29" s="450">
        <v>1</v>
      </c>
      <c r="O29" s="450">
        <v>347</v>
      </c>
      <c r="P29" s="427">
        <v>8</v>
      </c>
      <c r="Q29" s="427">
        <v>2800</v>
      </c>
      <c r="R29" s="451">
        <v>0.15821890715940554</v>
      </c>
      <c r="S29" s="452">
        <v>350</v>
      </c>
    </row>
    <row r="30" spans="1:19" ht="14.45" customHeight="1" x14ac:dyDescent="0.2">
      <c r="A30" s="426" t="s">
        <v>387</v>
      </c>
      <c r="B30" s="450" t="s">
        <v>388</v>
      </c>
      <c r="C30" s="450" t="s">
        <v>341</v>
      </c>
      <c r="D30" s="450" t="s">
        <v>376</v>
      </c>
      <c r="E30" s="450" t="s">
        <v>389</v>
      </c>
      <c r="F30" s="450" t="s">
        <v>404</v>
      </c>
      <c r="G30" s="450" t="s">
        <v>405</v>
      </c>
      <c r="H30" s="427">
        <v>64</v>
      </c>
      <c r="I30" s="427">
        <v>37184</v>
      </c>
      <c r="J30" s="450">
        <v>0.65866014808516671</v>
      </c>
      <c r="K30" s="450">
        <v>581</v>
      </c>
      <c r="L30" s="427">
        <v>97</v>
      </c>
      <c r="M30" s="427">
        <v>56454</v>
      </c>
      <c r="N30" s="450">
        <v>1</v>
      </c>
      <c r="O30" s="450">
        <v>582</v>
      </c>
      <c r="P30" s="427">
        <v>136</v>
      </c>
      <c r="Q30" s="427">
        <v>79968</v>
      </c>
      <c r="R30" s="451">
        <v>1.4165161016048464</v>
      </c>
      <c r="S30" s="452">
        <v>588</v>
      </c>
    </row>
    <row r="31" spans="1:19" ht="14.45" customHeight="1" x14ac:dyDescent="0.2">
      <c r="A31" s="426" t="s">
        <v>387</v>
      </c>
      <c r="B31" s="450" t="s">
        <v>388</v>
      </c>
      <c r="C31" s="450" t="s">
        <v>341</v>
      </c>
      <c r="D31" s="450" t="s">
        <v>376</v>
      </c>
      <c r="E31" s="450" t="s">
        <v>389</v>
      </c>
      <c r="F31" s="450" t="s">
        <v>408</v>
      </c>
      <c r="G31" s="450" t="s">
        <v>409</v>
      </c>
      <c r="H31" s="427">
        <v>122</v>
      </c>
      <c r="I31" s="427">
        <v>70882</v>
      </c>
      <c r="J31" s="450">
        <v>1.2179037800687285</v>
      </c>
      <c r="K31" s="450">
        <v>581</v>
      </c>
      <c r="L31" s="427">
        <v>100</v>
      </c>
      <c r="M31" s="427">
        <v>58200</v>
      </c>
      <c r="N31" s="450">
        <v>1</v>
      </c>
      <c r="O31" s="450">
        <v>582</v>
      </c>
      <c r="P31" s="427">
        <v>100</v>
      </c>
      <c r="Q31" s="427">
        <v>58800</v>
      </c>
      <c r="R31" s="451">
        <v>1.0103092783505154</v>
      </c>
      <c r="S31" s="452">
        <v>588</v>
      </c>
    </row>
    <row r="32" spans="1:19" ht="14.45" customHeight="1" x14ac:dyDescent="0.2">
      <c r="A32" s="426" t="s">
        <v>387</v>
      </c>
      <c r="B32" s="450" t="s">
        <v>388</v>
      </c>
      <c r="C32" s="450" t="s">
        <v>341</v>
      </c>
      <c r="D32" s="450" t="s">
        <v>377</v>
      </c>
      <c r="E32" s="450" t="s">
        <v>389</v>
      </c>
      <c r="F32" s="450" t="s">
        <v>392</v>
      </c>
      <c r="G32" s="450" t="s">
        <v>393</v>
      </c>
      <c r="H32" s="427">
        <v>184</v>
      </c>
      <c r="I32" s="427">
        <v>63848</v>
      </c>
      <c r="J32" s="450"/>
      <c r="K32" s="450">
        <v>347</v>
      </c>
      <c r="L32" s="427"/>
      <c r="M32" s="427"/>
      <c r="N32" s="450"/>
      <c r="O32" s="450"/>
      <c r="P32" s="427"/>
      <c r="Q32" s="427"/>
      <c r="R32" s="451"/>
      <c r="S32" s="452"/>
    </row>
    <row r="33" spans="1:19" ht="14.45" customHeight="1" x14ac:dyDescent="0.2">
      <c r="A33" s="426" t="s">
        <v>387</v>
      </c>
      <c r="B33" s="450" t="s">
        <v>388</v>
      </c>
      <c r="C33" s="450" t="s">
        <v>341</v>
      </c>
      <c r="D33" s="450" t="s">
        <v>378</v>
      </c>
      <c r="E33" s="450" t="s">
        <v>389</v>
      </c>
      <c r="F33" s="450" t="s">
        <v>390</v>
      </c>
      <c r="G33" s="450" t="s">
        <v>391</v>
      </c>
      <c r="H33" s="427">
        <v>17</v>
      </c>
      <c r="I33" s="427">
        <v>1258</v>
      </c>
      <c r="J33" s="450">
        <v>1.7</v>
      </c>
      <c r="K33" s="450">
        <v>74</v>
      </c>
      <c r="L33" s="427">
        <v>10</v>
      </c>
      <c r="M33" s="427">
        <v>740</v>
      </c>
      <c r="N33" s="450">
        <v>1</v>
      </c>
      <c r="O33" s="450">
        <v>74</v>
      </c>
      <c r="P33" s="427">
        <v>10</v>
      </c>
      <c r="Q33" s="427">
        <v>750</v>
      </c>
      <c r="R33" s="451">
        <v>1.0135135135135136</v>
      </c>
      <c r="S33" s="452">
        <v>75</v>
      </c>
    </row>
    <row r="34" spans="1:19" ht="14.45" customHeight="1" x14ac:dyDescent="0.2">
      <c r="A34" s="426" t="s">
        <v>387</v>
      </c>
      <c r="B34" s="450" t="s">
        <v>388</v>
      </c>
      <c r="C34" s="450" t="s">
        <v>341</v>
      </c>
      <c r="D34" s="450" t="s">
        <v>378</v>
      </c>
      <c r="E34" s="450" t="s">
        <v>389</v>
      </c>
      <c r="F34" s="450" t="s">
        <v>392</v>
      </c>
      <c r="G34" s="450" t="s">
        <v>393</v>
      </c>
      <c r="H34" s="427">
        <v>172</v>
      </c>
      <c r="I34" s="427">
        <v>59684</v>
      </c>
      <c r="J34" s="450">
        <v>0.50145772594752192</v>
      </c>
      <c r="K34" s="450">
        <v>347</v>
      </c>
      <c r="L34" s="427">
        <v>343</v>
      </c>
      <c r="M34" s="427">
        <v>119021</v>
      </c>
      <c r="N34" s="450">
        <v>1</v>
      </c>
      <c r="O34" s="450">
        <v>347</v>
      </c>
      <c r="P34" s="427">
        <v>294</v>
      </c>
      <c r="Q34" s="427">
        <v>102900</v>
      </c>
      <c r="R34" s="451">
        <v>0.86455331412103742</v>
      </c>
      <c r="S34" s="452">
        <v>350</v>
      </c>
    </row>
    <row r="35" spans="1:19" ht="14.45" customHeight="1" x14ac:dyDescent="0.2">
      <c r="A35" s="426" t="s">
        <v>387</v>
      </c>
      <c r="B35" s="450" t="s">
        <v>388</v>
      </c>
      <c r="C35" s="450" t="s">
        <v>341</v>
      </c>
      <c r="D35" s="450" t="s">
        <v>378</v>
      </c>
      <c r="E35" s="450" t="s">
        <v>389</v>
      </c>
      <c r="F35" s="450" t="s">
        <v>396</v>
      </c>
      <c r="G35" s="450" t="s">
        <v>397</v>
      </c>
      <c r="H35" s="427">
        <v>12</v>
      </c>
      <c r="I35" s="427">
        <v>4164</v>
      </c>
      <c r="J35" s="450">
        <v>6</v>
      </c>
      <c r="K35" s="450">
        <v>347</v>
      </c>
      <c r="L35" s="427">
        <v>2</v>
      </c>
      <c r="M35" s="427">
        <v>694</v>
      </c>
      <c r="N35" s="450">
        <v>1</v>
      </c>
      <c r="O35" s="450">
        <v>347</v>
      </c>
      <c r="P35" s="427"/>
      <c r="Q35" s="427"/>
      <c r="R35" s="451"/>
      <c r="S35" s="452"/>
    </row>
    <row r="36" spans="1:19" ht="14.45" customHeight="1" x14ac:dyDescent="0.2">
      <c r="A36" s="426" t="s">
        <v>387</v>
      </c>
      <c r="B36" s="450" t="s">
        <v>388</v>
      </c>
      <c r="C36" s="450" t="s">
        <v>341</v>
      </c>
      <c r="D36" s="450" t="s">
        <v>378</v>
      </c>
      <c r="E36" s="450" t="s">
        <v>389</v>
      </c>
      <c r="F36" s="450" t="s">
        <v>400</v>
      </c>
      <c r="G36" s="450" t="s">
        <v>401</v>
      </c>
      <c r="H36" s="427">
        <v>12</v>
      </c>
      <c r="I36" s="427">
        <v>400.01</v>
      </c>
      <c r="J36" s="450">
        <v>2.9999250037498122</v>
      </c>
      <c r="K36" s="450">
        <v>33.334166666666668</v>
      </c>
      <c r="L36" s="427">
        <v>4</v>
      </c>
      <c r="M36" s="427">
        <v>133.34</v>
      </c>
      <c r="N36" s="450">
        <v>1</v>
      </c>
      <c r="O36" s="450">
        <v>33.335000000000001</v>
      </c>
      <c r="P36" s="427">
        <v>4</v>
      </c>
      <c r="Q36" s="427">
        <v>133.34</v>
      </c>
      <c r="R36" s="451">
        <v>1</v>
      </c>
      <c r="S36" s="452">
        <v>33.335000000000001</v>
      </c>
    </row>
    <row r="37" spans="1:19" ht="14.45" customHeight="1" x14ac:dyDescent="0.2">
      <c r="A37" s="426" t="s">
        <v>387</v>
      </c>
      <c r="B37" s="450" t="s">
        <v>388</v>
      </c>
      <c r="C37" s="450" t="s">
        <v>341</v>
      </c>
      <c r="D37" s="450" t="s">
        <v>378</v>
      </c>
      <c r="E37" s="450" t="s">
        <v>389</v>
      </c>
      <c r="F37" s="450" t="s">
        <v>402</v>
      </c>
      <c r="G37" s="450" t="s">
        <v>403</v>
      </c>
      <c r="H37" s="427">
        <v>36</v>
      </c>
      <c r="I37" s="427">
        <v>20880</v>
      </c>
      <c r="J37" s="450">
        <v>0.71876075731497413</v>
      </c>
      <c r="K37" s="450">
        <v>580</v>
      </c>
      <c r="L37" s="427">
        <v>50</v>
      </c>
      <c r="M37" s="427">
        <v>29050</v>
      </c>
      <c r="N37" s="450">
        <v>1</v>
      </c>
      <c r="O37" s="450">
        <v>581</v>
      </c>
      <c r="P37" s="427">
        <v>48</v>
      </c>
      <c r="Q37" s="427">
        <v>28176</v>
      </c>
      <c r="R37" s="451">
        <v>0.96991394148020649</v>
      </c>
      <c r="S37" s="452">
        <v>587</v>
      </c>
    </row>
    <row r="38" spans="1:19" ht="14.45" customHeight="1" x14ac:dyDescent="0.2">
      <c r="A38" s="426" t="s">
        <v>387</v>
      </c>
      <c r="B38" s="450" t="s">
        <v>388</v>
      </c>
      <c r="C38" s="450" t="s">
        <v>341</v>
      </c>
      <c r="D38" s="450" t="s">
        <v>379</v>
      </c>
      <c r="E38" s="450" t="s">
        <v>389</v>
      </c>
      <c r="F38" s="450" t="s">
        <v>390</v>
      </c>
      <c r="G38" s="450" t="s">
        <v>391</v>
      </c>
      <c r="H38" s="427">
        <v>97</v>
      </c>
      <c r="I38" s="427">
        <v>7178</v>
      </c>
      <c r="J38" s="450">
        <v>2.1086956521739131</v>
      </c>
      <c r="K38" s="450">
        <v>74</v>
      </c>
      <c r="L38" s="427">
        <v>46</v>
      </c>
      <c r="M38" s="427">
        <v>3404</v>
      </c>
      <c r="N38" s="450">
        <v>1</v>
      </c>
      <c r="O38" s="450">
        <v>74</v>
      </c>
      <c r="P38" s="427">
        <v>66</v>
      </c>
      <c r="Q38" s="427">
        <v>4950</v>
      </c>
      <c r="R38" s="451">
        <v>1.4541715628672149</v>
      </c>
      <c r="S38" s="452">
        <v>75</v>
      </c>
    </row>
    <row r="39" spans="1:19" ht="14.45" customHeight="1" x14ac:dyDescent="0.2">
      <c r="A39" s="426" t="s">
        <v>387</v>
      </c>
      <c r="B39" s="450" t="s">
        <v>388</v>
      </c>
      <c r="C39" s="450" t="s">
        <v>341</v>
      </c>
      <c r="D39" s="450" t="s">
        <v>379</v>
      </c>
      <c r="E39" s="450" t="s">
        <v>389</v>
      </c>
      <c r="F39" s="450" t="s">
        <v>392</v>
      </c>
      <c r="G39" s="450" t="s">
        <v>393</v>
      </c>
      <c r="H39" s="427">
        <v>548</v>
      </c>
      <c r="I39" s="427">
        <v>190156</v>
      </c>
      <c r="J39" s="450">
        <v>1.0873015873015872</v>
      </c>
      <c r="K39" s="450">
        <v>347</v>
      </c>
      <c r="L39" s="427">
        <v>504</v>
      </c>
      <c r="M39" s="427">
        <v>174888</v>
      </c>
      <c r="N39" s="450">
        <v>1</v>
      </c>
      <c r="O39" s="450">
        <v>347</v>
      </c>
      <c r="P39" s="427">
        <v>884</v>
      </c>
      <c r="Q39" s="427">
        <v>309400</v>
      </c>
      <c r="R39" s="451">
        <v>1.7691322446365674</v>
      </c>
      <c r="S39" s="452">
        <v>350</v>
      </c>
    </row>
    <row r="40" spans="1:19" ht="14.45" customHeight="1" x14ac:dyDescent="0.2">
      <c r="A40" s="426" t="s">
        <v>387</v>
      </c>
      <c r="B40" s="450" t="s">
        <v>388</v>
      </c>
      <c r="C40" s="450" t="s">
        <v>341</v>
      </c>
      <c r="D40" s="450" t="s">
        <v>379</v>
      </c>
      <c r="E40" s="450" t="s">
        <v>389</v>
      </c>
      <c r="F40" s="450" t="s">
        <v>396</v>
      </c>
      <c r="G40" s="450" t="s">
        <v>397</v>
      </c>
      <c r="H40" s="427">
        <v>20</v>
      </c>
      <c r="I40" s="427">
        <v>6940</v>
      </c>
      <c r="J40" s="450">
        <v>1.6666666666666667</v>
      </c>
      <c r="K40" s="450">
        <v>347</v>
      </c>
      <c r="L40" s="427">
        <v>12</v>
      </c>
      <c r="M40" s="427">
        <v>4164</v>
      </c>
      <c r="N40" s="450">
        <v>1</v>
      </c>
      <c r="O40" s="450">
        <v>347</v>
      </c>
      <c r="P40" s="427">
        <v>8</v>
      </c>
      <c r="Q40" s="427">
        <v>2800</v>
      </c>
      <c r="R40" s="451">
        <v>0.67243035542747354</v>
      </c>
      <c r="S40" s="452">
        <v>350</v>
      </c>
    </row>
    <row r="41" spans="1:19" ht="14.45" customHeight="1" x14ac:dyDescent="0.2">
      <c r="A41" s="426" t="s">
        <v>387</v>
      </c>
      <c r="B41" s="450" t="s">
        <v>388</v>
      </c>
      <c r="C41" s="450" t="s">
        <v>341</v>
      </c>
      <c r="D41" s="450" t="s">
        <v>379</v>
      </c>
      <c r="E41" s="450" t="s">
        <v>389</v>
      </c>
      <c r="F41" s="450" t="s">
        <v>398</v>
      </c>
      <c r="G41" s="450" t="s">
        <v>399</v>
      </c>
      <c r="H41" s="427">
        <v>12</v>
      </c>
      <c r="I41" s="427">
        <v>4164</v>
      </c>
      <c r="J41" s="450">
        <v>0.27272727272727271</v>
      </c>
      <c r="K41" s="450">
        <v>347</v>
      </c>
      <c r="L41" s="427">
        <v>44</v>
      </c>
      <c r="M41" s="427">
        <v>15268</v>
      </c>
      <c r="N41" s="450">
        <v>1</v>
      </c>
      <c r="O41" s="450">
        <v>347</v>
      </c>
      <c r="P41" s="427"/>
      <c r="Q41" s="427"/>
      <c r="R41" s="451"/>
      <c r="S41" s="452"/>
    </row>
    <row r="42" spans="1:19" ht="14.45" customHeight="1" x14ac:dyDescent="0.2">
      <c r="A42" s="426" t="s">
        <v>387</v>
      </c>
      <c r="B42" s="450" t="s">
        <v>388</v>
      </c>
      <c r="C42" s="450" t="s">
        <v>341</v>
      </c>
      <c r="D42" s="450" t="s">
        <v>379</v>
      </c>
      <c r="E42" s="450" t="s">
        <v>389</v>
      </c>
      <c r="F42" s="450" t="s">
        <v>400</v>
      </c>
      <c r="G42" s="450" t="s">
        <v>401</v>
      </c>
      <c r="H42" s="427">
        <v>8</v>
      </c>
      <c r="I42" s="427">
        <v>266.64999999999992</v>
      </c>
      <c r="J42" s="450">
        <v>0.28570051000728569</v>
      </c>
      <c r="K42" s="450">
        <v>33.33124999999999</v>
      </c>
      <c r="L42" s="427">
        <v>28</v>
      </c>
      <c r="M42" s="427">
        <v>933.32000000000016</v>
      </c>
      <c r="N42" s="450">
        <v>1</v>
      </c>
      <c r="O42" s="450">
        <v>33.332857142857151</v>
      </c>
      <c r="P42" s="427">
        <v>3</v>
      </c>
      <c r="Q42" s="427">
        <v>100</v>
      </c>
      <c r="R42" s="451">
        <v>0.10714438777696822</v>
      </c>
      <c r="S42" s="452">
        <v>33.333333333333336</v>
      </c>
    </row>
    <row r="43" spans="1:19" ht="14.45" customHeight="1" x14ac:dyDescent="0.2">
      <c r="A43" s="426" t="s">
        <v>387</v>
      </c>
      <c r="B43" s="450" t="s">
        <v>388</v>
      </c>
      <c r="C43" s="450" t="s">
        <v>341</v>
      </c>
      <c r="D43" s="450" t="s">
        <v>379</v>
      </c>
      <c r="E43" s="450" t="s">
        <v>389</v>
      </c>
      <c r="F43" s="450" t="s">
        <v>402</v>
      </c>
      <c r="G43" s="450" t="s">
        <v>403</v>
      </c>
      <c r="H43" s="427">
        <v>19</v>
      </c>
      <c r="I43" s="427">
        <v>11020</v>
      </c>
      <c r="J43" s="450">
        <v>0.42149550583285522</v>
      </c>
      <c r="K43" s="450">
        <v>580</v>
      </c>
      <c r="L43" s="427">
        <v>45</v>
      </c>
      <c r="M43" s="427">
        <v>26145</v>
      </c>
      <c r="N43" s="450">
        <v>1</v>
      </c>
      <c r="O43" s="450">
        <v>581</v>
      </c>
      <c r="P43" s="427">
        <v>12</v>
      </c>
      <c r="Q43" s="427">
        <v>7044</v>
      </c>
      <c r="R43" s="451">
        <v>0.26942053930005738</v>
      </c>
      <c r="S43" s="452">
        <v>587</v>
      </c>
    </row>
    <row r="44" spans="1:19" ht="14.45" customHeight="1" x14ac:dyDescent="0.2">
      <c r="A44" s="426" t="s">
        <v>387</v>
      </c>
      <c r="B44" s="450" t="s">
        <v>388</v>
      </c>
      <c r="C44" s="450" t="s">
        <v>341</v>
      </c>
      <c r="D44" s="450" t="s">
        <v>379</v>
      </c>
      <c r="E44" s="450" t="s">
        <v>389</v>
      </c>
      <c r="F44" s="450" t="s">
        <v>410</v>
      </c>
      <c r="G44" s="450" t="s">
        <v>411</v>
      </c>
      <c r="H44" s="427">
        <v>6</v>
      </c>
      <c r="I44" s="427">
        <v>3480</v>
      </c>
      <c r="J44" s="450"/>
      <c r="K44" s="450">
        <v>580</v>
      </c>
      <c r="L44" s="427"/>
      <c r="M44" s="427"/>
      <c r="N44" s="450"/>
      <c r="O44" s="450"/>
      <c r="P44" s="427"/>
      <c r="Q44" s="427"/>
      <c r="R44" s="451"/>
      <c r="S44" s="452"/>
    </row>
    <row r="45" spans="1:19" ht="14.45" customHeight="1" x14ac:dyDescent="0.2">
      <c r="A45" s="426" t="s">
        <v>387</v>
      </c>
      <c r="B45" s="450" t="s">
        <v>388</v>
      </c>
      <c r="C45" s="450" t="s">
        <v>341</v>
      </c>
      <c r="D45" s="450" t="s">
        <v>379</v>
      </c>
      <c r="E45" s="450" t="s">
        <v>389</v>
      </c>
      <c r="F45" s="450" t="s">
        <v>412</v>
      </c>
      <c r="G45" s="450" t="s">
        <v>413</v>
      </c>
      <c r="H45" s="427"/>
      <c r="I45" s="427"/>
      <c r="J45" s="450"/>
      <c r="K45" s="450"/>
      <c r="L45" s="427">
        <v>76</v>
      </c>
      <c r="M45" s="427">
        <v>22116</v>
      </c>
      <c r="N45" s="450">
        <v>1</v>
      </c>
      <c r="O45" s="450">
        <v>291</v>
      </c>
      <c r="P45" s="427">
        <v>12</v>
      </c>
      <c r="Q45" s="427">
        <v>3528</v>
      </c>
      <c r="R45" s="451">
        <v>0.15952251763429193</v>
      </c>
      <c r="S45" s="452">
        <v>294</v>
      </c>
    </row>
    <row r="46" spans="1:19" ht="14.45" customHeight="1" x14ac:dyDescent="0.2">
      <c r="A46" s="426" t="s">
        <v>387</v>
      </c>
      <c r="B46" s="450" t="s">
        <v>388</v>
      </c>
      <c r="C46" s="450" t="s">
        <v>341</v>
      </c>
      <c r="D46" s="450" t="s">
        <v>381</v>
      </c>
      <c r="E46" s="450" t="s">
        <v>389</v>
      </c>
      <c r="F46" s="450" t="s">
        <v>390</v>
      </c>
      <c r="G46" s="450" t="s">
        <v>391</v>
      </c>
      <c r="H46" s="427"/>
      <c r="I46" s="427"/>
      <c r="J46" s="450"/>
      <c r="K46" s="450"/>
      <c r="L46" s="427"/>
      <c r="M46" s="427"/>
      <c r="N46" s="450"/>
      <c r="O46" s="450"/>
      <c r="P46" s="427">
        <v>4</v>
      </c>
      <c r="Q46" s="427">
        <v>300</v>
      </c>
      <c r="R46" s="451"/>
      <c r="S46" s="452">
        <v>75</v>
      </c>
    </row>
    <row r="47" spans="1:19" ht="14.45" customHeight="1" x14ac:dyDescent="0.2">
      <c r="A47" s="426" t="s">
        <v>387</v>
      </c>
      <c r="B47" s="450" t="s">
        <v>388</v>
      </c>
      <c r="C47" s="450" t="s">
        <v>341</v>
      </c>
      <c r="D47" s="450" t="s">
        <v>381</v>
      </c>
      <c r="E47" s="450" t="s">
        <v>389</v>
      </c>
      <c r="F47" s="450" t="s">
        <v>392</v>
      </c>
      <c r="G47" s="450" t="s">
        <v>393</v>
      </c>
      <c r="H47" s="427">
        <v>148</v>
      </c>
      <c r="I47" s="427">
        <v>51356</v>
      </c>
      <c r="J47" s="450">
        <v>0.76683937823834192</v>
      </c>
      <c r="K47" s="450">
        <v>347</v>
      </c>
      <c r="L47" s="427">
        <v>193</v>
      </c>
      <c r="M47" s="427">
        <v>66971</v>
      </c>
      <c r="N47" s="450">
        <v>1</v>
      </c>
      <c r="O47" s="450">
        <v>347</v>
      </c>
      <c r="P47" s="427">
        <v>172</v>
      </c>
      <c r="Q47" s="427">
        <v>60200</v>
      </c>
      <c r="R47" s="451">
        <v>0.89889653730719266</v>
      </c>
      <c r="S47" s="452">
        <v>350</v>
      </c>
    </row>
    <row r="48" spans="1:19" ht="14.45" customHeight="1" x14ac:dyDescent="0.2">
      <c r="A48" s="426" t="s">
        <v>387</v>
      </c>
      <c r="B48" s="450" t="s">
        <v>388</v>
      </c>
      <c r="C48" s="450" t="s">
        <v>341</v>
      </c>
      <c r="D48" s="450" t="s">
        <v>381</v>
      </c>
      <c r="E48" s="450" t="s">
        <v>389</v>
      </c>
      <c r="F48" s="450" t="s">
        <v>398</v>
      </c>
      <c r="G48" s="450" t="s">
        <v>399</v>
      </c>
      <c r="H48" s="427">
        <v>8</v>
      </c>
      <c r="I48" s="427">
        <v>2776</v>
      </c>
      <c r="J48" s="450">
        <v>0.72727272727272729</v>
      </c>
      <c r="K48" s="450">
        <v>347</v>
      </c>
      <c r="L48" s="427">
        <v>11</v>
      </c>
      <c r="M48" s="427">
        <v>3817</v>
      </c>
      <c r="N48" s="450">
        <v>1</v>
      </c>
      <c r="O48" s="450">
        <v>347</v>
      </c>
      <c r="P48" s="427">
        <v>5</v>
      </c>
      <c r="Q48" s="427">
        <v>1750</v>
      </c>
      <c r="R48" s="451">
        <v>0.45847524233691378</v>
      </c>
      <c r="S48" s="452">
        <v>350</v>
      </c>
    </row>
    <row r="49" spans="1:19" ht="14.45" customHeight="1" x14ac:dyDescent="0.2">
      <c r="A49" s="426" t="s">
        <v>387</v>
      </c>
      <c r="B49" s="450" t="s">
        <v>388</v>
      </c>
      <c r="C49" s="450" t="s">
        <v>341</v>
      </c>
      <c r="D49" s="450" t="s">
        <v>381</v>
      </c>
      <c r="E49" s="450" t="s">
        <v>389</v>
      </c>
      <c r="F49" s="450" t="s">
        <v>400</v>
      </c>
      <c r="G49" s="450" t="s">
        <v>401</v>
      </c>
      <c r="H49" s="427">
        <v>2</v>
      </c>
      <c r="I49" s="427">
        <v>66.67</v>
      </c>
      <c r="J49" s="450">
        <v>1</v>
      </c>
      <c r="K49" s="450">
        <v>33.335000000000001</v>
      </c>
      <c r="L49" s="427">
        <v>2</v>
      </c>
      <c r="M49" s="427">
        <v>66.67</v>
      </c>
      <c r="N49" s="450">
        <v>1</v>
      </c>
      <c r="O49" s="450">
        <v>33.335000000000001</v>
      </c>
      <c r="P49" s="427"/>
      <c r="Q49" s="427"/>
      <c r="R49" s="451"/>
      <c r="S49" s="452"/>
    </row>
    <row r="50" spans="1:19" ht="14.45" customHeight="1" x14ac:dyDescent="0.2">
      <c r="A50" s="426" t="s">
        <v>387</v>
      </c>
      <c r="B50" s="450" t="s">
        <v>388</v>
      </c>
      <c r="C50" s="450" t="s">
        <v>341</v>
      </c>
      <c r="D50" s="450" t="s">
        <v>381</v>
      </c>
      <c r="E50" s="450" t="s">
        <v>389</v>
      </c>
      <c r="F50" s="450" t="s">
        <v>402</v>
      </c>
      <c r="G50" s="450" t="s">
        <v>403</v>
      </c>
      <c r="H50" s="427">
        <v>6</v>
      </c>
      <c r="I50" s="427">
        <v>3480</v>
      </c>
      <c r="J50" s="450">
        <v>0.99827882960413084</v>
      </c>
      <c r="K50" s="450">
        <v>580</v>
      </c>
      <c r="L50" s="427">
        <v>6</v>
      </c>
      <c r="M50" s="427">
        <v>3486</v>
      </c>
      <c r="N50" s="450">
        <v>1</v>
      </c>
      <c r="O50" s="450">
        <v>581</v>
      </c>
      <c r="P50" s="427"/>
      <c r="Q50" s="427"/>
      <c r="R50" s="451"/>
      <c r="S50" s="452"/>
    </row>
    <row r="51" spans="1:19" ht="14.45" customHeight="1" x14ac:dyDescent="0.2">
      <c r="A51" s="426" t="s">
        <v>387</v>
      </c>
      <c r="B51" s="450" t="s">
        <v>388</v>
      </c>
      <c r="C51" s="450" t="s">
        <v>341</v>
      </c>
      <c r="D51" s="450" t="s">
        <v>382</v>
      </c>
      <c r="E51" s="450" t="s">
        <v>389</v>
      </c>
      <c r="F51" s="450" t="s">
        <v>392</v>
      </c>
      <c r="G51" s="450" t="s">
        <v>393</v>
      </c>
      <c r="H51" s="427">
        <v>482</v>
      </c>
      <c r="I51" s="427">
        <v>167254</v>
      </c>
      <c r="J51" s="450">
        <v>1.3890489913544668</v>
      </c>
      <c r="K51" s="450">
        <v>347</v>
      </c>
      <c r="L51" s="427">
        <v>347</v>
      </c>
      <c r="M51" s="427">
        <v>120409</v>
      </c>
      <c r="N51" s="450">
        <v>1</v>
      </c>
      <c r="O51" s="450">
        <v>347</v>
      </c>
      <c r="P51" s="427">
        <v>58</v>
      </c>
      <c r="Q51" s="427">
        <v>20300</v>
      </c>
      <c r="R51" s="451">
        <v>0.16859204876711872</v>
      </c>
      <c r="S51" s="452">
        <v>350</v>
      </c>
    </row>
    <row r="52" spans="1:19" ht="14.45" customHeight="1" x14ac:dyDescent="0.2">
      <c r="A52" s="426" t="s">
        <v>387</v>
      </c>
      <c r="B52" s="450" t="s">
        <v>388</v>
      </c>
      <c r="C52" s="450" t="s">
        <v>341</v>
      </c>
      <c r="D52" s="450" t="s">
        <v>382</v>
      </c>
      <c r="E52" s="450" t="s">
        <v>389</v>
      </c>
      <c r="F52" s="450" t="s">
        <v>400</v>
      </c>
      <c r="G52" s="450" t="s">
        <v>401</v>
      </c>
      <c r="H52" s="427">
        <v>50</v>
      </c>
      <c r="I52" s="427">
        <v>1666.69</v>
      </c>
      <c r="J52" s="450">
        <v>1.0000119999760002</v>
      </c>
      <c r="K52" s="450">
        <v>33.333800000000004</v>
      </c>
      <c r="L52" s="427">
        <v>50</v>
      </c>
      <c r="M52" s="427">
        <v>1666.6699999999998</v>
      </c>
      <c r="N52" s="450">
        <v>1</v>
      </c>
      <c r="O52" s="450">
        <v>33.333399999999997</v>
      </c>
      <c r="P52" s="427">
        <v>66</v>
      </c>
      <c r="Q52" s="427">
        <v>2200.0300000000002</v>
      </c>
      <c r="R52" s="451">
        <v>1.3200153599692803</v>
      </c>
      <c r="S52" s="452">
        <v>33.333787878787881</v>
      </c>
    </row>
    <row r="53" spans="1:19" ht="14.45" customHeight="1" x14ac:dyDescent="0.2">
      <c r="A53" s="426" t="s">
        <v>387</v>
      </c>
      <c r="B53" s="450" t="s">
        <v>388</v>
      </c>
      <c r="C53" s="450" t="s">
        <v>341</v>
      </c>
      <c r="D53" s="450" t="s">
        <v>382</v>
      </c>
      <c r="E53" s="450" t="s">
        <v>389</v>
      </c>
      <c r="F53" s="450" t="s">
        <v>402</v>
      </c>
      <c r="G53" s="450" t="s">
        <v>403</v>
      </c>
      <c r="H53" s="427">
        <v>138</v>
      </c>
      <c r="I53" s="427">
        <v>80040</v>
      </c>
      <c r="J53" s="450">
        <v>1.3246392162054812</v>
      </c>
      <c r="K53" s="450">
        <v>580</v>
      </c>
      <c r="L53" s="427">
        <v>104</v>
      </c>
      <c r="M53" s="427">
        <v>60424</v>
      </c>
      <c r="N53" s="450">
        <v>1</v>
      </c>
      <c r="O53" s="450">
        <v>581</v>
      </c>
      <c r="P53" s="427">
        <v>186</v>
      </c>
      <c r="Q53" s="427">
        <v>109182</v>
      </c>
      <c r="R53" s="451">
        <v>1.8069310207864424</v>
      </c>
      <c r="S53" s="452">
        <v>587</v>
      </c>
    </row>
    <row r="54" spans="1:19" ht="14.45" customHeight="1" x14ac:dyDescent="0.2">
      <c r="A54" s="426" t="s">
        <v>387</v>
      </c>
      <c r="B54" s="450" t="s">
        <v>388</v>
      </c>
      <c r="C54" s="450" t="s">
        <v>341</v>
      </c>
      <c r="D54" s="450" t="s">
        <v>382</v>
      </c>
      <c r="E54" s="450" t="s">
        <v>389</v>
      </c>
      <c r="F54" s="450" t="s">
        <v>410</v>
      </c>
      <c r="G54" s="450" t="s">
        <v>411</v>
      </c>
      <c r="H54" s="427">
        <v>16</v>
      </c>
      <c r="I54" s="427">
        <v>9280</v>
      </c>
      <c r="J54" s="450">
        <v>0.24956970740103271</v>
      </c>
      <c r="K54" s="450">
        <v>580</v>
      </c>
      <c r="L54" s="427">
        <v>64</v>
      </c>
      <c r="M54" s="427">
        <v>37184</v>
      </c>
      <c r="N54" s="450">
        <v>1</v>
      </c>
      <c r="O54" s="450">
        <v>581</v>
      </c>
      <c r="P54" s="427">
        <v>48</v>
      </c>
      <c r="Q54" s="427">
        <v>28176</v>
      </c>
      <c r="R54" s="451">
        <v>0.75774526678141141</v>
      </c>
      <c r="S54" s="452">
        <v>587</v>
      </c>
    </row>
    <row r="55" spans="1:19" ht="14.45" customHeight="1" x14ac:dyDescent="0.2">
      <c r="A55" s="426" t="s">
        <v>387</v>
      </c>
      <c r="B55" s="450" t="s">
        <v>388</v>
      </c>
      <c r="C55" s="450" t="s">
        <v>341</v>
      </c>
      <c r="D55" s="450" t="s">
        <v>383</v>
      </c>
      <c r="E55" s="450" t="s">
        <v>389</v>
      </c>
      <c r="F55" s="450" t="s">
        <v>392</v>
      </c>
      <c r="G55" s="450" t="s">
        <v>393</v>
      </c>
      <c r="H55" s="427">
        <v>567</v>
      </c>
      <c r="I55" s="427">
        <v>196749</v>
      </c>
      <c r="J55" s="450">
        <v>1.0738636363636365</v>
      </c>
      <c r="K55" s="450">
        <v>347</v>
      </c>
      <c r="L55" s="427">
        <v>528</v>
      </c>
      <c r="M55" s="427">
        <v>183216</v>
      </c>
      <c r="N55" s="450">
        <v>1</v>
      </c>
      <c r="O55" s="450">
        <v>347</v>
      </c>
      <c r="P55" s="427">
        <v>409</v>
      </c>
      <c r="Q55" s="427">
        <v>143150</v>
      </c>
      <c r="R55" s="451">
        <v>0.78131822548249064</v>
      </c>
      <c r="S55" s="452">
        <v>350</v>
      </c>
    </row>
    <row r="56" spans="1:19" ht="14.45" customHeight="1" x14ac:dyDescent="0.2">
      <c r="A56" s="426" t="s">
        <v>387</v>
      </c>
      <c r="B56" s="450" t="s">
        <v>388</v>
      </c>
      <c r="C56" s="450" t="s">
        <v>341</v>
      </c>
      <c r="D56" s="450" t="s">
        <v>383</v>
      </c>
      <c r="E56" s="450" t="s">
        <v>389</v>
      </c>
      <c r="F56" s="450" t="s">
        <v>400</v>
      </c>
      <c r="G56" s="450" t="s">
        <v>401</v>
      </c>
      <c r="H56" s="427">
        <v>66</v>
      </c>
      <c r="I56" s="427">
        <v>2200.0100000000002</v>
      </c>
      <c r="J56" s="450">
        <v>0.87999696002431971</v>
      </c>
      <c r="K56" s="450">
        <v>33.333484848484851</v>
      </c>
      <c r="L56" s="427">
        <v>75</v>
      </c>
      <c r="M56" s="427">
        <v>2500.0200000000004</v>
      </c>
      <c r="N56" s="450">
        <v>1</v>
      </c>
      <c r="O56" s="450">
        <v>33.333600000000004</v>
      </c>
      <c r="P56" s="427">
        <v>54</v>
      </c>
      <c r="Q56" s="427">
        <v>1800.0200000000004</v>
      </c>
      <c r="R56" s="451">
        <v>0.72000223998208024</v>
      </c>
      <c r="S56" s="452">
        <v>33.333703703703712</v>
      </c>
    </row>
    <row r="57" spans="1:19" ht="14.45" customHeight="1" x14ac:dyDescent="0.2">
      <c r="A57" s="426" t="s">
        <v>387</v>
      </c>
      <c r="B57" s="450" t="s">
        <v>388</v>
      </c>
      <c r="C57" s="450" t="s">
        <v>341</v>
      </c>
      <c r="D57" s="450" t="s">
        <v>383</v>
      </c>
      <c r="E57" s="450" t="s">
        <v>389</v>
      </c>
      <c r="F57" s="450" t="s">
        <v>402</v>
      </c>
      <c r="G57" s="450" t="s">
        <v>403</v>
      </c>
      <c r="H57" s="427">
        <v>189</v>
      </c>
      <c r="I57" s="427">
        <v>109620</v>
      </c>
      <c r="J57" s="450">
        <v>0.7428137747841761</v>
      </c>
      <c r="K57" s="450">
        <v>580</v>
      </c>
      <c r="L57" s="427">
        <v>254</v>
      </c>
      <c r="M57" s="427">
        <v>147574</v>
      </c>
      <c r="N57" s="450">
        <v>1</v>
      </c>
      <c r="O57" s="450">
        <v>581</v>
      </c>
      <c r="P57" s="427">
        <v>216</v>
      </c>
      <c r="Q57" s="427">
        <v>126792</v>
      </c>
      <c r="R57" s="451">
        <v>0.85917573556317506</v>
      </c>
      <c r="S57" s="452">
        <v>587</v>
      </c>
    </row>
    <row r="58" spans="1:19" ht="14.45" customHeight="1" x14ac:dyDescent="0.2">
      <c r="A58" s="426" t="s">
        <v>387</v>
      </c>
      <c r="B58" s="450" t="s">
        <v>388</v>
      </c>
      <c r="C58" s="450" t="s">
        <v>341</v>
      </c>
      <c r="D58" s="450" t="s">
        <v>383</v>
      </c>
      <c r="E58" s="450" t="s">
        <v>389</v>
      </c>
      <c r="F58" s="450" t="s">
        <v>410</v>
      </c>
      <c r="G58" s="450" t="s">
        <v>411</v>
      </c>
      <c r="H58" s="427">
        <v>6</v>
      </c>
      <c r="I58" s="427">
        <v>3480</v>
      </c>
      <c r="J58" s="450"/>
      <c r="K58" s="450">
        <v>580</v>
      </c>
      <c r="L58" s="427"/>
      <c r="M58" s="427"/>
      <c r="N58" s="450"/>
      <c r="O58" s="450"/>
      <c r="P58" s="427"/>
      <c r="Q58" s="427"/>
      <c r="R58" s="451"/>
      <c r="S58" s="452"/>
    </row>
    <row r="59" spans="1:19" ht="14.45" customHeight="1" x14ac:dyDescent="0.2">
      <c r="A59" s="426" t="s">
        <v>387</v>
      </c>
      <c r="B59" s="450" t="s">
        <v>388</v>
      </c>
      <c r="C59" s="450" t="s">
        <v>341</v>
      </c>
      <c r="D59" s="450" t="s">
        <v>384</v>
      </c>
      <c r="E59" s="450" t="s">
        <v>389</v>
      </c>
      <c r="F59" s="450" t="s">
        <v>392</v>
      </c>
      <c r="G59" s="450" t="s">
        <v>393</v>
      </c>
      <c r="H59" s="427">
        <v>76</v>
      </c>
      <c r="I59" s="427">
        <v>26372</v>
      </c>
      <c r="J59" s="450"/>
      <c r="K59" s="450">
        <v>347</v>
      </c>
      <c r="L59" s="427"/>
      <c r="M59" s="427"/>
      <c r="N59" s="450"/>
      <c r="O59" s="450"/>
      <c r="P59" s="427"/>
      <c r="Q59" s="427"/>
      <c r="R59" s="451"/>
      <c r="S59" s="452"/>
    </row>
    <row r="60" spans="1:19" ht="14.45" customHeight="1" x14ac:dyDescent="0.2">
      <c r="A60" s="426" t="s">
        <v>387</v>
      </c>
      <c r="B60" s="450" t="s">
        <v>388</v>
      </c>
      <c r="C60" s="450" t="s">
        <v>341</v>
      </c>
      <c r="D60" s="450" t="s">
        <v>384</v>
      </c>
      <c r="E60" s="450" t="s">
        <v>389</v>
      </c>
      <c r="F60" s="450" t="s">
        <v>400</v>
      </c>
      <c r="G60" s="450" t="s">
        <v>401</v>
      </c>
      <c r="H60" s="427">
        <v>50</v>
      </c>
      <c r="I60" s="427">
        <v>1666.67</v>
      </c>
      <c r="J60" s="450">
        <v>1.5624982421929932</v>
      </c>
      <c r="K60" s="450">
        <v>33.333400000000005</v>
      </c>
      <c r="L60" s="427">
        <v>32</v>
      </c>
      <c r="M60" s="427">
        <v>1066.67</v>
      </c>
      <c r="N60" s="450">
        <v>1</v>
      </c>
      <c r="O60" s="450">
        <v>33.333437500000002</v>
      </c>
      <c r="P60" s="427"/>
      <c r="Q60" s="427"/>
      <c r="R60" s="451"/>
      <c r="S60" s="452"/>
    </row>
    <row r="61" spans="1:19" ht="14.45" customHeight="1" x14ac:dyDescent="0.2">
      <c r="A61" s="426" t="s">
        <v>387</v>
      </c>
      <c r="B61" s="450" t="s">
        <v>388</v>
      </c>
      <c r="C61" s="450" t="s">
        <v>341</v>
      </c>
      <c r="D61" s="450" t="s">
        <v>384</v>
      </c>
      <c r="E61" s="450" t="s">
        <v>389</v>
      </c>
      <c r="F61" s="450" t="s">
        <v>402</v>
      </c>
      <c r="G61" s="450" t="s">
        <v>403</v>
      </c>
      <c r="H61" s="427">
        <v>150</v>
      </c>
      <c r="I61" s="427">
        <v>87000</v>
      </c>
      <c r="J61" s="450">
        <v>1.4126587211379209</v>
      </c>
      <c r="K61" s="450">
        <v>580</v>
      </c>
      <c r="L61" s="427">
        <v>106</v>
      </c>
      <c r="M61" s="427">
        <v>61586</v>
      </c>
      <c r="N61" s="450">
        <v>1</v>
      </c>
      <c r="O61" s="450">
        <v>581</v>
      </c>
      <c r="P61" s="427"/>
      <c r="Q61" s="427"/>
      <c r="R61" s="451"/>
      <c r="S61" s="452"/>
    </row>
    <row r="62" spans="1:19" ht="14.45" customHeight="1" x14ac:dyDescent="0.2">
      <c r="A62" s="426" t="s">
        <v>387</v>
      </c>
      <c r="B62" s="450" t="s">
        <v>388</v>
      </c>
      <c r="C62" s="450" t="s">
        <v>341</v>
      </c>
      <c r="D62" s="450" t="s">
        <v>385</v>
      </c>
      <c r="E62" s="450" t="s">
        <v>389</v>
      </c>
      <c r="F62" s="450" t="s">
        <v>390</v>
      </c>
      <c r="G62" s="450" t="s">
        <v>391</v>
      </c>
      <c r="H62" s="427">
        <v>4</v>
      </c>
      <c r="I62" s="427">
        <v>296</v>
      </c>
      <c r="J62" s="450">
        <v>1</v>
      </c>
      <c r="K62" s="450">
        <v>74</v>
      </c>
      <c r="L62" s="427">
        <v>4</v>
      </c>
      <c r="M62" s="427">
        <v>296</v>
      </c>
      <c r="N62" s="450">
        <v>1</v>
      </c>
      <c r="O62" s="450">
        <v>74</v>
      </c>
      <c r="P62" s="427"/>
      <c r="Q62" s="427"/>
      <c r="R62" s="451"/>
      <c r="S62" s="452"/>
    </row>
    <row r="63" spans="1:19" ht="14.45" customHeight="1" x14ac:dyDescent="0.2">
      <c r="A63" s="426" t="s">
        <v>387</v>
      </c>
      <c r="B63" s="450" t="s">
        <v>388</v>
      </c>
      <c r="C63" s="450" t="s">
        <v>341</v>
      </c>
      <c r="D63" s="450" t="s">
        <v>385</v>
      </c>
      <c r="E63" s="450" t="s">
        <v>389</v>
      </c>
      <c r="F63" s="450" t="s">
        <v>392</v>
      </c>
      <c r="G63" s="450" t="s">
        <v>393</v>
      </c>
      <c r="H63" s="427">
        <v>94</v>
      </c>
      <c r="I63" s="427">
        <v>32618</v>
      </c>
      <c r="J63" s="450">
        <v>0.3715415019762846</v>
      </c>
      <c r="K63" s="450">
        <v>347</v>
      </c>
      <c r="L63" s="427">
        <v>253</v>
      </c>
      <c r="M63" s="427">
        <v>87791</v>
      </c>
      <c r="N63" s="450">
        <v>1</v>
      </c>
      <c r="O63" s="450">
        <v>347</v>
      </c>
      <c r="P63" s="427">
        <v>433</v>
      </c>
      <c r="Q63" s="427">
        <v>151550</v>
      </c>
      <c r="R63" s="451">
        <v>1.7262589559294232</v>
      </c>
      <c r="S63" s="452">
        <v>350</v>
      </c>
    </row>
    <row r="64" spans="1:19" ht="14.45" customHeight="1" x14ac:dyDescent="0.2">
      <c r="A64" s="426" t="s">
        <v>387</v>
      </c>
      <c r="B64" s="450" t="s">
        <v>388</v>
      </c>
      <c r="C64" s="450" t="s">
        <v>341</v>
      </c>
      <c r="D64" s="450" t="s">
        <v>385</v>
      </c>
      <c r="E64" s="450" t="s">
        <v>389</v>
      </c>
      <c r="F64" s="450" t="s">
        <v>394</v>
      </c>
      <c r="G64" s="450" t="s">
        <v>395</v>
      </c>
      <c r="H64" s="427"/>
      <c r="I64" s="427"/>
      <c r="J64" s="450"/>
      <c r="K64" s="450"/>
      <c r="L64" s="427"/>
      <c r="M64" s="427"/>
      <c r="N64" s="450"/>
      <c r="O64" s="450"/>
      <c r="P64" s="427">
        <v>35</v>
      </c>
      <c r="Q64" s="427">
        <v>8155</v>
      </c>
      <c r="R64" s="451"/>
      <c r="S64" s="452">
        <v>233</v>
      </c>
    </row>
    <row r="65" spans="1:19" ht="14.45" customHeight="1" x14ac:dyDescent="0.2">
      <c r="A65" s="426" t="s">
        <v>387</v>
      </c>
      <c r="B65" s="450" t="s">
        <v>388</v>
      </c>
      <c r="C65" s="450" t="s">
        <v>341</v>
      </c>
      <c r="D65" s="450" t="s">
        <v>385</v>
      </c>
      <c r="E65" s="450" t="s">
        <v>389</v>
      </c>
      <c r="F65" s="450" t="s">
        <v>396</v>
      </c>
      <c r="G65" s="450" t="s">
        <v>397</v>
      </c>
      <c r="H65" s="427">
        <v>95</v>
      </c>
      <c r="I65" s="427">
        <v>32965</v>
      </c>
      <c r="J65" s="450">
        <v>0.34798534798534797</v>
      </c>
      <c r="K65" s="450">
        <v>347</v>
      </c>
      <c r="L65" s="427">
        <v>273</v>
      </c>
      <c r="M65" s="427">
        <v>94731</v>
      </c>
      <c r="N65" s="450">
        <v>1</v>
      </c>
      <c r="O65" s="450">
        <v>347</v>
      </c>
      <c r="P65" s="427">
        <v>212</v>
      </c>
      <c r="Q65" s="427">
        <v>74200</v>
      </c>
      <c r="R65" s="451">
        <v>0.78327052390452967</v>
      </c>
      <c r="S65" s="452">
        <v>350</v>
      </c>
    </row>
    <row r="66" spans="1:19" ht="14.45" customHeight="1" x14ac:dyDescent="0.2">
      <c r="A66" s="426" t="s">
        <v>387</v>
      </c>
      <c r="B66" s="450" t="s">
        <v>388</v>
      </c>
      <c r="C66" s="450" t="s">
        <v>341</v>
      </c>
      <c r="D66" s="450" t="s">
        <v>385</v>
      </c>
      <c r="E66" s="450" t="s">
        <v>389</v>
      </c>
      <c r="F66" s="450" t="s">
        <v>398</v>
      </c>
      <c r="G66" s="450" t="s">
        <v>399</v>
      </c>
      <c r="H66" s="427"/>
      <c r="I66" s="427"/>
      <c r="J66" s="450"/>
      <c r="K66" s="450"/>
      <c r="L66" s="427">
        <v>6</v>
      </c>
      <c r="M66" s="427">
        <v>2082</v>
      </c>
      <c r="N66" s="450">
        <v>1</v>
      </c>
      <c r="O66" s="450">
        <v>347</v>
      </c>
      <c r="P66" s="427"/>
      <c r="Q66" s="427"/>
      <c r="R66" s="451"/>
      <c r="S66" s="452"/>
    </row>
    <row r="67" spans="1:19" ht="14.45" customHeight="1" x14ac:dyDescent="0.2">
      <c r="A67" s="426" t="s">
        <v>387</v>
      </c>
      <c r="B67" s="450" t="s">
        <v>388</v>
      </c>
      <c r="C67" s="450" t="s">
        <v>341</v>
      </c>
      <c r="D67" s="450" t="s">
        <v>385</v>
      </c>
      <c r="E67" s="450" t="s">
        <v>389</v>
      </c>
      <c r="F67" s="450" t="s">
        <v>404</v>
      </c>
      <c r="G67" s="450" t="s">
        <v>405</v>
      </c>
      <c r="H67" s="427">
        <v>122</v>
      </c>
      <c r="I67" s="427">
        <v>70882</v>
      </c>
      <c r="J67" s="450">
        <v>1.6238717067583046</v>
      </c>
      <c r="K67" s="450">
        <v>581</v>
      </c>
      <c r="L67" s="427">
        <v>75</v>
      </c>
      <c r="M67" s="427">
        <v>43650</v>
      </c>
      <c r="N67" s="450">
        <v>1</v>
      </c>
      <c r="O67" s="450">
        <v>582</v>
      </c>
      <c r="P67" s="427">
        <v>81</v>
      </c>
      <c r="Q67" s="427">
        <v>47628</v>
      </c>
      <c r="R67" s="451">
        <v>1.0911340206185567</v>
      </c>
      <c r="S67" s="452">
        <v>588</v>
      </c>
    </row>
    <row r="68" spans="1:19" ht="14.45" customHeight="1" x14ac:dyDescent="0.2">
      <c r="A68" s="426" t="s">
        <v>387</v>
      </c>
      <c r="B68" s="450" t="s">
        <v>388</v>
      </c>
      <c r="C68" s="450" t="s">
        <v>341</v>
      </c>
      <c r="D68" s="450" t="s">
        <v>385</v>
      </c>
      <c r="E68" s="450" t="s">
        <v>389</v>
      </c>
      <c r="F68" s="450" t="s">
        <v>406</v>
      </c>
      <c r="G68" s="450" t="s">
        <v>407</v>
      </c>
      <c r="H68" s="427">
        <v>4</v>
      </c>
      <c r="I68" s="427">
        <v>1164</v>
      </c>
      <c r="J68" s="450"/>
      <c r="K68" s="450">
        <v>291</v>
      </c>
      <c r="L68" s="427"/>
      <c r="M68" s="427"/>
      <c r="N68" s="450"/>
      <c r="O68" s="450"/>
      <c r="P68" s="427"/>
      <c r="Q68" s="427"/>
      <c r="R68" s="451"/>
      <c r="S68" s="452"/>
    </row>
    <row r="69" spans="1:19" ht="14.45" customHeight="1" x14ac:dyDescent="0.2">
      <c r="A69" s="426" t="s">
        <v>387</v>
      </c>
      <c r="B69" s="450" t="s">
        <v>388</v>
      </c>
      <c r="C69" s="450" t="s">
        <v>341</v>
      </c>
      <c r="D69" s="450" t="s">
        <v>385</v>
      </c>
      <c r="E69" s="450" t="s">
        <v>389</v>
      </c>
      <c r="F69" s="450" t="s">
        <v>408</v>
      </c>
      <c r="G69" s="450" t="s">
        <v>409</v>
      </c>
      <c r="H69" s="427">
        <v>8</v>
      </c>
      <c r="I69" s="427">
        <v>4648</v>
      </c>
      <c r="J69" s="450">
        <v>0.18572684408215456</v>
      </c>
      <c r="K69" s="450">
        <v>581</v>
      </c>
      <c r="L69" s="427">
        <v>43</v>
      </c>
      <c r="M69" s="427">
        <v>25026</v>
      </c>
      <c r="N69" s="450">
        <v>1</v>
      </c>
      <c r="O69" s="450">
        <v>582</v>
      </c>
      <c r="P69" s="427">
        <v>29</v>
      </c>
      <c r="Q69" s="427">
        <v>17052</v>
      </c>
      <c r="R69" s="451">
        <v>0.68137137377127788</v>
      </c>
      <c r="S69" s="452">
        <v>588</v>
      </c>
    </row>
    <row r="70" spans="1:19" ht="14.45" customHeight="1" x14ac:dyDescent="0.2">
      <c r="A70" s="426" t="s">
        <v>387</v>
      </c>
      <c r="B70" s="450" t="s">
        <v>388</v>
      </c>
      <c r="C70" s="450" t="s">
        <v>341</v>
      </c>
      <c r="D70" s="450" t="s">
        <v>373</v>
      </c>
      <c r="E70" s="450" t="s">
        <v>389</v>
      </c>
      <c r="F70" s="450" t="s">
        <v>390</v>
      </c>
      <c r="G70" s="450" t="s">
        <v>391</v>
      </c>
      <c r="H70" s="427">
        <v>8</v>
      </c>
      <c r="I70" s="427">
        <v>592</v>
      </c>
      <c r="J70" s="450">
        <v>1</v>
      </c>
      <c r="K70" s="450">
        <v>74</v>
      </c>
      <c r="L70" s="427">
        <v>8</v>
      </c>
      <c r="M70" s="427">
        <v>592</v>
      </c>
      <c r="N70" s="450">
        <v>1</v>
      </c>
      <c r="O70" s="450">
        <v>74</v>
      </c>
      <c r="P70" s="427">
        <v>10</v>
      </c>
      <c r="Q70" s="427">
        <v>750</v>
      </c>
      <c r="R70" s="451">
        <v>1.2668918918918919</v>
      </c>
      <c r="S70" s="452">
        <v>75</v>
      </c>
    </row>
    <row r="71" spans="1:19" ht="14.45" customHeight="1" x14ac:dyDescent="0.2">
      <c r="A71" s="426" t="s">
        <v>387</v>
      </c>
      <c r="B71" s="450" t="s">
        <v>388</v>
      </c>
      <c r="C71" s="450" t="s">
        <v>341</v>
      </c>
      <c r="D71" s="450" t="s">
        <v>373</v>
      </c>
      <c r="E71" s="450" t="s">
        <v>389</v>
      </c>
      <c r="F71" s="450" t="s">
        <v>392</v>
      </c>
      <c r="G71" s="450" t="s">
        <v>393</v>
      </c>
      <c r="H71" s="427">
        <v>183</v>
      </c>
      <c r="I71" s="427">
        <v>63501</v>
      </c>
      <c r="J71" s="450">
        <v>0.28110599078341014</v>
      </c>
      <c r="K71" s="450">
        <v>347</v>
      </c>
      <c r="L71" s="427">
        <v>651</v>
      </c>
      <c r="M71" s="427">
        <v>225897</v>
      </c>
      <c r="N71" s="450">
        <v>1</v>
      </c>
      <c r="O71" s="450">
        <v>347</v>
      </c>
      <c r="P71" s="427">
        <v>668</v>
      </c>
      <c r="Q71" s="427">
        <v>233800</v>
      </c>
      <c r="R71" s="451">
        <v>1.0349849710266184</v>
      </c>
      <c r="S71" s="452">
        <v>350</v>
      </c>
    </row>
    <row r="72" spans="1:19" ht="14.45" customHeight="1" x14ac:dyDescent="0.2">
      <c r="A72" s="426" t="s">
        <v>387</v>
      </c>
      <c r="B72" s="450" t="s">
        <v>388</v>
      </c>
      <c r="C72" s="450" t="s">
        <v>341</v>
      </c>
      <c r="D72" s="450" t="s">
        <v>373</v>
      </c>
      <c r="E72" s="450" t="s">
        <v>389</v>
      </c>
      <c r="F72" s="450" t="s">
        <v>394</v>
      </c>
      <c r="G72" s="450" t="s">
        <v>395</v>
      </c>
      <c r="H72" s="427"/>
      <c r="I72" s="427"/>
      <c r="J72" s="450"/>
      <c r="K72" s="450"/>
      <c r="L72" s="427"/>
      <c r="M72" s="427"/>
      <c r="N72" s="450"/>
      <c r="O72" s="450"/>
      <c r="P72" s="427">
        <v>19</v>
      </c>
      <c r="Q72" s="427">
        <v>4427</v>
      </c>
      <c r="R72" s="451"/>
      <c r="S72" s="452">
        <v>233</v>
      </c>
    </row>
    <row r="73" spans="1:19" ht="14.45" customHeight="1" x14ac:dyDescent="0.2">
      <c r="A73" s="426" t="s">
        <v>387</v>
      </c>
      <c r="B73" s="450" t="s">
        <v>388</v>
      </c>
      <c r="C73" s="450" t="s">
        <v>341</v>
      </c>
      <c r="D73" s="450" t="s">
        <v>373</v>
      </c>
      <c r="E73" s="450" t="s">
        <v>389</v>
      </c>
      <c r="F73" s="450" t="s">
        <v>396</v>
      </c>
      <c r="G73" s="450" t="s">
        <v>397</v>
      </c>
      <c r="H73" s="427">
        <v>51</v>
      </c>
      <c r="I73" s="427">
        <v>17697</v>
      </c>
      <c r="J73" s="450">
        <v>0.18888888888888888</v>
      </c>
      <c r="K73" s="450">
        <v>347</v>
      </c>
      <c r="L73" s="427">
        <v>270</v>
      </c>
      <c r="M73" s="427">
        <v>93690</v>
      </c>
      <c r="N73" s="450">
        <v>1</v>
      </c>
      <c r="O73" s="450">
        <v>347</v>
      </c>
      <c r="P73" s="427">
        <v>312</v>
      </c>
      <c r="Q73" s="427">
        <v>109200</v>
      </c>
      <c r="R73" s="451">
        <v>1.1655459494076208</v>
      </c>
      <c r="S73" s="452">
        <v>350</v>
      </c>
    </row>
    <row r="74" spans="1:19" ht="14.45" customHeight="1" x14ac:dyDescent="0.2">
      <c r="A74" s="426" t="s">
        <v>387</v>
      </c>
      <c r="B74" s="450" t="s">
        <v>388</v>
      </c>
      <c r="C74" s="450" t="s">
        <v>341</v>
      </c>
      <c r="D74" s="450" t="s">
        <v>373</v>
      </c>
      <c r="E74" s="450" t="s">
        <v>389</v>
      </c>
      <c r="F74" s="450" t="s">
        <v>398</v>
      </c>
      <c r="G74" s="450" t="s">
        <v>399</v>
      </c>
      <c r="H74" s="427"/>
      <c r="I74" s="427"/>
      <c r="J74" s="450"/>
      <c r="K74" s="450"/>
      <c r="L74" s="427"/>
      <c r="M74" s="427"/>
      <c r="N74" s="450"/>
      <c r="O74" s="450"/>
      <c r="P74" s="427">
        <v>4</v>
      </c>
      <c r="Q74" s="427">
        <v>1400</v>
      </c>
      <c r="R74" s="451"/>
      <c r="S74" s="452">
        <v>350</v>
      </c>
    </row>
    <row r="75" spans="1:19" ht="14.45" customHeight="1" x14ac:dyDescent="0.2">
      <c r="A75" s="426" t="s">
        <v>387</v>
      </c>
      <c r="B75" s="450" t="s">
        <v>388</v>
      </c>
      <c r="C75" s="450" t="s">
        <v>341</v>
      </c>
      <c r="D75" s="450" t="s">
        <v>373</v>
      </c>
      <c r="E75" s="450" t="s">
        <v>389</v>
      </c>
      <c r="F75" s="450" t="s">
        <v>404</v>
      </c>
      <c r="G75" s="450" t="s">
        <v>405</v>
      </c>
      <c r="H75" s="427">
        <v>140</v>
      </c>
      <c r="I75" s="427">
        <v>81340</v>
      </c>
      <c r="J75" s="450">
        <v>2.5881379661448389</v>
      </c>
      <c r="K75" s="450">
        <v>581</v>
      </c>
      <c r="L75" s="427">
        <v>54</v>
      </c>
      <c r="M75" s="427">
        <v>31428</v>
      </c>
      <c r="N75" s="450">
        <v>1</v>
      </c>
      <c r="O75" s="450">
        <v>582</v>
      </c>
      <c r="P75" s="427">
        <v>31</v>
      </c>
      <c r="Q75" s="427">
        <v>18228</v>
      </c>
      <c r="R75" s="451">
        <v>0.57999236349751815</v>
      </c>
      <c r="S75" s="452">
        <v>588</v>
      </c>
    </row>
    <row r="76" spans="1:19" ht="14.45" customHeight="1" x14ac:dyDescent="0.2">
      <c r="A76" s="426" t="s">
        <v>387</v>
      </c>
      <c r="B76" s="450" t="s">
        <v>388</v>
      </c>
      <c r="C76" s="450" t="s">
        <v>341</v>
      </c>
      <c r="D76" s="450" t="s">
        <v>373</v>
      </c>
      <c r="E76" s="450" t="s">
        <v>389</v>
      </c>
      <c r="F76" s="450" t="s">
        <v>408</v>
      </c>
      <c r="G76" s="450" t="s">
        <v>409</v>
      </c>
      <c r="H76" s="427"/>
      <c r="I76" s="427"/>
      <c r="J76" s="450"/>
      <c r="K76" s="450"/>
      <c r="L76" s="427">
        <v>75</v>
      </c>
      <c r="M76" s="427">
        <v>43650</v>
      </c>
      <c r="N76" s="450">
        <v>1</v>
      </c>
      <c r="O76" s="450">
        <v>582</v>
      </c>
      <c r="P76" s="427">
        <v>35</v>
      </c>
      <c r="Q76" s="427">
        <v>20580</v>
      </c>
      <c r="R76" s="451">
        <v>0.47147766323024054</v>
      </c>
      <c r="S76" s="452">
        <v>588</v>
      </c>
    </row>
    <row r="77" spans="1:19" ht="14.45" customHeight="1" x14ac:dyDescent="0.2">
      <c r="A77" s="426" t="s">
        <v>387</v>
      </c>
      <c r="B77" s="450" t="s">
        <v>388</v>
      </c>
      <c r="C77" s="450" t="s">
        <v>341</v>
      </c>
      <c r="D77" s="450" t="s">
        <v>380</v>
      </c>
      <c r="E77" s="450" t="s">
        <v>389</v>
      </c>
      <c r="F77" s="450" t="s">
        <v>392</v>
      </c>
      <c r="G77" s="450" t="s">
        <v>393</v>
      </c>
      <c r="H77" s="427"/>
      <c r="I77" s="427"/>
      <c r="J77" s="450"/>
      <c r="K77" s="450"/>
      <c r="L77" s="427">
        <v>28</v>
      </c>
      <c r="M77" s="427">
        <v>9716</v>
      </c>
      <c r="N77" s="450">
        <v>1</v>
      </c>
      <c r="O77" s="450">
        <v>347</v>
      </c>
      <c r="P77" s="427">
        <v>747</v>
      </c>
      <c r="Q77" s="427">
        <v>261450</v>
      </c>
      <c r="R77" s="451">
        <v>26.90922190201729</v>
      </c>
      <c r="S77" s="452">
        <v>350</v>
      </c>
    </row>
    <row r="78" spans="1:19" ht="14.45" customHeight="1" x14ac:dyDescent="0.2">
      <c r="A78" s="426" t="s">
        <v>387</v>
      </c>
      <c r="B78" s="450" t="s">
        <v>388</v>
      </c>
      <c r="C78" s="450" t="s">
        <v>341</v>
      </c>
      <c r="D78" s="450" t="s">
        <v>380</v>
      </c>
      <c r="E78" s="450" t="s">
        <v>389</v>
      </c>
      <c r="F78" s="450" t="s">
        <v>398</v>
      </c>
      <c r="G78" s="450" t="s">
        <v>399</v>
      </c>
      <c r="H78" s="427"/>
      <c r="I78" s="427"/>
      <c r="J78" s="450"/>
      <c r="K78" s="450"/>
      <c r="L78" s="427"/>
      <c r="M78" s="427"/>
      <c r="N78" s="450"/>
      <c r="O78" s="450"/>
      <c r="P78" s="427">
        <v>3</v>
      </c>
      <c r="Q78" s="427">
        <v>1050</v>
      </c>
      <c r="R78" s="451"/>
      <c r="S78" s="452">
        <v>350</v>
      </c>
    </row>
    <row r="79" spans="1:19" ht="14.45" customHeight="1" x14ac:dyDescent="0.2">
      <c r="A79" s="426" t="s">
        <v>387</v>
      </c>
      <c r="B79" s="450" t="s">
        <v>388</v>
      </c>
      <c r="C79" s="450" t="s">
        <v>341</v>
      </c>
      <c r="D79" s="450" t="s">
        <v>380</v>
      </c>
      <c r="E79" s="450" t="s">
        <v>389</v>
      </c>
      <c r="F79" s="450" t="s">
        <v>400</v>
      </c>
      <c r="G79" s="450" t="s">
        <v>401</v>
      </c>
      <c r="H79" s="427"/>
      <c r="I79" s="427"/>
      <c r="J79" s="450"/>
      <c r="K79" s="450"/>
      <c r="L79" s="427">
        <v>3</v>
      </c>
      <c r="M79" s="427">
        <v>100</v>
      </c>
      <c r="N79" s="450">
        <v>1</v>
      </c>
      <c r="O79" s="450">
        <v>33.333333333333336</v>
      </c>
      <c r="P79" s="427">
        <v>23</v>
      </c>
      <c r="Q79" s="427">
        <v>766.63</v>
      </c>
      <c r="R79" s="451">
        <v>7.6662999999999997</v>
      </c>
      <c r="S79" s="452">
        <v>33.331739130434784</v>
      </c>
    </row>
    <row r="80" spans="1:19" ht="14.45" customHeight="1" x14ac:dyDescent="0.2">
      <c r="A80" s="426" t="s">
        <v>387</v>
      </c>
      <c r="B80" s="450" t="s">
        <v>388</v>
      </c>
      <c r="C80" s="450" t="s">
        <v>341</v>
      </c>
      <c r="D80" s="450" t="s">
        <v>380</v>
      </c>
      <c r="E80" s="450" t="s">
        <v>389</v>
      </c>
      <c r="F80" s="450" t="s">
        <v>402</v>
      </c>
      <c r="G80" s="450" t="s">
        <v>403</v>
      </c>
      <c r="H80" s="427"/>
      <c r="I80" s="427"/>
      <c r="J80" s="450"/>
      <c r="K80" s="450"/>
      <c r="L80" s="427">
        <v>10</v>
      </c>
      <c r="M80" s="427">
        <v>5810</v>
      </c>
      <c r="N80" s="450">
        <v>1</v>
      </c>
      <c r="O80" s="450">
        <v>581</v>
      </c>
      <c r="P80" s="427">
        <v>47</v>
      </c>
      <c r="Q80" s="427">
        <v>27589</v>
      </c>
      <c r="R80" s="451">
        <v>4.7485370051635112</v>
      </c>
      <c r="S80" s="452">
        <v>587</v>
      </c>
    </row>
    <row r="81" spans="1:19" ht="14.45" customHeight="1" thickBot="1" x14ac:dyDescent="0.25">
      <c r="A81" s="430" t="s">
        <v>387</v>
      </c>
      <c r="B81" s="453" t="s">
        <v>388</v>
      </c>
      <c r="C81" s="453" t="s">
        <v>341</v>
      </c>
      <c r="D81" s="453" t="s">
        <v>380</v>
      </c>
      <c r="E81" s="453" t="s">
        <v>389</v>
      </c>
      <c r="F81" s="453" t="s">
        <v>410</v>
      </c>
      <c r="G81" s="453" t="s">
        <v>411</v>
      </c>
      <c r="H81" s="431"/>
      <c r="I81" s="431"/>
      <c r="J81" s="453"/>
      <c r="K81" s="453"/>
      <c r="L81" s="431"/>
      <c r="M81" s="431"/>
      <c r="N81" s="453"/>
      <c r="O81" s="453"/>
      <c r="P81" s="431">
        <v>50</v>
      </c>
      <c r="Q81" s="431">
        <v>29350</v>
      </c>
      <c r="R81" s="454"/>
      <c r="S81" s="455">
        <v>587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41B0D0B6-7582-4E02-B2D4-39F82E91F033}"/>
  </hyperlinks>
  <pageMargins left="0.25" right="0.25" top="0.75" bottom="0.75" header="0.3" footer="0.3"/>
  <pageSetup paperSize="9" scale="7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30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01" bestFit="1" customWidth="1" collapsed="1"/>
    <col min="2" max="2" width="7.7109375" style="78" hidden="1" customWidth="1" outlineLevel="1"/>
    <col min="3" max="3" width="0.140625" style="101" hidden="1" customWidth="1"/>
    <col min="4" max="4" width="7.7109375" style="78" customWidth="1"/>
    <col min="5" max="5" width="5.42578125" style="101" hidden="1" customWidth="1"/>
    <col min="6" max="6" width="7.7109375" style="78" customWidth="1"/>
    <col min="7" max="7" width="7.7109375" style="179" customWidth="1" collapsed="1"/>
    <col min="8" max="8" width="7.7109375" style="78" hidden="1" customWidth="1" outlineLevel="1"/>
    <col min="9" max="9" width="5.42578125" style="101" hidden="1" customWidth="1"/>
    <col min="10" max="10" width="7.7109375" style="78" customWidth="1"/>
    <col min="11" max="11" width="5.42578125" style="101" hidden="1" customWidth="1"/>
    <col min="12" max="12" width="7.7109375" style="78" customWidth="1"/>
    <col min="13" max="13" width="7.7109375" style="179" customWidth="1" collapsed="1"/>
    <col min="14" max="14" width="7.7109375" style="78" hidden="1" customWidth="1" outlineLevel="1"/>
    <col min="15" max="15" width="5" style="101" hidden="1" customWidth="1"/>
    <col min="16" max="16" width="7.7109375" style="78" customWidth="1"/>
    <col min="17" max="17" width="5" style="101" hidden="1" customWidth="1"/>
    <col min="18" max="18" width="7.7109375" style="78" customWidth="1"/>
    <col min="19" max="19" width="7.7109375" style="179" customWidth="1"/>
    <col min="20" max="16384" width="8.85546875" style="101"/>
  </cols>
  <sheetData>
    <row r="1" spans="1:19" ht="18.600000000000001" customHeight="1" thickBot="1" x14ac:dyDescent="0.35">
      <c r="A1" s="288" t="s">
        <v>98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  <c r="S1" s="276"/>
    </row>
    <row r="2" spans="1:19" ht="14.45" customHeight="1" thickBot="1" x14ac:dyDescent="0.25">
      <c r="A2" s="192" t="s">
        <v>208</v>
      </c>
      <c r="B2" s="186"/>
      <c r="C2" s="83"/>
      <c r="D2" s="186"/>
      <c r="E2" s="83"/>
      <c r="F2" s="186"/>
      <c r="G2" s="187"/>
      <c r="H2" s="186"/>
      <c r="I2" s="83"/>
      <c r="J2" s="186"/>
      <c r="K2" s="83"/>
      <c r="L2" s="186"/>
      <c r="M2" s="187"/>
      <c r="N2" s="186"/>
      <c r="O2" s="83"/>
      <c r="P2" s="186"/>
      <c r="Q2" s="83"/>
      <c r="R2" s="186"/>
      <c r="S2" s="187"/>
    </row>
    <row r="3" spans="1:19" ht="14.45" customHeight="1" thickBot="1" x14ac:dyDescent="0.25">
      <c r="A3" s="180" t="s">
        <v>99</v>
      </c>
      <c r="B3" s="181">
        <f>SUBTOTAL(9,B6:B1048576)</f>
        <v>2362411</v>
      </c>
      <c r="C3" s="182">
        <f t="shared" ref="C3:R3" si="0">SUBTOTAL(9,C6:C1048576)</f>
        <v>24.414201651227245</v>
      </c>
      <c r="D3" s="182">
        <f t="shared" si="0"/>
        <v>2265366</v>
      </c>
      <c r="E3" s="182">
        <f t="shared" si="0"/>
        <v>24</v>
      </c>
      <c r="F3" s="182">
        <f t="shared" si="0"/>
        <v>2272061</v>
      </c>
      <c r="G3" s="185">
        <f>IF(D3&lt;&gt;0,F3/D3,"")</f>
        <v>1.0029553723327709</v>
      </c>
      <c r="H3" s="181">
        <f t="shared" si="0"/>
        <v>0</v>
      </c>
      <c r="I3" s="182">
        <f t="shared" si="0"/>
        <v>0</v>
      </c>
      <c r="J3" s="182">
        <f t="shared" si="0"/>
        <v>0</v>
      </c>
      <c r="K3" s="182">
        <f t="shared" si="0"/>
        <v>0</v>
      </c>
      <c r="L3" s="182">
        <f t="shared" si="0"/>
        <v>0</v>
      </c>
      <c r="M3" s="183" t="str">
        <f>IF(J3&lt;&gt;0,L3/J3,"")</f>
        <v/>
      </c>
      <c r="N3" s="184">
        <f t="shared" si="0"/>
        <v>0</v>
      </c>
      <c r="O3" s="182">
        <f t="shared" si="0"/>
        <v>0</v>
      </c>
      <c r="P3" s="182">
        <f t="shared" si="0"/>
        <v>0</v>
      </c>
      <c r="Q3" s="182">
        <f t="shared" si="0"/>
        <v>0</v>
      </c>
      <c r="R3" s="182">
        <f t="shared" si="0"/>
        <v>0</v>
      </c>
      <c r="S3" s="183" t="str">
        <f>IF(P3&lt;&gt;0,R3/P3,"")</f>
        <v/>
      </c>
    </row>
    <row r="4" spans="1:19" ht="14.45" customHeight="1" x14ac:dyDescent="0.2">
      <c r="A4" s="349" t="s">
        <v>80</v>
      </c>
      <c r="B4" s="350" t="s">
        <v>74</v>
      </c>
      <c r="C4" s="351"/>
      <c r="D4" s="351"/>
      <c r="E4" s="351"/>
      <c r="F4" s="351"/>
      <c r="G4" s="353"/>
      <c r="H4" s="350" t="s">
        <v>75</v>
      </c>
      <c r="I4" s="351"/>
      <c r="J4" s="351"/>
      <c r="K4" s="351"/>
      <c r="L4" s="351"/>
      <c r="M4" s="353"/>
      <c r="N4" s="350" t="s">
        <v>76</v>
      </c>
      <c r="O4" s="351"/>
      <c r="P4" s="351"/>
      <c r="Q4" s="351"/>
      <c r="R4" s="351"/>
      <c r="S4" s="353"/>
    </row>
    <row r="5" spans="1:19" ht="14.45" customHeight="1" thickBot="1" x14ac:dyDescent="0.25">
      <c r="A5" s="402"/>
      <c r="B5" s="403">
        <v>2015</v>
      </c>
      <c r="C5" s="404"/>
      <c r="D5" s="404">
        <v>2018</v>
      </c>
      <c r="E5" s="404"/>
      <c r="F5" s="404">
        <v>2019</v>
      </c>
      <c r="G5" s="457" t="s">
        <v>2</v>
      </c>
      <c r="H5" s="403">
        <v>2015</v>
      </c>
      <c r="I5" s="404"/>
      <c r="J5" s="404">
        <v>2018</v>
      </c>
      <c r="K5" s="404"/>
      <c r="L5" s="404">
        <v>2019</v>
      </c>
      <c r="M5" s="457" t="s">
        <v>2</v>
      </c>
      <c r="N5" s="403">
        <v>2015</v>
      </c>
      <c r="O5" s="404"/>
      <c r="P5" s="404">
        <v>2018</v>
      </c>
      <c r="Q5" s="404"/>
      <c r="R5" s="404">
        <v>2019</v>
      </c>
      <c r="S5" s="457" t="s">
        <v>2</v>
      </c>
    </row>
    <row r="6" spans="1:19" ht="14.45" customHeight="1" x14ac:dyDescent="0.2">
      <c r="A6" s="434" t="s">
        <v>416</v>
      </c>
      <c r="B6" s="424">
        <v>18976</v>
      </c>
      <c r="C6" s="447">
        <v>1.2807775377969763</v>
      </c>
      <c r="D6" s="424">
        <v>14816</v>
      </c>
      <c r="E6" s="447">
        <v>1</v>
      </c>
      <c r="F6" s="424">
        <v>21722</v>
      </c>
      <c r="G6" s="448">
        <v>1.4661177105831533</v>
      </c>
      <c r="H6" s="424"/>
      <c r="I6" s="447"/>
      <c r="J6" s="424"/>
      <c r="K6" s="447"/>
      <c r="L6" s="424"/>
      <c r="M6" s="448"/>
      <c r="N6" s="424"/>
      <c r="O6" s="447"/>
      <c r="P6" s="424"/>
      <c r="Q6" s="447"/>
      <c r="R6" s="424"/>
      <c r="S6" s="458"/>
    </row>
    <row r="7" spans="1:19" ht="14.45" customHeight="1" x14ac:dyDescent="0.2">
      <c r="A7" s="435" t="s">
        <v>417</v>
      </c>
      <c r="B7" s="428">
        <v>9716</v>
      </c>
      <c r="C7" s="450">
        <v>0.73684210526315785</v>
      </c>
      <c r="D7" s="428">
        <v>13186</v>
      </c>
      <c r="E7" s="450">
        <v>1</v>
      </c>
      <c r="F7" s="428">
        <v>65520</v>
      </c>
      <c r="G7" s="451">
        <v>4.9689064158956473</v>
      </c>
      <c r="H7" s="428"/>
      <c r="I7" s="450"/>
      <c r="J7" s="428"/>
      <c r="K7" s="450"/>
      <c r="L7" s="428"/>
      <c r="M7" s="451"/>
      <c r="N7" s="428"/>
      <c r="O7" s="450"/>
      <c r="P7" s="428"/>
      <c r="Q7" s="450"/>
      <c r="R7" s="428"/>
      <c r="S7" s="459"/>
    </row>
    <row r="8" spans="1:19" ht="14.45" customHeight="1" x14ac:dyDescent="0.2">
      <c r="A8" s="435" t="s">
        <v>418</v>
      </c>
      <c r="B8" s="428">
        <v>72479</v>
      </c>
      <c r="C8" s="450">
        <v>1.3970508866615265</v>
      </c>
      <c r="D8" s="428">
        <v>51880</v>
      </c>
      <c r="E8" s="450">
        <v>1</v>
      </c>
      <c r="F8" s="428">
        <v>67365</v>
      </c>
      <c r="G8" s="451">
        <v>1.2984772552043176</v>
      </c>
      <c r="H8" s="428"/>
      <c r="I8" s="450"/>
      <c r="J8" s="428"/>
      <c r="K8" s="450"/>
      <c r="L8" s="428"/>
      <c r="M8" s="451"/>
      <c r="N8" s="428"/>
      <c r="O8" s="450"/>
      <c r="P8" s="428"/>
      <c r="Q8" s="450"/>
      <c r="R8" s="428"/>
      <c r="S8" s="459"/>
    </row>
    <row r="9" spans="1:19" ht="14.45" customHeight="1" x14ac:dyDescent="0.2">
      <c r="A9" s="435" t="s">
        <v>419</v>
      </c>
      <c r="B9" s="428">
        <v>36088</v>
      </c>
      <c r="C9" s="450">
        <v>0.8</v>
      </c>
      <c r="D9" s="428">
        <v>45110</v>
      </c>
      <c r="E9" s="450">
        <v>1</v>
      </c>
      <c r="F9" s="428">
        <v>67550</v>
      </c>
      <c r="G9" s="451">
        <v>1.4974506761250277</v>
      </c>
      <c r="H9" s="428"/>
      <c r="I9" s="450"/>
      <c r="J9" s="428"/>
      <c r="K9" s="450"/>
      <c r="L9" s="428"/>
      <c r="M9" s="451"/>
      <c r="N9" s="428"/>
      <c r="O9" s="450"/>
      <c r="P9" s="428"/>
      <c r="Q9" s="450"/>
      <c r="R9" s="428"/>
      <c r="S9" s="459"/>
    </row>
    <row r="10" spans="1:19" ht="14.45" customHeight="1" x14ac:dyDescent="0.2">
      <c r="A10" s="435" t="s">
        <v>420</v>
      </c>
      <c r="B10" s="428">
        <v>2776</v>
      </c>
      <c r="C10" s="450">
        <v>0.16895922093730981</v>
      </c>
      <c r="D10" s="428">
        <v>16430</v>
      </c>
      <c r="E10" s="450">
        <v>1</v>
      </c>
      <c r="F10" s="428">
        <v>4200</v>
      </c>
      <c r="G10" s="451">
        <v>0.2556299452221546</v>
      </c>
      <c r="H10" s="428"/>
      <c r="I10" s="450"/>
      <c r="J10" s="428"/>
      <c r="K10" s="450"/>
      <c r="L10" s="428"/>
      <c r="M10" s="451"/>
      <c r="N10" s="428"/>
      <c r="O10" s="450"/>
      <c r="P10" s="428"/>
      <c r="Q10" s="450"/>
      <c r="R10" s="428"/>
      <c r="S10" s="459"/>
    </row>
    <row r="11" spans="1:19" ht="14.45" customHeight="1" x14ac:dyDescent="0.2">
      <c r="A11" s="435" t="s">
        <v>421</v>
      </c>
      <c r="B11" s="428"/>
      <c r="C11" s="450"/>
      <c r="D11" s="428">
        <v>11962</v>
      </c>
      <c r="E11" s="450">
        <v>1</v>
      </c>
      <c r="F11" s="428">
        <v>1174</v>
      </c>
      <c r="G11" s="451">
        <v>9.8144123056345095E-2</v>
      </c>
      <c r="H11" s="428"/>
      <c r="I11" s="450"/>
      <c r="J11" s="428"/>
      <c r="K11" s="450"/>
      <c r="L11" s="428"/>
      <c r="M11" s="451"/>
      <c r="N11" s="428"/>
      <c r="O11" s="450"/>
      <c r="P11" s="428"/>
      <c r="Q11" s="450"/>
      <c r="R11" s="428"/>
      <c r="S11" s="459"/>
    </row>
    <row r="12" spans="1:19" ht="14.45" customHeight="1" x14ac:dyDescent="0.2">
      <c r="A12" s="435" t="s">
        <v>422</v>
      </c>
      <c r="B12" s="428">
        <v>6246</v>
      </c>
      <c r="C12" s="450">
        <v>1.125</v>
      </c>
      <c r="D12" s="428">
        <v>5552</v>
      </c>
      <c r="E12" s="450">
        <v>1</v>
      </c>
      <c r="F12" s="428">
        <v>54600</v>
      </c>
      <c r="G12" s="451">
        <v>9.8342939481268008</v>
      </c>
      <c r="H12" s="428"/>
      <c r="I12" s="450"/>
      <c r="J12" s="428"/>
      <c r="K12" s="450"/>
      <c r="L12" s="428"/>
      <c r="M12" s="451"/>
      <c r="N12" s="428"/>
      <c r="O12" s="450"/>
      <c r="P12" s="428"/>
      <c r="Q12" s="450"/>
      <c r="R12" s="428"/>
      <c r="S12" s="459"/>
    </row>
    <row r="13" spans="1:19" ht="14.45" customHeight="1" x14ac:dyDescent="0.2">
      <c r="A13" s="435" t="s">
        <v>423</v>
      </c>
      <c r="B13" s="428">
        <v>232490</v>
      </c>
      <c r="C13" s="450">
        <v>1.1603208113112438</v>
      </c>
      <c r="D13" s="428">
        <v>200367</v>
      </c>
      <c r="E13" s="450">
        <v>1</v>
      </c>
      <c r="F13" s="428">
        <v>142950</v>
      </c>
      <c r="G13" s="451">
        <v>0.71344083606581921</v>
      </c>
      <c r="H13" s="428"/>
      <c r="I13" s="450"/>
      <c r="J13" s="428"/>
      <c r="K13" s="450"/>
      <c r="L13" s="428"/>
      <c r="M13" s="451"/>
      <c r="N13" s="428"/>
      <c r="O13" s="450"/>
      <c r="P13" s="428"/>
      <c r="Q13" s="450"/>
      <c r="R13" s="428"/>
      <c r="S13" s="459"/>
    </row>
    <row r="14" spans="1:19" ht="14.45" customHeight="1" x14ac:dyDescent="0.2">
      <c r="A14" s="435" t="s">
        <v>424</v>
      </c>
      <c r="B14" s="428"/>
      <c r="C14" s="450"/>
      <c r="D14" s="428">
        <v>1388</v>
      </c>
      <c r="E14" s="450">
        <v>1</v>
      </c>
      <c r="F14" s="428"/>
      <c r="G14" s="451"/>
      <c r="H14" s="428"/>
      <c r="I14" s="450"/>
      <c r="J14" s="428"/>
      <c r="K14" s="450"/>
      <c r="L14" s="428"/>
      <c r="M14" s="451"/>
      <c r="N14" s="428"/>
      <c r="O14" s="450"/>
      <c r="P14" s="428"/>
      <c r="Q14" s="450"/>
      <c r="R14" s="428"/>
      <c r="S14" s="459"/>
    </row>
    <row r="15" spans="1:19" ht="14.45" customHeight="1" x14ac:dyDescent="0.2">
      <c r="A15" s="435" t="s">
        <v>425</v>
      </c>
      <c r="B15" s="428">
        <v>387783</v>
      </c>
      <c r="C15" s="450">
        <v>0.82337266359356986</v>
      </c>
      <c r="D15" s="428">
        <v>470969</v>
      </c>
      <c r="E15" s="450">
        <v>1</v>
      </c>
      <c r="F15" s="428">
        <v>408744</v>
      </c>
      <c r="G15" s="451">
        <v>0.86787877758408727</v>
      </c>
      <c r="H15" s="428"/>
      <c r="I15" s="450"/>
      <c r="J15" s="428"/>
      <c r="K15" s="450"/>
      <c r="L15" s="428"/>
      <c r="M15" s="451"/>
      <c r="N15" s="428"/>
      <c r="O15" s="450"/>
      <c r="P15" s="428"/>
      <c r="Q15" s="450"/>
      <c r="R15" s="428"/>
      <c r="S15" s="459"/>
    </row>
    <row r="16" spans="1:19" ht="14.45" customHeight="1" x14ac:dyDescent="0.2">
      <c r="A16" s="435" t="s">
        <v>426</v>
      </c>
      <c r="B16" s="428">
        <v>23596</v>
      </c>
      <c r="C16" s="450">
        <v>4.1396491228070174</v>
      </c>
      <c r="D16" s="428">
        <v>5700</v>
      </c>
      <c r="E16" s="450">
        <v>1</v>
      </c>
      <c r="F16" s="428"/>
      <c r="G16" s="451"/>
      <c r="H16" s="428"/>
      <c r="I16" s="450"/>
      <c r="J16" s="428"/>
      <c r="K16" s="450"/>
      <c r="L16" s="428"/>
      <c r="M16" s="451"/>
      <c r="N16" s="428"/>
      <c r="O16" s="450"/>
      <c r="P16" s="428"/>
      <c r="Q16" s="450"/>
      <c r="R16" s="428"/>
      <c r="S16" s="459"/>
    </row>
    <row r="17" spans="1:19" ht="14.45" customHeight="1" x14ac:dyDescent="0.2">
      <c r="A17" s="435" t="s">
        <v>427</v>
      </c>
      <c r="B17" s="428">
        <v>22208</v>
      </c>
      <c r="C17" s="450"/>
      <c r="D17" s="428"/>
      <c r="E17" s="450"/>
      <c r="F17" s="428"/>
      <c r="G17" s="451"/>
      <c r="H17" s="428"/>
      <c r="I17" s="450"/>
      <c r="J17" s="428"/>
      <c r="K17" s="450"/>
      <c r="L17" s="428"/>
      <c r="M17" s="451"/>
      <c r="N17" s="428"/>
      <c r="O17" s="450"/>
      <c r="P17" s="428"/>
      <c r="Q17" s="450"/>
      <c r="R17" s="428"/>
      <c r="S17" s="459"/>
    </row>
    <row r="18" spans="1:19" ht="14.45" customHeight="1" x14ac:dyDescent="0.2">
      <c r="A18" s="435" t="s">
        <v>428</v>
      </c>
      <c r="B18" s="428"/>
      <c r="C18" s="450"/>
      <c r="D18" s="428">
        <v>11104</v>
      </c>
      <c r="E18" s="450">
        <v>1</v>
      </c>
      <c r="F18" s="428">
        <v>15400</v>
      </c>
      <c r="G18" s="451">
        <v>1.3868876080691643</v>
      </c>
      <c r="H18" s="428"/>
      <c r="I18" s="450"/>
      <c r="J18" s="428"/>
      <c r="K18" s="450"/>
      <c r="L18" s="428"/>
      <c r="M18" s="451"/>
      <c r="N18" s="428"/>
      <c r="O18" s="450"/>
      <c r="P18" s="428"/>
      <c r="Q18" s="450"/>
      <c r="R18" s="428"/>
      <c r="S18" s="459"/>
    </row>
    <row r="19" spans="1:19" ht="14.45" customHeight="1" x14ac:dyDescent="0.2">
      <c r="A19" s="435" t="s">
        <v>429</v>
      </c>
      <c r="B19" s="428"/>
      <c r="C19" s="450"/>
      <c r="D19" s="428">
        <v>2776</v>
      </c>
      <c r="E19" s="450">
        <v>1</v>
      </c>
      <c r="F19" s="428"/>
      <c r="G19" s="451"/>
      <c r="H19" s="428"/>
      <c r="I19" s="450"/>
      <c r="J19" s="428"/>
      <c r="K19" s="450"/>
      <c r="L19" s="428"/>
      <c r="M19" s="451"/>
      <c r="N19" s="428"/>
      <c r="O19" s="450"/>
      <c r="P19" s="428"/>
      <c r="Q19" s="450"/>
      <c r="R19" s="428"/>
      <c r="S19" s="459"/>
    </row>
    <row r="20" spans="1:19" ht="14.45" customHeight="1" x14ac:dyDescent="0.2">
      <c r="A20" s="435" t="s">
        <v>430</v>
      </c>
      <c r="B20" s="428">
        <v>204587</v>
      </c>
      <c r="C20" s="450">
        <v>1.8352724826194213</v>
      </c>
      <c r="D20" s="428">
        <v>111475</v>
      </c>
      <c r="E20" s="450">
        <v>1</v>
      </c>
      <c r="F20" s="428">
        <v>191546</v>
      </c>
      <c r="G20" s="451">
        <v>1.7182866113478359</v>
      </c>
      <c r="H20" s="428"/>
      <c r="I20" s="450"/>
      <c r="J20" s="428"/>
      <c r="K20" s="450"/>
      <c r="L20" s="428"/>
      <c r="M20" s="451"/>
      <c r="N20" s="428"/>
      <c r="O20" s="450"/>
      <c r="P20" s="428"/>
      <c r="Q20" s="450"/>
      <c r="R20" s="428"/>
      <c r="S20" s="459"/>
    </row>
    <row r="21" spans="1:19" ht="14.45" customHeight="1" x14ac:dyDescent="0.2">
      <c r="A21" s="435" t="s">
        <v>431</v>
      </c>
      <c r="B21" s="428">
        <v>366750</v>
      </c>
      <c r="C21" s="450">
        <v>0.9422134759006584</v>
      </c>
      <c r="D21" s="428">
        <v>389243</v>
      </c>
      <c r="E21" s="450">
        <v>1</v>
      </c>
      <c r="F21" s="428">
        <v>326904</v>
      </c>
      <c r="G21" s="451">
        <v>0.83984554635536157</v>
      </c>
      <c r="H21" s="428"/>
      <c r="I21" s="450"/>
      <c r="J21" s="428"/>
      <c r="K21" s="450"/>
      <c r="L21" s="428"/>
      <c r="M21" s="451"/>
      <c r="N21" s="428"/>
      <c r="O21" s="450"/>
      <c r="P21" s="428"/>
      <c r="Q21" s="450"/>
      <c r="R21" s="428"/>
      <c r="S21" s="459"/>
    </row>
    <row r="22" spans="1:19" ht="14.45" customHeight="1" x14ac:dyDescent="0.2">
      <c r="A22" s="435" t="s">
        <v>432</v>
      </c>
      <c r="B22" s="428">
        <v>7178</v>
      </c>
      <c r="C22" s="450">
        <v>1.7567302985805189</v>
      </c>
      <c r="D22" s="428">
        <v>4086</v>
      </c>
      <c r="E22" s="450">
        <v>1</v>
      </c>
      <c r="F22" s="428"/>
      <c r="G22" s="451"/>
      <c r="H22" s="428"/>
      <c r="I22" s="450"/>
      <c r="J22" s="428"/>
      <c r="K22" s="450"/>
      <c r="L22" s="428"/>
      <c r="M22" s="451"/>
      <c r="N22" s="428"/>
      <c r="O22" s="450"/>
      <c r="P22" s="428"/>
      <c r="Q22" s="450"/>
      <c r="R22" s="428"/>
      <c r="S22" s="459"/>
    </row>
    <row r="23" spans="1:19" ht="14.45" customHeight="1" x14ac:dyDescent="0.2">
      <c r="A23" s="435" t="s">
        <v>433</v>
      </c>
      <c r="B23" s="428"/>
      <c r="C23" s="450"/>
      <c r="D23" s="428">
        <v>1388</v>
      </c>
      <c r="E23" s="450">
        <v>1</v>
      </c>
      <c r="F23" s="428">
        <v>1400</v>
      </c>
      <c r="G23" s="451">
        <v>1.0086455331412103</v>
      </c>
      <c r="H23" s="428"/>
      <c r="I23" s="450"/>
      <c r="J23" s="428"/>
      <c r="K23" s="450"/>
      <c r="L23" s="428"/>
      <c r="M23" s="451"/>
      <c r="N23" s="428"/>
      <c r="O23" s="450"/>
      <c r="P23" s="428"/>
      <c r="Q23" s="450"/>
      <c r="R23" s="428"/>
      <c r="S23" s="459"/>
    </row>
    <row r="24" spans="1:19" ht="14.45" customHeight="1" x14ac:dyDescent="0.2">
      <c r="A24" s="435" t="s">
        <v>434</v>
      </c>
      <c r="B24" s="428">
        <v>193112</v>
      </c>
      <c r="C24" s="450">
        <v>0.90328314366033802</v>
      </c>
      <c r="D24" s="428">
        <v>213789</v>
      </c>
      <c r="E24" s="450">
        <v>1</v>
      </c>
      <c r="F24" s="428">
        <v>182077</v>
      </c>
      <c r="G24" s="451">
        <v>0.85166683037948632</v>
      </c>
      <c r="H24" s="428"/>
      <c r="I24" s="450"/>
      <c r="J24" s="428"/>
      <c r="K24" s="450"/>
      <c r="L24" s="428"/>
      <c r="M24" s="451"/>
      <c r="N24" s="428"/>
      <c r="O24" s="450"/>
      <c r="P24" s="428"/>
      <c r="Q24" s="450"/>
      <c r="R24" s="428"/>
      <c r="S24" s="459"/>
    </row>
    <row r="25" spans="1:19" ht="14.45" customHeight="1" x14ac:dyDescent="0.2">
      <c r="A25" s="435" t="s">
        <v>435</v>
      </c>
      <c r="B25" s="428">
        <v>265158</v>
      </c>
      <c r="C25" s="450">
        <v>1.1328633683670855</v>
      </c>
      <c r="D25" s="428">
        <v>234060</v>
      </c>
      <c r="E25" s="450">
        <v>1</v>
      </c>
      <c r="F25" s="428">
        <v>126832</v>
      </c>
      <c r="G25" s="451">
        <v>0.54187815090147828</v>
      </c>
      <c r="H25" s="428"/>
      <c r="I25" s="450"/>
      <c r="J25" s="428"/>
      <c r="K25" s="450"/>
      <c r="L25" s="428"/>
      <c r="M25" s="451"/>
      <c r="N25" s="428"/>
      <c r="O25" s="450"/>
      <c r="P25" s="428"/>
      <c r="Q25" s="450"/>
      <c r="R25" s="428"/>
      <c r="S25" s="459"/>
    </row>
    <row r="26" spans="1:19" ht="14.45" customHeight="1" x14ac:dyDescent="0.2">
      <c r="A26" s="435" t="s">
        <v>436</v>
      </c>
      <c r="B26" s="428">
        <v>75974</v>
      </c>
      <c r="C26" s="450">
        <v>1.2394609762464108</v>
      </c>
      <c r="D26" s="428">
        <v>61296</v>
      </c>
      <c r="E26" s="450">
        <v>1</v>
      </c>
      <c r="F26" s="428">
        <v>146481</v>
      </c>
      <c r="G26" s="451">
        <v>2.389731793265466</v>
      </c>
      <c r="H26" s="428"/>
      <c r="I26" s="450"/>
      <c r="J26" s="428"/>
      <c r="K26" s="450"/>
      <c r="L26" s="428"/>
      <c r="M26" s="451"/>
      <c r="N26" s="428"/>
      <c r="O26" s="450"/>
      <c r="P26" s="428"/>
      <c r="Q26" s="450"/>
      <c r="R26" s="428"/>
      <c r="S26" s="459"/>
    </row>
    <row r="27" spans="1:19" ht="14.45" customHeight="1" x14ac:dyDescent="0.2">
      <c r="A27" s="435" t="s">
        <v>437</v>
      </c>
      <c r="B27" s="428">
        <v>57602</v>
      </c>
      <c r="C27" s="450">
        <v>1.66</v>
      </c>
      <c r="D27" s="428">
        <v>34700</v>
      </c>
      <c r="E27" s="450">
        <v>1</v>
      </c>
      <c r="F27" s="428">
        <v>37100</v>
      </c>
      <c r="G27" s="451">
        <v>1.0691642651296831</v>
      </c>
      <c r="H27" s="428"/>
      <c r="I27" s="450"/>
      <c r="J27" s="428"/>
      <c r="K27" s="450"/>
      <c r="L27" s="428"/>
      <c r="M27" s="451"/>
      <c r="N27" s="428"/>
      <c r="O27" s="450"/>
      <c r="P27" s="428"/>
      <c r="Q27" s="450"/>
      <c r="R27" s="428"/>
      <c r="S27" s="459"/>
    </row>
    <row r="28" spans="1:19" ht="14.45" customHeight="1" x14ac:dyDescent="0.2">
      <c r="A28" s="435" t="s">
        <v>438</v>
      </c>
      <c r="B28" s="428">
        <v>352899</v>
      </c>
      <c r="C28" s="450">
        <v>1.0458714780644951</v>
      </c>
      <c r="D28" s="428">
        <v>337421</v>
      </c>
      <c r="E28" s="450">
        <v>1</v>
      </c>
      <c r="F28" s="428">
        <v>406296</v>
      </c>
      <c r="G28" s="451">
        <v>1.204121853707979</v>
      </c>
      <c r="H28" s="428"/>
      <c r="I28" s="450"/>
      <c r="J28" s="428"/>
      <c r="K28" s="450"/>
      <c r="L28" s="428"/>
      <c r="M28" s="451"/>
      <c r="N28" s="428"/>
      <c r="O28" s="450"/>
      <c r="P28" s="428"/>
      <c r="Q28" s="450"/>
      <c r="R28" s="428"/>
      <c r="S28" s="459"/>
    </row>
    <row r="29" spans="1:19" ht="14.45" customHeight="1" x14ac:dyDescent="0.2">
      <c r="A29" s="435" t="s">
        <v>439</v>
      </c>
      <c r="B29" s="428">
        <v>11178</v>
      </c>
      <c r="C29" s="450">
        <v>0.65939122227465785</v>
      </c>
      <c r="D29" s="428">
        <v>16952</v>
      </c>
      <c r="E29" s="450">
        <v>1</v>
      </c>
      <c r="F29" s="428"/>
      <c r="G29" s="451"/>
      <c r="H29" s="428"/>
      <c r="I29" s="450"/>
      <c r="J29" s="428"/>
      <c r="K29" s="450"/>
      <c r="L29" s="428"/>
      <c r="M29" s="451"/>
      <c r="N29" s="428"/>
      <c r="O29" s="450"/>
      <c r="P29" s="428"/>
      <c r="Q29" s="450"/>
      <c r="R29" s="428"/>
      <c r="S29" s="459"/>
    </row>
    <row r="30" spans="1:19" ht="14.45" customHeight="1" thickBot="1" x14ac:dyDescent="0.25">
      <c r="A30" s="436" t="s">
        <v>440</v>
      </c>
      <c r="B30" s="432">
        <v>15615</v>
      </c>
      <c r="C30" s="453">
        <v>1.6071428571428572</v>
      </c>
      <c r="D30" s="432">
        <v>9716</v>
      </c>
      <c r="E30" s="453">
        <v>1</v>
      </c>
      <c r="F30" s="432">
        <v>4200</v>
      </c>
      <c r="G30" s="454">
        <v>0.43227665706051871</v>
      </c>
      <c r="H30" s="432"/>
      <c r="I30" s="453"/>
      <c r="J30" s="432"/>
      <c r="K30" s="453"/>
      <c r="L30" s="432"/>
      <c r="M30" s="454"/>
      <c r="N30" s="432"/>
      <c r="O30" s="453"/>
      <c r="P30" s="432"/>
      <c r="Q30" s="453"/>
      <c r="R30" s="432"/>
      <c r="S30" s="460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E1C72A4C-0402-4968-8B21-C5D8D6ACC8B7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84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01" bestFit="1" customWidth="1"/>
    <col min="2" max="2" width="8.7109375" style="101" bestFit="1" customWidth="1"/>
    <col min="3" max="3" width="2.140625" style="101" bestFit="1" customWidth="1"/>
    <col min="4" max="4" width="8" style="101" bestFit="1" customWidth="1"/>
    <col min="5" max="5" width="52.85546875" style="101" bestFit="1" customWidth="1" collapsed="1"/>
    <col min="6" max="7" width="11.140625" style="176" hidden="1" customWidth="1" outlineLevel="1"/>
    <col min="8" max="9" width="9.28515625" style="176" hidden="1" customWidth="1"/>
    <col min="10" max="11" width="11.140625" style="176" customWidth="1"/>
    <col min="12" max="13" width="9.28515625" style="176" hidden="1" customWidth="1"/>
    <col min="14" max="15" width="11.140625" style="176" customWidth="1"/>
    <col min="16" max="16" width="11.140625" style="179" customWidth="1"/>
    <col min="17" max="17" width="11.140625" style="176" customWidth="1"/>
    <col min="18" max="16384" width="8.85546875" style="101"/>
  </cols>
  <sheetData>
    <row r="1" spans="1:17" ht="18.600000000000001" customHeight="1" thickBot="1" x14ac:dyDescent="0.35">
      <c r="A1" s="276" t="s">
        <v>465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</row>
    <row r="2" spans="1:17" ht="14.45" customHeight="1" thickBot="1" x14ac:dyDescent="0.25">
      <c r="A2" s="192" t="s">
        <v>208</v>
      </c>
      <c r="B2" s="102"/>
      <c r="C2" s="102"/>
      <c r="D2" s="102"/>
      <c r="E2" s="102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9"/>
      <c r="Q2" s="188"/>
    </row>
    <row r="3" spans="1:17" ht="14.45" customHeight="1" thickBot="1" x14ac:dyDescent="0.25">
      <c r="E3" s="62" t="s">
        <v>99</v>
      </c>
      <c r="F3" s="74">
        <f t="shared" ref="F3:O3" si="0">SUBTOTAL(9,F6:F1048576)</f>
        <v>6155</v>
      </c>
      <c r="G3" s="75">
        <f t="shared" si="0"/>
        <v>2362411</v>
      </c>
      <c r="H3" s="75"/>
      <c r="I3" s="75"/>
      <c r="J3" s="75">
        <f t="shared" si="0"/>
        <v>5890</v>
      </c>
      <c r="K3" s="75">
        <f t="shared" si="0"/>
        <v>2265366</v>
      </c>
      <c r="L3" s="75"/>
      <c r="M3" s="75"/>
      <c r="N3" s="75">
        <f t="shared" si="0"/>
        <v>5867</v>
      </c>
      <c r="O3" s="75">
        <f t="shared" si="0"/>
        <v>2272061</v>
      </c>
      <c r="P3" s="58">
        <f>IF(K3=0,0,O3/K3)</f>
        <v>1.0029553723327709</v>
      </c>
      <c r="Q3" s="76">
        <f>IF(N3=0,0,O3/N3)</f>
        <v>387.26112152718594</v>
      </c>
    </row>
    <row r="4" spans="1:17" ht="14.45" customHeight="1" x14ac:dyDescent="0.2">
      <c r="A4" s="358" t="s">
        <v>44</v>
      </c>
      <c r="B4" s="356" t="s">
        <v>70</v>
      </c>
      <c r="C4" s="358" t="s">
        <v>71</v>
      </c>
      <c r="D4" s="367" t="s">
        <v>72</v>
      </c>
      <c r="E4" s="359" t="s">
        <v>45</v>
      </c>
      <c r="F4" s="365">
        <v>2015</v>
      </c>
      <c r="G4" s="366"/>
      <c r="H4" s="77"/>
      <c r="I4" s="77"/>
      <c r="J4" s="365">
        <v>2018</v>
      </c>
      <c r="K4" s="366"/>
      <c r="L4" s="77"/>
      <c r="M4" s="77"/>
      <c r="N4" s="365">
        <v>2019</v>
      </c>
      <c r="O4" s="366"/>
      <c r="P4" s="368" t="s">
        <v>2</v>
      </c>
      <c r="Q4" s="357" t="s">
        <v>73</v>
      </c>
    </row>
    <row r="5" spans="1:17" ht="14.45" customHeight="1" thickBot="1" x14ac:dyDescent="0.25">
      <c r="A5" s="439"/>
      <c r="B5" s="437"/>
      <c r="C5" s="439"/>
      <c r="D5" s="461"/>
      <c r="E5" s="441"/>
      <c r="F5" s="462" t="s">
        <v>47</v>
      </c>
      <c r="G5" s="463" t="s">
        <v>4</v>
      </c>
      <c r="H5" s="464"/>
      <c r="I5" s="464"/>
      <c r="J5" s="462" t="s">
        <v>47</v>
      </c>
      <c r="K5" s="463" t="s">
        <v>4</v>
      </c>
      <c r="L5" s="464"/>
      <c r="M5" s="464"/>
      <c r="N5" s="462" t="s">
        <v>47</v>
      </c>
      <c r="O5" s="463" t="s">
        <v>4</v>
      </c>
      <c r="P5" s="465"/>
      <c r="Q5" s="446"/>
    </row>
    <row r="6" spans="1:17" ht="14.45" customHeight="1" x14ac:dyDescent="0.2">
      <c r="A6" s="422" t="s">
        <v>441</v>
      </c>
      <c r="B6" s="447" t="s">
        <v>388</v>
      </c>
      <c r="C6" s="447" t="s">
        <v>389</v>
      </c>
      <c r="D6" s="447" t="s">
        <v>392</v>
      </c>
      <c r="E6" s="447" t="s">
        <v>393</v>
      </c>
      <c r="F6" s="423">
        <v>40</v>
      </c>
      <c r="G6" s="423">
        <v>13880</v>
      </c>
      <c r="H6" s="423">
        <v>1.1111111111111112</v>
      </c>
      <c r="I6" s="423">
        <v>347</v>
      </c>
      <c r="J6" s="423">
        <v>36</v>
      </c>
      <c r="K6" s="423">
        <v>12492</v>
      </c>
      <c r="L6" s="423">
        <v>1</v>
      </c>
      <c r="M6" s="423">
        <v>347</v>
      </c>
      <c r="N6" s="423">
        <v>52</v>
      </c>
      <c r="O6" s="423">
        <v>18200</v>
      </c>
      <c r="P6" s="448">
        <v>1.456932436759526</v>
      </c>
      <c r="Q6" s="449">
        <v>350</v>
      </c>
    </row>
    <row r="7" spans="1:17" ht="14.45" customHeight="1" x14ac:dyDescent="0.2">
      <c r="A7" s="426" t="s">
        <v>441</v>
      </c>
      <c r="B7" s="450" t="s">
        <v>388</v>
      </c>
      <c r="C7" s="450" t="s">
        <v>389</v>
      </c>
      <c r="D7" s="450" t="s">
        <v>398</v>
      </c>
      <c r="E7" s="450" t="s">
        <v>399</v>
      </c>
      <c r="F7" s="427">
        <v>8</v>
      </c>
      <c r="G7" s="427">
        <v>2776</v>
      </c>
      <c r="H7" s="427"/>
      <c r="I7" s="427">
        <v>347</v>
      </c>
      <c r="J7" s="427"/>
      <c r="K7" s="427"/>
      <c r="L7" s="427"/>
      <c r="M7" s="427"/>
      <c r="N7" s="427"/>
      <c r="O7" s="427"/>
      <c r="P7" s="451"/>
      <c r="Q7" s="452"/>
    </row>
    <row r="8" spans="1:17" ht="14.45" customHeight="1" x14ac:dyDescent="0.2">
      <c r="A8" s="426" t="s">
        <v>441</v>
      </c>
      <c r="B8" s="450" t="s">
        <v>388</v>
      </c>
      <c r="C8" s="450" t="s">
        <v>389</v>
      </c>
      <c r="D8" s="450" t="s">
        <v>402</v>
      </c>
      <c r="E8" s="450" t="s">
        <v>403</v>
      </c>
      <c r="F8" s="427">
        <v>4</v>
      </c>
      <c r="G8" s="427">
        <v>2320</v>
      </c>
      <c r="H8" s="427">
        <v>0.99827882960413084</v>
      </c>
      <c r="I8" s="427">
        <v>580</v>
      </c>
      <c r="J8" s="427">
        <v>4</v>
      </c>
      <c r="K8" s="427">
        <v>2324</v>
      </c>
      <c r="L8" s="427">
        <v>1</v>
      </c>
      <c r="M8" s="427">
        <v>581</v>
      </c>
      <c r="N8" s="427">
        <v>2</v>
      </c>
      <c r="O8" s="427">
        <v>1174</v>
      </c>
      <c r="P8" s="451">
        <v>0.50516351118760761</v>
      </c>
      <c r="Q8" s="452">
        <v>587</v>
      </c>
    </row>
    <row r="9" spans="1:17" ht="14.45" customHeight="1" x14ac:dyDescent="0.2">
      <c r="A9" s="426" t="s">
        <v>441</v>
      </c>
      <c r="B9" s="450" t="s">
        <v>388</v>
      </c>
      <c r="C9" s="450" t="s">
        <v>389</v>
      </c>
      <c r="D9" s="450" t="s">
        <v>410</v>
      </c>
      <c r="E9" s="450" t="s">
        <v>411</v>
      </c>
      <c r="F9" s="427"/>
      <c r="G9" s="427"/>
      <c r="H9" s="427"/>
      <c r="I9" s="427"/>
      <c r="J9" s="427"/>
      <c r="K9" s="427"/>
      <c r="L9" s="427"/>
      <c r="M9" s="427"/>
      <c r="N9" s="427">
        <v>4</v>
      </c>
      <c r="O9" s="427">
        <v>2348</v>
      </c>
      <c r="P9" s="451"/>
      <c r="Q9" s="452">
        <v>587</v>
      </c>
    </row>
    <row r="10" spans="1:17" ht="14.45" customHeight="1" x14ac:dyDescent="0.2">
      <c r="A10" s="426" t="s">
        <v>442</v>
      </c>
      <c r="B10" s="450" t="s">
        <v>388</v>
      </c>
      <c r="C10" s="450" t="s">
        <v>389</v>
      </c>
      <c r="D10" s="450" t="s">
        <v>390</v>
      </c>
      <c r="E10" s="450" t="s">
        <v>391</v>
      </c>
      <c r="F10" s="427"/>
      <c r="G10" s="427"/>
      <c r="H10" s="427"/>
      <c r="I10" s="427"/>
      <c r="J10" s="427"/>
      <c r="K10" s="427"/>
      <c r="L10" s="427"/>
      <c r="M10" s="427"/>
      <c r="N10" s="427">
        <v>2</v>
      </c>
      <c r="O10" s="427">
        <v>150</v>
      </c>
      <c r="P10" s="451"/>
      <c r="Q10" s="452">
        <v>75</v>
      </c>
    </row>
    <row r="11" spans="1:17" ht="14.45" customHeight="1" x14ac:dyDescent="0.2">
      <c r="A11" s="426" t="s">
        <v>442</v>
      </c>
      <c r="B11" s="450" t="s">
        <v>388</v>
      </c>
      <c r="C11" s="450" t="s">
        <v>389</v>
      </c>
      <c r="D11" s="450" t="s">
        <v>392</v>
      </c>
      <c r="E11" s="450" t="s">
        <v>393</v>
      </c>
      <c r="F11" s="427">
        <v>28</v>
      </c>
      <c r="G11" s="427">
        <v>9716</v>
      </c>
      <c r="H11" s="427">
        <v>0.73684210526315785</v>
      </c>
      <c r="I11" s="427">
        <v>347</v>
      </c>
      <c r="J11" s="427">
        <v>38</v>
      </c>
      <c r="K11" s="427">
        <v>13186</v>
      </c>
      <c r="L11" s="427">
        <v>1</v>
      </c>
      <c r="M11" s="427">
        <v>347</v>
      </c>
      <c r="N11" s="427">
        <v>166</v>
      </c>
      <c r="O11" s="427">
        <v>58100</v>
      </c>
      <c r="P11" s="451">
        <v>4.4061883816168663</v>
      </c>
      <c r="Q11" s="452">
        <v>350</v>
      </c>
    </row>
    <row r="12" spans="1:17" ht="14.45" customHeight="1" x14ac:dyDescent="0.2">
      <c r="A12" s="426" t="s">
        <v>442</v>
      </c>
      <c r="B12" s="450" t="s">
        <v>388</v>
      </c>
      <c r="C12" s="450" t="s">
        <v>389</v>
      </c>
      <c r="D12" s="450" t="s">
        <v>398</v>
      </c>
      <c r="E12" s="450" t="s">
        <v>399</v>
      </c>
      <c r="F12" s="427"/>
      <c r="G12" s="427"/>
      <c r="H12" s="427"/>
      <c r="I12" s="427"/>
      <c r="J12" s="427"/>
      <c r="K12" s="427"/>
      <c r="L12" s="427"/>
      <c r="M12" s="427"/>
      <c r="N12" s="427">
        <v>4</v>
      </c>
      <c r="O12" s="427">
        <v>1400</v>
      </c>
      <c r="P12" s="451"/>
      <c r="Q12" s="452">
        <v>350</v>
      </c>
    </row>
    <row r="13" spans="1:17" ht="14.45" customHeight="1" x14ac:dyDescent="0.2">
      <c r="A13" s="426" t="s">
        <v>442</v>
      </c>
      <c r="B13" s="450" t="s">
        <v>388</v>
      </c>
      <c r="C13" s="450" t="s">
        <v>389</v>
      </c>
      <c r="D13" s="450" t="s">
        <v>402</v>
      </c>
      <c r="E13" s="450" t="s">
        <v>403</v>
      </c>
      <c r="F13" s="427"/>
      <c r="G13" s="427"/>
      <c r="H13" s="427"/>
      <c r="I13" s="427"/>
      <c r="J13" s="427"/>
      <c r="K13" s="427"/>
      <c r="L13" s="427"/>
      <c r="M13" s="427"/>
      <c r="N13" s="427">
        <v>10</v>
      </c>
      <c r="O13" s="427">
        <v>5870</v>
      </c>
      <c r="P13" s="451"/>
      <c r="Q13" s="452">
        <v>587</v>
      </c>
    </row>
    <row r="14" spans="1:17" ht="14.45" customHeight="1" x14ac:dyDescent="0.2">
      <c r="A14" s="426" t="s">
        <v>443</v>
      </c>
      <c r="B14" s="450" t="s">
        <v>388</v>
      </c>
      <c r="C14" s="450" t="s">
        <v>389</v>
      </c>
      <c r="D14" s="450" t="s">
        <v>392</v>
      </c>
      <c r="E14" s="450" t="s">
        <v>393</v>
      </c>
      <c r="F14" s="427">
        <v>137</v>
      </c>
      <c r="G14" s="427">
        <v>47539</v>
      </c>
      <c r="H14" s="427">
        <v>1.2342342342342343</v>
      </c>
      <c r="I14" s="427">
        <v>347</v>
      </c>
      <c r="J14" s="427">
        <v>111</v>
      </c>
      <c r="K14" s="427">
        <v>38517</v>
      </c>
      <c r="L14" s="427">
        <v>1</v>
      </c>
      <c r="M14" s="427">
        <v>347</v>
      </c>
      <c r="N14" s="427">
        <v>117</v>
      </c>
      <c r="O14" s="427">
        <v>40950</v>
      </c>
      <c r="P14" s="451">
        <v>1.0631669133110055</v>
      </c>
      <c r="Q14" s="452">
        <v>350</v>
      </c>
    </row>
    <row r="15" spans="1:17" ht="14.45" customHeight="1" x14ac:dyDescent="0.2">
      <c r="A15" s="426" t="s">
        <v>443</v>
      </c>
      <c r="B15" s="450" t="s">
        <v>388</v>
      </c>
      <c r="C15" s="450" t="s">
        <v>389</v>
      </c>
      <c r="D15" s="450" t="s">
        <v>402</v>
      </c>
      <c r="E15" s="450" t="s">
        <v>403</v>
      </c>
      <c r="F15" s="427">
        <v>39</v>
      </c>
      <c r="G15" s="427">
        <v>22620</v>
      </c>
      <c r="H15" s="427">
        <v>2.5955249569707401</v>
      </c>
      <c r="I15" s="427">
        <v>580</v>
      </c>
      <c r="J15" s="427">
        <v>15</v>
      </c>
      <c r="K15" s="427">
        <v>8715</v>
      </c>
      <c r="L15" s="427">
        <v>1</v>
      </c>
      <c r="M15" s="427">
        <v>581</v>
      </c>
      <c r="N15" s="427">
        <v>42</v>
      </c>
      <c r="O15" s="427">
        <v>24654</v>
      </c>
      <c r="P15" s="451">
        <v>2.8289156626506022</v>
      </c>
      <c r="Q15" s="452">
        <v>587</v>
      </c>
    </row>
    <row r="16" spans="1:17" ht="14.45" customHeight="1" x14ac:dyDescent="0.2">
      <c r="A16" s="426" t="s">
        <v>443</v>
      </c>
      <c r="B16" s="450" t="s">
        <v>388</v>
      </c>
      <c r="C16" s="450" t="s">
        <v>389</v>
      </c>
      <c r="D16" s="450" t="s">
        <v>410</v>
      </c>
      <c r="E16" s="450" t="s">
        <v>411</v>
      </c>
      <c r="F16" s="427">
        <v>4</v>
      </c>
      <c r="G16" s="427">
        <v>2320</v>
      </c>
      <c r="H16" s="427">
        <v>0.49913941480206542</v>
      </c>
      <c r="I16" s="427">
        <v>580</v>
      </c>
      <c r="J16" s="427">
        <v>8</v>
      </c>
      <c r="K16" s="427">
        <v>4648</v>
      </c>
      <c r="L16" s="427">
        <v>1</v>
      </c>
      <c r="M16" s="427">
        <v>581</v>
      </c>
      <c r="N16" s="427">
        <v>3</v>
      </c>
      <c r="O16" s="427">
        <v>1761</v>
      </c>
      <c r="P16" s="451">
        <v>0.3788726333907057</v>
      </c>
      <c r="Q16" s="452">
        <v>587</v>
      </c>
    </row>
    <row r="17" spans="1:17" ht="14.45" customHeight="1" x14ac:dyDescent="0.2">
      <c r="A17" s="426" t="s">
        <v>444</v>
      </c>
      <c r="B17" s="450" t="s">
        <v>388</v>
      </c>
      <c r="C17" s="450" t="s">
        <v>389</v>
      </c>
      <c r="D17" s="450" t="s">
        <v>392</v>
      </c>
      <c r="E17" s="450" t="s">
        <v>393</v>
      </c>
      <c r="F17" s="427">
        <v>100</v>
      </c>
      <c r="G17" s="427">
        <v>34700</v>
      </c>
      <c r="H17" s="427">
        <v>0.76923076923076927</v>
      </c>
      <c r="I17" s="427">
        <v>347</v>
      </c>
      <c r="J17" s="427">
        <v>130</v>
      </c>
      <c r="K17" s="427">
        <v>45110</v>
      </c>
      <c r="L17" s="427">
        <v>1</v>
      </c>
      <c r="M17" s="427">
        <v>347</v>
      </c>
      <c r="N17" s="427">
        <v>193</v>
      </c>
      <c r="O17" s="427">
        <v>67550</v>
      </c>
      <c r="P17" s="451">
        <v>1.4974506761250277</v>
      </c>
      <c r="Q17" s="452">
        <v>350</v>
      </c>
    </row>
    <row r="18" spans="1:17" ht="14.45" customHeight="1" x14ac:dyDescent="0.2">
      <c r="A18" s="426" t="s">
        <v>444</v>
      </c>
      <c r="B18" s="450" t="s">
        <v>388</v>
      </c>
      <c r="C18" s="450" t="s">
        <v>389</v>
      </c>
      <c r="D18" s="450" t="s">
        <v>398</v>
      </c>
      <c r="E18" s="450" t="s">
        <v>399</v>
      </c>
      <c r="F18" s="427">
        <v>4</v>
      </c>
      <c r="G18" s="427">
        <v>1388</v>
      </c>
      <c r="H18" s="427"/>
      <c r="I18" s="427">
        <v>347</v>
      </c>
      <c r="J18" s="427"/>
      <c r="K18" s="427"/>
      <c r="L18" s="427"/>
      <c r="M18" s="427"/>
      <c r="N18" s="427"/>
      <c r="O18" s="427"/>
      <c r="P18" s="451"/>
      <c r="Q18" s="452"/>
    </row>
    <row r="19" spans="1:17" ht="14.45" customHeight="1" x14ac:dyDescent="0.2">
      <c r="A19" s="426" t="s">
        <v>445</v>
      </c>
      <c r="B19" s="450" t="s">
        <v>388</v>
      </c>
      <c r="C19" s="450" t="s">
        <v>389</v>
      </c>
      <c r="D19" s="450" t="s">
        <v>392</v>
      </c>
      <c r="E19" s="450" t="s">
        <v>393</v>
      </c>
      <c r="F19" s="427">
        <v>8</v>
      </c>
      <c r="G19" s="427">
        <v>2776</v>
      </c>
      <c r="H19" s="427">
        <v>0.18181818181818182</v>
      </c>
      <c r="I19" s="427">
        <v>347</v>
      </c>
      <c r="J19" s="427">
        <v>44</v>
      </c>
      <c r="K19" s="427">
        <v>15268</v>
      </c>
      <c r="L19" s="427">
        <v>1</v>
      </c>
      <c r="M19" s="427">
        <v>347</v>
      </c>
      <c r="N19" s="427">
        <v>12</v>
      </c>
      <c r="O19" s="427">
        <v>4200</v>
      </c>
      <c r="P19" s="451">
        <v>0.27508514540214829</v>
      </c>
      <c r="Q19" s="452">
        <v>350</v>
      </c>
    </row>
    <row r="20" spans="1:17" ht="14.45" customHeight="1" x14ac:dyDescent="0.2">
      <c r="A20" s="426" t="s">
        <v>445</v>
      </c>
      <c r="B20" s="450" t="s">
        <v>388</v>
      </c>
      <c r="C20" s="450" t="s">
        <v>389</v>
      </c>
      <c r="D20" s="450" t="s">
        <v>402</v>
      </c>
      <c r="E20" s="450" t="s">
        <v>403</v>
      </c>
      <c r="F20" s="427"/>
      <c r="G20" s="427"/>
      <c r="H20" s="427"/>
      <c r="I20" s="427"/>
      <c r="J20" s="427">
        <v>2</v>
      </c>
      <c r="K20" s="427">
        <v>1162</v>
      </c>
      <c r="L20" s="427">
        <v>1</v>
      </c>
      <c r="M20" s="427">
        <v>581</v>
      </c>
      <c r="N20" s="427"/>
      <c r="O20" s="427"/>
      <c r="P20" s="451"/>
      <c r="Q20" s="452"/>
    </row>
    <row r="21" spans="1:17" ht="14.45" customHeight="1" x14ac:dyDescent="0.2">
      <c r="A21" s="426" t="s">
        <v>387</v>
      </c>
      <c r="B21" s="450" t="s">
        <v>388</v>
      </c>
      <c r="C21" s="450" t="s">
        <v>389</v>
      </c>
      <c r="D21" s="450" t="s">
        <v>390</v>
      </c>
      <c r="E21" s="450" t="s">
        <v>391</v>
      </c>
      <c r="F21" s="427"/>
      <c r="G21" s="427"/>
      <c r="H21" s="427"/>
      <c r="I21" s="427"/>
      <c r="J21" s="427">
        <v>2</v>
      </c>
      <c r="K21" s="427">
        <v>148</v>
      </c>
      <c r="L21" s="427">
        <v>1</v>
      </c>
      <c r="M21" s="427">
        <v>74</v>
      </c>
      <c r="N21" s="427"/>
      <c r="O21" s="427"/>
      <c r="P21" s="451"/>
      <c r="Q21" s="452"/>
    </row>
    <row r="22" spans="1:17" ht="14.45" customHeight="1" x14ac:dyDescent="0.2">
      <c r="A22" s="426" t="s">
        <v>387</v>
      </c>
      <c r="B22" s="450" t="s">
        <v>388</v>
      </c>
      <c r="C22" s="450" t="s">
        <v>389</v>
      </c>
      <c r="D22" s="450" t="s">
        <v>392</v>
      </c>
      <c r="E22" s="450" t="s">
        <v>393</v>
      </c>
      <c r="F22" s="427"/>
      <c r="G22" s="427"/>
      <c r="H22" s="427"/>
      <c r="I22" s="427"/>
      <c r="J22" s="427">
        <v>24</v>
      </c>
      <c r="K22" s="427">
        <v>8328</v>
      </c>
      <c r="L22" s="427">
        <v>1</v>
      </c>
      <c r="M22" s="427">
        <v>347</v>
      </c>
      <c r="N22" s="427"/>
      <c r="O22" s="427"/>
      <c r="P22" s="451"/>
      <c r="Q22" s="452"/>
    </row>
    <row r="23" spans="1:17" ht="14.45" customHeight="1" x14ac:dyDescent="0.2">
      <c r="A23" s="426" t="s">
        <v>387</v>
      </c>
      <c r="B23" s="450" t="s">
        <v>388</v>
      </c>
      <c r="C23" s="450" t="s">
        <v>389</v>
      </c>
      <c r="D23" s="450" t="s">
        <v>402</v>
      </c>
      <c r="E23" s="450" t="s">
        <v>403</v>
      </c>
      <c r="F23" s="427"/>
      <c r="G23" s="427"/>
      <c r="H23" s="427"/>
      <c r="I23" s="427"/>
      <c r="J23" s="427">
        <v>6</v>
      </c>
      <c r="K23" s="427">
        <v>3486</v>
      </c>
      <c r="L23" s="427">
        <v>1</v>
      </c>
      <c r="M23" s="427">
        <v>581</v>
      </c>
      <c r="N23" s="427">
        <v>2</v>
      </c>
      <c r="O23" s="427">
        <v>1174</v>
      </c>
      <c r="P23" s="451">
        <v>0.3367756741250717</v>
      </c>
      <c r="Q23" s="452">
        <v>587</v>
      </c>
    </row>
    <row r="24" spans="1:17" ht="14.45" customHeight="1" x14ac:dyDescent="0.2">
      <c r="A24" s="426" t="s">
        <v>446</v>
      </c>
      <c r="B24" s="450" t="s">
        <v>388</v>
      </c>
      <c r="C24" s="450" t="s">
        <v>389</v>
      </c>
      <c r="D24" s="450" t="s">
        <v>392</v>
      </c>
      <c r="E24" s="450" t="s">
        <v>393</v>
      </c>
      <c r="F24" s="427">
        <v>8</v>
      </c>
      <c r="G24" s="427">
        <v>2776</v>
      </c>
      <c r="H24" s="427">
        <v>0.5</v>
      </c>
      <c r="I24" s="427">
        <v>347</v>
      </c>
      <c r="J24" s="427">
        <v>16</v>
      </c>
      <c r="K24" s="427">
        <v>5552</v>
      </c>
      <c r="L24" s="427">
        <v>1</v>
      </c>
      <c r="M24" s="427">
        <v>347</v>
      </c>
      <c r="N24" s="427">
        <v>152</v>
      </c>
      <c r="O24" s="427">
        <v>53200</v>
      </c>
      <c r="P24" s="451">
        <v>9.5821325648414994</v>
      </c>
      <c r="Q24" s="452">
        <v>350</v>
      </c>
    </row>
    <row r="25" spans="1:17" ht="14.45" customHeight="1" x14ac:dyDescent="0.2">
      <c r="A25" s="426" t="s">
        <v>446</v>
      </c>
      <c r="B25" s="450" t="s">
        <v>388</v>
      </c>
      <c r="C25" s="450" t="s">
        <v>389</v>
      </c>
      <c r="D25" s="450" t="s">
        <v>398</v>
      </c>
      <c r="E25" s="450" t="s">
        <v>399</v>
      </c>
      <c r="F25" s="427">
        <v>10</v>
      </c>
      <c r="G25" s="427">
        <v>3470</v>
      </c>
      <c r="H25" s="427"/>
      <c r="I25" s="427">
        <v>347</v>
      </c>
      <c r="J25" s="427"/>
      <c r="K25" s="427"/>
      <c r="L25" s="427"/>
      <c r="M25" s="427"/>
      <c r="N25" s="427">
        <v>4</v>
      </c>
      <c r="O25" s="427">
        <v>1400</v>
      </c>
      <c r="P25" s="451"/>
      <c r="Q25" s="452">
        <v>350</v>
      </c>
    </row>
    <row r="26" spans="1:17" ht="14.45" customHeight="1" x14ac:dyDescent="0.2">
      <c r="A26" s="426" t="s">
        <v>447</v>
      </c>
      <c r="B26" s="450" t="s">
        <v>388</v>
      </c>
      <c r="C26" s="450" t="s">
        <v>389</v>
      </c>
      <c r="D26" s="450" t="s">
        <v>390</v>
      </c>
      <c r="E26" s="450" t="s">
        <v>391</v>
      </c>
      <c r="F26" s="427"/>
      <c r="G26" s="427"/>
      <c r="H26" s="427"/>
      <c r="I26" s="427"/>
      <c r="J26" s="427">
        <v>2</v>
      </c>
      <c r="K26" s="427">
        <v>148</v>
      </c>
      <c r="L26" s="427">
        <v>1</v>
      </c>
      <c r="M26" s="427">
        <v>74</v>
      </c>
      <c r="N26" s="427">
        <v>2</v>
      </c>
      <c r="O26" s="427">
        <v>150</v>
      </c>
      <c r="P26" s="451">
        <v>1.0135135135135136</v>
      </c>
      <c r="Q26" s="452">
        <v>75</v>
      </c>
    </row>
    <row r="27" spans="1:17" ht="14.45" customHeight="1" x14ac:dyDescent="0.2">
      <c r="A27" s="426" t="s">
        <v>447</v>
      </c>
      <c r="B27" s="450" t="s">
        <v>388</v>
      </c>
      <c r="C27" s="450" t="s">
        <v>389</v>
      </c>
      <c r="D27" s="450" t="s">
        <v>392</v>
      </c>
      <c r="E27" s="450" t="s">
        <v>393</v>
      </c>
      <c r="F27" s="427">
        <v>450</v>
      </c>
      <c r="G27" s="427">
        <v>156150</v>
      </c>
      <c r="H27" s="427">
        <v>1</v>
      </c>
      <c r="I27" s="427">
        <v>347</v>
      </c>
      <c r="J27" s="427">
        <v>450</v>
      </c>
      <c r="K27" s="427">
        <v>156150</v>
      </c>
      <c r="L27" s="427">
        <v>1</v>
      </c>
      <c r="M27" s="427">
        <v>347</v>
      </c>
      <c r="N27" s="427">
        <v>310</v>
      </c>
      <c r="O27" s="427">
        <v>108500</v>
      </c>
      <c r="P27" s="451">
        <v>0.69484470060838932</v>
      </c>
      <c r="Q27" s="452">
        <v>350</v>
      </c>
    </row>
    <row r="28" spans="1:17" ht="14.45" customHeight="1" x14ac:dyDescent="0.2">
      <c r="A28" s="426" t="s">
        <v>447</v>
      </c>
      <c r="B28" s="450" t="s">
        <v>388</v>
      </c>
      <c r="C28" s="450" t="s">
        <v>389</v>
      </c>
      <c r="D28" s="450" t="s">
        <v>398</v>
      </c>
      <c r="E28" s="450" t="s">
        <v>399</v>
      </c>
      <c r="F28" s="427">
        <v>220</v>
      </c>
      <c r="G28" s="427">
        <v>76340</v>
      </c>
      <c r="H28" s="427">
        <v>1.7322834645669292</v>
      </c>
      <c r="I28" s="427">
        <v>347</v>
      </c>
      <c r="J28" s="427">
        <v>127</v>
      </c>
      <c r="K28" s="427">
        <v>44069</v>
      </c>
      <c r="L28" s="427">
        <v>1</v>
      </c>
      <c r="M28" s="427">
        <v>347</v>
      </c>
      <c r="N28" s="427">
        <v>98</v>
      </c>
      <c r="O28" s="427">
        <v>34300</v>
      </c>
      <c r="P28" s="451">
        <v>0.77832489958928042</v>
      </c>
      <c r="Q28" s="452">
        <v>350</v>
      </c>
    </row>
    <row r="29" spans="1:17" ht="14.45" customHeight="1" x14ac:dyDescent="0.2">
      <c r="A29" s="426" t="s">
        <v>448</v>
      </c>
      <c r="B29" s="450" t="s">
        <v>388</v>
      </c>
      <c r="C29" s="450" t="s">
        <v>389</v>
      </c>
      <c r="D29" s="450" t="s">
        <v>392</v>
      </c>
      <c r="E29" s="450" t="s">
        <v>393</v>
      </c>
      <c r="F29" s="427"/>
      <c r="G29" s="427"/>
      <c r="H29" s="427"/>
      <c r="I29" s="427"/>
      <c r="J29" s="427">
        <v>4</v>
      </c>
      <c r="K29" s="427">
        <v>1388</v>
      </c>
      <c r="L29" s="427">
        <v>1</v>
      </c>
      <c r="M29" s="427">
        <v>347</v>
      </c>
      <c r="N29" s="427"/>
      <c r="O29" s="427"/>
      <c r="P29" s="451"/>
      <c r="Q29" s="452"/>
    </row>
    <row r="30" spans="1:17" ht="14.45" customHeight="1" x14ac:dyDescent="0.2">
      <c r="A30" s="426" t="s">
        <v>449</v>
      </c>
      <c r="B30" s="450" t="s">
        <v>388</v>
      </c>
      <c r="C30" s="450" t="s">
        <v>389</v>
      </c>
      <c r="D30" s="450" t="s">
        <v>390</v>
      </c>
      <c r="E30" s="450" t="s">
        <v>391</v>
      </c>
      <c r="F30" s="427">
        <v>2</v>
      </c>
      <c r="G30" s="427">
        <v>148</v>
      </c>
      <c r="H30" s="427">
        <v>0.5</v>
      </c>
      <c r="I30" s="427">
        <v>74</v>
      </c>
      <c r="J30" s="427">
        <v>4</v>
      </c>
      <c r="K30" s="427">
        <v>296</v>
      </c>
      <c r="L30" s="427">
        <v>1</v>
      </c>
      <c r="M30" s="427">
        <v>74</v>
      </c>
      <c r="N30" s="427"/>
      <c r="O30" s="427"/>
      <c r="P30" s="451"/>
      <c r="Q30" s="452"/>
    </row>
    <row r="31" spans="1:17" ht="14.45" customHeight="1" x14ac:dyDescent="0.2">
      <c r="A31" s="426" t="s">
        <v>449</v>
      </c>
      <c r="B31" s="450" t="s">
        <v>388</v>
      </c>
      <c r="C31" s="450" t="s">
        <v>389</v>
      </c>
      <c r="D31" s="450" t="s">
        <v>392</v>
      </c>
      <c r="E31" s="450" t="s">
        <v>393</v>
      </c>
      <c r="F31" s="427">
        <v>627</v>
      </c>
      <c r="G31" s="427">
        <v>217569</v>
      </c>
      <c r="H31" s="427">
        <v>0.76650366748166254</v>
      </c>
      <c r="I31" s="427">
        <v>347</v>
      </c>
      <c r="J31" s="427">
        <v>818</v>
      </c>
      <c r="K31" s="427">
        <v>283846</v>
      </c>
      <c r="L31" s="427">
        <v>1</v>
      </c>
      <c r="M31" s="427">
        <v>347</v>
      </c>
      <c r="N31" s="427">
        <v>607</v>
      </c>
      <c r="O31" s="427">
        <v>212450</v>
      </c>
      <c r="P31" s="451">
        <v>0.74846924036273188</v>
      </c>
      <c r="Q31" s="452">
        <v>350</v>
      </c>
    </row>
    <row r="32" spans="1:17" ht="14.45" customHeight="1" x14ac:dyDescent="0.2">
      <c r="A32" s="426" t="s">
        <v>449</v>
      </c>
      <c r="B32" s="450" t="s">
        <v>388</v>
      </c>
      <c r="C32" s="450" t="s">
        <v>389</v>
      </c>
      <c r="D32" s="450" t="s">
        <v>396</v>
      </c>
      <c r="E32" s="450" t="s">
        <v>397</v>
      </c>
      <c r="F32" s="427">
        <v>248</v>
      </c>
      <c r="G32" s="427">
        <v>86056</v>
      </c>
      <c r="H32" s="427">
        <v>0.62468513853904284</v>
      </c>
      <c r="I32" s="427">
        <v>347</v>
      </c>
      <c r="J32" s="427">
        <v>397</v>
      </c>
      <c r="K32" s="427">
        <v>137759</v>
      </c>
      <c r="L32" s="427">
        <v>1</v>
      </c>
      <c r="M32" s="427">
        <v>347</v>
      </c>
      <c r="N32" s="427">
        <v>360</v>
      </c>
      <c r="O32" s="427">
        <v>126000</v>
      </c>
      <c r="P32" s="451">
        <v>0.9146407857199893</v>
      </c>
      <c r="Q32" s="452">
        <v>350</v>
      </c>
    </row>
    <row r="33" spans="1:17" ht="14.45" customHeight="1" x14ac:dyDescent="0.2">
      <c r="A33" s="426" t="s">
        <v>449</v>
      </c>
      <c r="B33" s="450" t="s">
        <v>388</v>
      </c>
      <c r="C33" s="450" t="s">
        <v>389</v>
      </c>
      <c r="D33" s="450" t="s">
        <v>398</v>
      </c>
      <c r="E33" s="450" t="s">
        <v>399</v>
      </c>
      <c r="F33" s="427">
        <v>1</v>
      </c>
      <c r="G33" s="427">
        <v>347</v>
      </c>
      <c r="H33" s="427">
        <v>4.1666666666666664E-2</v>
      </c>
      <c r="I33" s="427">
        <v>347</v>
      </c>
      <c r="J33" s="427">
        <v>24</v>
      </c>
      <c r="K33" s="427">
        <v>8328</v>
      </c>
      <c r="L33" s="427">
        <v>1</v>
      </c>
      <c r="M33" s="427">
        <v>347</v>
      </c>
      <c r="N33" s="427">
        <v>53</v>
      </c>
      <c r="O33" s="427">
        <v>18550</v>
      </c>
      <c r="P33" s="451">
        <v>2.2274255523535063</v>
      </c>
      <c r="Q33" s="452">
        <v>350</v>
      </c>
    </row>
    <row r="34" spans="1:17" ht="14.45" customHeight="1" x14ac:dyDescent="0.2">
      <c r="A34" s="426" t="s">
        <v>449</v>
      </c>
      <c r="B34" s="450" t="s">
        <v>388</v>
      </c>
      <c r="C34" s="450" t="s">
        <v>389</v>
      </c>
      <c r="D34" s="450" t="s">
        <v>402</v>
      </c>
      <c r="E34" s="450" t="s">
        <v>403</v>
      </c>
      <c r="F34" s="427">
        <v>1</v>
      </c>
      <c r="G34" s="427">
        <v>580</v>
      </c>
      <c r="H34" s="427"/>
      <c r="I34" s="427">
        <v>580</v>
      </c>
      <c r="J34" s="427"/>
      <c r="K34" s="427"/>
      <c r="L34" s="427"/>
      <c r="M34" s="427"/>
      <c r="N34" s="427"/>
      <c r="O34" s="427"/>
      <c r="P34" s="451"/>
      <c r="Q34" s="452"/>
    </row>
    <row r="35" spans="1:17" ht="14.45" customHeight="1" x14ac:dyDescent="0.2">
      <c r="A35" s="426" t="s">
        <v>449</v>
      </c>
      <c r="B35" s="450" t="s">
        <v>388</v>
      </c>
      <c r="C35" s="450" t="s">
        <v>389</v>
      </c>
      <c r="D35" s="450" t="s">
        <v>404</v>
      </c>
      <c r="E35" s="450" t="s">
        <v>405</v>
      </c>
      <c r="F35" s="427">
        <v>135</v>
      </c>
      <c r="G35" s="427">
        <v>78435</v>
      </c>
      <c r="H35" s="427">
        <v>2.105750644329897</v>
      </c>
      <c r="I35" s="427">
        <v>581</v>
      </c>
      <c r="J35" s="427">
        <v>64</v>
      </c>
      <c r="K35" s="427">
        <v>37248</v>
      </c>
      <c r="L35" s="427">
        <v>1</v>
      </c>
      <c r="M35" s="427">
        <v>582</v>
      </c>
      <c r="N35" s="427">
        <v>80</v>
      </c>
      <c r="O35" s="427">
        <v>47040</v>
      </c>
      <c r="P35" s="451">
        <v>1.2628865979381443</v>
      </c>
      <c r="Q35" s="452">
        <v>588</v>
      </c>
    </row>
    <row r="36" spans="1:17" ht="14.45" customHeight="1" x14ac:dyDescent="0.2">
      <c r="A36" s="426" t="s">
        <v>449</v>
      </c>
      <c r="B36" s="450" t="s">
        <v>388</v>
      </c>
      <c r="C36" s="450" t="s">
        <v>389</v>
      </c>
      <c r="D36" s="450" t="s">
        <v>406</v>
      </c>
      <c r="E36" s="450" t="s">
        <v>407</v>
      </c>
      <c r="F36" s="427"/>
      <c r="G36" s="427"/>
      <c r="H36" s="427"/>
      <c r="I36" s="427"/>
      <c r="J36" s="427">
        <v>4</v>
      </c>
      <c r="K36" s="427">
        <v>1164</v>
      </c>
      <c r="L36" s="427">
        <v>1</v>
      </c>
      <c r="M36" s="427">
        <v>291</v>
      </c>
      <c r="N36" s="427"/>
      <c r="O36" s="427"/>
      <c r="P36" s="451"/>
      <c r="Q36" s="452"/>
    </row>
    <row r="37" spans="1:17" ht="14.45" customHeight="1" x14ac:dyDescent="0.2">
      <c r="A37" s="426" t="s">
        <v>449</v>
      </c>
      <c r="B37" s="450" t="s">
        <v>388</v>
      </c>
      <c r="C37" s="450" t="s">
        <v>389</v>
      </c>
      <c r="D37" s="450" t="s">
        <v>408</v>
      </c>
      <c r="E37" s="450" t="s">
        <v>409</v>
      </c>
      <c r="F37" s="427">
        <v>8</v>
      </c>
      <c r="G37" s="427">
        <v>4648</v>
      </c>
      <c r="H37" s="427">
        <v>1.9965635738831615</v>
      </c>
      <c r="I37" s="427">
        <v>581</v>
      </c>
      <c r="J37" s="427">
        <v>4</v>
      </c>
      <c r="K37" s="427">
        <v>2328</v>
      </c>
      <c r="L37" s="427">
        <v>1</v>
      </c>
      <c r="M37" s="427">
        <v>582</v>
      </c>
      <c r="N37" s="427">
        <v>8</v>
      </c>
      <c r="O37" s="427">
        <v>4704</v>
      </c>
      <c r="P37" s="451">
        <v>2.0206185567010309</v>
      </c>
      <c r="Q37" s="452">
        <v>588</v>
      </c>
    </row>
    <row r="38" spans="1:17" ht="14.45" customHeight="1" x14ac:dyDescent="0.2">
      <c r="A38" s="426" t="s">
        <v>450</v>
      </c>
      <c r="B38" s="450" t="s">
        <v>388</v>
      </c>
      <c r="C38" s="450" t="s">
        <v>389</v>
      </c>
      <c r="D38" s="450" t="s">
        <v>390</v>
      </c>
      <c r="E38" s="450" t="s">
        <v>391</v>
      </c>
      <c r="F38" s="427"/>
      <c r="G38" s="427"/>
      <c r="H38" s="427"/>
      <c r="I38" s="427"/>
      <c r="J38" s="427">
        <v>2</v>
      </c>
      <c r="K38" s="427">
        <v>148</v>
      </c>
      <c r="L38" s="427">
        <v>1</v>
      </c>
      <c r="M38" s="427">
        <v>74</v>
      </c>
      <c r="N38" s="427"/>
      <c r="O38" s="427"/>
      <c r="P38" s="451"/>
      <c r="Q38" s="452"/>
    </row>
    <row r="39" spans="1:17" ht="14.45" customHeight="1" x14ac:dyDescent="0.2">
      <c r="A39" s="426" t="s">
        <v>450</v>
      </c>
      <c r="B39" s="450" t="s">
        <v>388</v>
      </c>
      <c r="C39" s="450" t="s">
        <v>389</v>
      </c>
      <c r="D39" s="450" t="s">
        <v>392</v>
      </c>
      <c r="E39" s="450" t="s">
        <v>393</v>
      </c>
      <c r="F39" s="427">
        <v>68</v>
      </c>
      <c r="G39" s="427">
        <v>23596</v>
      </c>
      <c r="H39" s="427">
        <v>4.25</v>
      </c>
      <c r="I39" s="427">
        <v>347</v>
      </c>
      <c r="J39" s="427">
        <v>16</v>
      </c>
      <c r="K39" s="427">
        <v>5552</v>
      </c>
      <c r="L39" s="427">
        <v>1</v>
      </c>
      <c r="M39" s="427">
        <v>347</v>
      </c>
      <c r="N39" s="427"/>
      <c r="O39" s="427"/>
      <c r="P39" s="451"/>
      <c r="Q39" s="452"/>
    </row>
    <row r="40" spans="1:17" ht="14.45" customHeight="1" x14ac:dyDescent="0.2">
      <c r="A40" s="426" t="s">
        <v>451</v>
      </c>
      <c r="B40" s="450" t="s">
        <v>388</v>
      </c>
      <c r="C40" s="450" t="s">
        <v>389</v>
      </c>
      <c r="D40" s="450" t="s">
        <v>392</v>
      </c>
      <c r="E40" s="450" t="s">
        <v>393</v>
      </c>
      <c r="F40" s="427">
        <v>64</v>
      </c>
      <c r="G40" s="427">
        <v>22208</v>
      </c>
      <c r="H40" s="427"/>
      <c r="I40" s="427">
        <v>347</v>
      </c>
      <c r="J40" s="427"/>
      <c r="K40" s="427"/>
      <c r="L40" s="427"/>
      <c r="M40" s="427"/>
      <c r="N40" s="427"/>
      <c r="O40" s="427"/>
      <c r="P40" s="451"/>
      <c r="Q40" s="452"/>
    </row>
    <row r="41" spans="1:17" ht="14.45" customHeight="1" x14ac:dyDescent="0.2">
      <c r="A41" s="426" t="s">
        <v>452</v>
      </c>
      <c r="B41" s="450" t="s">
        <v>388</v>
      </c>
      <c r="C41" s="450" t="s">
        <v>389</v>
      </c>
      <c r="D41" s="450" t="s">
        <v>392</v>
      </c>
      <c r="E41" s="450" t="s">
        <v>393</v>
      </c>
      <c r="F41" s="427"/>
      <c r="G41" s="427"/>
      <c r="H41" s="427"/>
      <c r="I41" s="427"/>
      <c r="J41" s="427">
        <v>32</v>
      </c>
      <c r="K41" s="427">
        <v>11104</v>
      </c>
      <c r="L41" s="427">
        <v>1</v>
      </c>
      <c r="M41" s="427">
        <v>347</v>
      </c>
      <c r="N41" s="427">
        <v>44</v>
      </c>
      <c r="O41" s="427">
        <v>15400</v>
      </c>
      <c r="P41" s="451">
        <v>1.3868876080691643</v>
      </c>
      <c r="Q41" s="452">
        <v>350</v>
      </c>
    </row>
    <row r="42" spans="1:17" ht="14.45" customHeight="1" x14ac:dyDescent="0.2">
      <c r="A42" s="426" t="s">
        <v>453</v>
      </c>
      <c r="B42" s="450" t="s">
        <v>388</v>
      </c>
      <c r="C42" s="450" t="s">
        <v>389</v>
      </c>
      <c r="D42" s="450" t="s">
        <v>392</v>
      </c>
      <c r="E42" s="450" t="s">
        <v>393</v>
      </c>
      <c r="F42" s="427"/>
      <c r="G42" s="427"/>
      <c r="H42" s="427"/>
      <c r="I42" s="427"/>
      <c r="J42" s="427">
        <v>8</v>
      </c>
      <c r="K42" s="427">
        <v>2776</v>
      </c>
      <c r="L42" s="427">
        <v>1</v>
      </c>
      <c r="M42" s="427">
        <v>347</v>
      </c>
      <c r="N42" s="427"/>
      <c r="O42" s="427"/>
      <c r="P42" s="451"/>
      <c r="Q42" s="452"/>
    </row>
    <row r="43" spans="1:17" ht="14.45" customHeight="1" x14ac:dyDescent="0.2">
      <c r="A43" s="426" t="s">
        <v>454</v>
      </c>
      <c r="B43" s="450" t="s">
        <v>388</v>
      </c>
      <c r="C43" s="450" t="s">
        <v>389</v>
      </c>
      <c r="D43" s="450" t="s">
        <v>392</v>
      </c>
      <c r="E43" s="450" t="s">
        <v>393</v>
      </c>
      <c r="F43" s="427">
        <v>496</v>
      </c>
      <c r="G43" s="427">
        <v>172112</v>
      </c>
      <c r="H43" s="427">
        <v>1.9375</v>
      </c>
      <c r="I43" s="427">
        <v>347</v>
      </c>
      <c r="J43" s="427">
        <v>256</v>
      </c>
      <c r="K43" s="427">
        <v>88832</v>
      </c>
      <c r="L43" s="427">
        <v>1</v>
      </c>
      <c r="M43" s="427">
        <v>347</v>
      </c>
      <c r="N43" s="427">
        <v>441</v>
      </c>
      <c r="O43" s="427">
        <v>154350</v>
      </c>
      <c r="P43" s="451">
        <v>1.7375495317002883</v>
      </c>
      <c r="Q43" s="452">
        <v>350</v>
      </c>
    </row>
    <row r="44" spans="1:17" ht="14.45" customHeight="1" x14ac:dyDescent="0.2">
      <c r="A44" s="426" t="s">
        <v>454</v>
      </c>
      <c r="B44" s="450" t="s">
        <v>388</v>
      </c>
      <c r="C44" s="450" t="s">
        <v>389</v>
      </c>
      <c r="D44" s="450" t="s">
        <v>396</v>
      </c>
      <c r="E44" s="450" t="s">
        <v>397</v>
      </c>
      <c r="F44" s="427">
        <v>5</v>
      </c>
      <c r="G44" s="427">
        <v>1735</v>
      </c>
      <c r="H44" s="427">
        <v>0.83333333333333337</v>
      </c>
      <c r="I44" s="427">
        <v>347</v>
      </c>
      <c r="J44" s="427">
        <v>6</v>
      </c>
      <c r="K44" s="427">
        <v>2082</v>
      </c>
      <c r="L44" s="427">
        <v>1</v>
      </c>
      <c r="M44" s="427">
        <v>347</v>
      </c>
      <c r="N44" s="427">
        <v>5</v>
      </c>
      <c r="O44" s="427">
        <v>1750</v>
      </c>
      <c r="P44" s="451">
        <v>0.84053794428434203</v>
      </c>
      <c r="Q44" s="452">
        <v>350</v>
      </c>
    </row>
    <row r="45" spans="1:17" ht="14.45" customHeight="1" x14ac:dyDescent="0.2">
      <c r="A45" s="426" t="s">
        <v>454</v>
      </c>
      <c r="B45" s="450" t="s">
        <v>388</v>
      </c>
      <c r="C45" s="450" t="s">
        <v>389</v>
      </c>
      <c r="D45" s="450" t="s">
        <v>398</v>
      </c>
      <c r="E45" s="450" t="s">
        <v>399</v>
      </c>
      <c r="F45" s="427"/>
      <c r="G45" s="427"/>
      <c r="H45" s="427"/>
      <c r="I45" s="427"/>
      <c r="J45" s="427">
        <v>4</v>
      </c>
      <c r="K45" s="427">
        <v>1388</v>
      </c>
      <c r="L45" s="427">
        <v>1</v>
      </c>
      <c r="M45" s="427">
        <v>347</v>
      </c>
      <c r="N45" s="427">
        <v>4</v>
      </c>
      <c r="O45" s="427">
        <v>1400</v>
      </c>
      <c r="P45" s="451">
        <v>1.0086455331412103</v>
      </c>
      <c r="Q45" s="452">
        <v>350</v>
      </c>
    </row>
    <row r="46" spans="1:17" ht="14.45" customHeight="1" x14ac:dyDescent="0.2">
      <c r="A46" s="426" t="s">
        <v>454</v>
      </c>
      <c r="B46" s="450" t="s">
        <v>388</v>
      </c>
      <c r="C46" s="450" t="s">
        <v>389</v>
      </c>
      <c r="D46" s="450" t="s">
        <v>402</v>
      </c>
      <c r="E46" s="450" t="s">
        <v>403</v>
      </c>
      <c r="F46" s="427">
        <v>43</v>
      </c>
      <c r="G46" s="427">
        <v>24940</v>
      </c>
      <c r="H46" s="427">
        <v>10.731497418244405</v>
      </c>
      <c r="I46" s="427">
        <v>580</v>
      </c>
      <c r="J46" s="427">
        <v>4</v>
      </c>
      <c r="K46" s="427">
        <v>2324</v>
      </c>
      <c r="L46" s="427">
        <v>1</v>
      </c>
      <c r="M46" s="427">
        <v>581</v>
      </c>
      <c r="N46" s="427">
        <v>29</v>
      </c>
      <c r="O46" s="427">
        <v>17023</v>
      </c>
      <c r="P46" s="451">
        <v>7.3248709122203097</v>
      </c>
      <c r="Q46" s="452">
        <v>587</v>
      </c>
    </row>
    <row r="47" spans="1:17" ht="14.45" customHeight="1" x14ac:dyDescent="0.2">
      <c r="A47" s="426" t="s">
        <v>454</v>
      </c>
      <c r="B47" s="450" t="s">
        <v>388</v>
      </c>
      <c r="C47" s="450" t="s">
        <v>389</v>
      </c>
      <c r="D47" s="450" t="s">
        <v>410</v>
      </c>
      <c r="E47" s="450" t="s">
        <v>411</v>
      </c>
      <c r="F47" s="427">
        <v>10</v>
      </c>
      <c r="G47" s="427">
        <v>5800</v>
      </c>
      <c r="H47" s="427">
        <v>0.34423407917383819</v>
      </c>
      <c r="I47" s="427">
        <v>580</v>
      </c>
      <c r="J47" s="427">
        <v>29</v>
      </c>
      <c r="K47" s="427">
        <v>16849</v>
      </c>
      <c r="L47" s="427">
        <v>1</v>
      </c>
      <c r="M47" s="427">
        <v>581</v>
      </c>
      <c r="N47" s="427">
        <v>29</v>
      </c>
      <c r="O47" s="427">
        <v>17023</v>
      </c>
      <c r="P47" s="451">
        <v>1.0103270223752152</v>
      </c>
      <c r="Q47" s="452">
        <v>587</v>
      </c>
    </row>
    <row r="48" spans="1:17" ht="14.45" customHeight="1" x14ac:dyDescent="0.2">
      <c r="A48" s="426" t="s">
        <v>455</v>
      </c>
      <c r="B48" s="450" t="s">
        <v>388</v>
      </c>
      <c r="C48" s="450" t="s">
        <v>389</v>
      </c>
      <c r="D48" s="450" t="s">
        <v>392</v>
      </c>
      <c r="E48" s="450" t="s">
        <v>393</v>
      </c>
      <c r="F48" s="427">
        <v>54</v>
      </c>
      <c r="G48" s="427">
        <v>18738</v>
      </c>
      <c r="H48" s="427">
        <v>2.7</v>
      </c>
      <c r="I48" s="427">
        <v>347</v>
      </c>
      <c r="J48" s="427">
        <v>20</v>
      </c>
      <c r="K48" s="427">
        <v>6940</v>
      </c>
      <c r="L48" s="427">
        <v>1</v>
      </c>
      <c r="M48" s="427">
        <v>347</v>
      </c>
      <c r="N48" s="427">
        <v>25</v>
      </c>
      <c r="O48" s="427">
        <v>8750</v>
      </c>
      <c r="P48" s="451">
        <v>1.260806916426513</v>
      </c>
      <c r="Q48" s="452">
        <v>350</v>
      </c>
    </row>
    <row r="49" spans="1:17" ht="14.45" customHeight="1" x14ac:dyDescent="0.2">
      <c r="A49" s="426" t="s">
        <v>455</v>
      </c>
      <c r="B49" s="450" t="s">
        <v>388</v>
      </c>
      <c r="C49" s="450" t="s">
        <v>389</v>
      </c>
      <c r="D49" s="450" t="s">
        <v>402</v>
      </c>
      <c r="E49" s="450" t="s">
        <v>403</v>
      </c>
      <c r="F49" s="427">
        <v>578</v>
      </c>
      <c r="G49" s="427">
        <v>335240</v>
      </c>
      <c r="H49" s="427">
        <v>0.96975657732972709</v>
      </c>
      <c r="I49" s="427">
        <v>580</v>
      </c>
      <c r="J49" s="427">
        <v>595</v>
      </c>
      <c r="K49" s="427">
        <v>345695</v>
      </c>
      <c r="L49" s="427">
        <v>1</v>
      </c>
      <c r="M49" s="427">
        <v>581</v>
      </c>
      <c r="N49" s="427">
        <v>494</v>
      </c>
      <c r="O49" s="427">
        <v>289978</v>
      </c>
      <c r="P49" s="451">
        <v>0.83882613286278362</v>
      </c>
      <c r="Q49" s="452">
        <v>587</v>
      </c>
    </row>
    <row r="50" spans="1:17" ht="14.45" customHeight="1" x14ac:dyDescent="0.2">
      <c r="A50" s="426" t="s">
        <v>455</v>
      </c>
      <c r="B50" s="450" t="s">
        <v>388</v>
      </c>
      <c r="C50" s="450" t="s">
        <v>389</v>
      </c>
      <c r="D50" s="450" t="s">
        <v>410</v>
      </c>
      <c r="E50" s="450" t="s">
        <v>411</v>
      </c>
      <c r="F50" s="427">
        <v>16</v>
      </c>
      <c r="G50" s="427">
        <v>9280</v>
      </c>
      <c r="H50" s="427">
        <v>0.27538726333907054</v>
      </c>
      <c r="I50" s="427">
        <v>580</v>
      </c>
      <c r="J50" s="427">
        <v>58</v>
      </c>
      <c r="K50" s="427">
        <v>33698</v>
      </c>
      <c r="L50" s="427">
        <v>1</v>
      </c>
      <c r="M50" s="427">
        <v>581</v>
      </c>
      <c r="N50" s="427">
        <v>48</v>
      </c>
      <c r="O50" s="427">
        <v>28176</v>
      </c>
      <c r="P50" s="451">
        <v>0.83613270817259189</v>
      </c>
      <c r="Q50" s="452">
        <v>587</v>
      </c>
    </row>
    <row r="51" spans="1:17" ht="14.45" customHeight="1" x14ac:dyDescent="0.2">
      <c r="A51" s="426" t="s">
        <v>455</v>
      </c>
      <c r="B51" s="450" t="s">
        <v>388</v>
      </c>
      <c r="C51" s="450" t="s">
        <v>389</v>
      </c>
      <c r="D51" s="450" t="s">
        <v>412</v>
      </c>
      <c r="E51" s="450" t="s">
        <v>413</v>
      </c>
      <c r="F51" s="427">
        <v>12</v>
      </c>
      <c r="G51" s="427">
        <v>3492</v>
      </c>
      <c r="H51" s="427">
        <v>1.2</v>
      </c>
      <c r="I51" s="427">
        <v>291</v>
      </c>
      <c r="J51" s="427">
        <v>10</v>
      </c>
      <c r="K51" s="427">
        <v>2910</v>
      </c>
      <c r="L51" s="427">
        <v>1</v>
      </c>
      <c r="M51" s="427">
        <v>291</v>
      </c>
      <c r="N51" s="427"/>
      <c r="O51" s="427"/>
      <c r="P51" s="451"/>
      <c r="Q51" s="452"/>
    </row>
    <row r="52" spans="1:17" ht="14.45" customHeight="1" x14ac:dyDescent="0.2">
      <c r="A52" s="426" t="s">
        <v>456</v>
      </c>
      <c r="B52" s="450" t="s">
        <v>388</v>
      </c>
      <c r="C52" s="450" t="s">
        <v>389</v>
      </c>
      <c r="D52" s="450" t="s">
        <v>390</v>
      </c>
      <c r="E52" s="450" t="s">
        <v>391</v>
      </c>
      <c r="F52" s="427"/>
      <c r="G52" s="427"/>
      <c r="H52" s="427"/>
      <c r="I52" s="427"/>
      <c r="J52" s="427">
        <v>2</v>
      </c>
      <c r="K52" s="427">
        <v>148</v>
      </c>
      <c r="L52" s="427">
        <v>1</v>
      </c>
      <c r="M52" s="427">
        <v>74</v>
      </c>
      <c r="N52" s="427"/>
      <c r="O52" s="427"/>
      <c r="P52" s="451"/>
      <c r="Q52" s="452"/>
    </row>
    <row r="53" spans="1:17" ht="14.45" customHeight="1" x14ac:dyDescent="0.2">
      <c r="A53" s="426" t="s">
        <v>456</v>
      </c>
      <c r="B53" s="450" t="s">
        <v>388</v>
      </c>
      <c r="C53" s="450" t="s">
        <v>389</v>
      </c>
      <c r="D53" s="450" t="s">
        <v>392</v>
      </c>
      <c r="E53" s="450" t="s">
        <v>393</v>
      </c>
      <c r="F53" s="427">
        <v>4</v>
      </c>
      <c r="G53" s="427">
        <v>1388</v>
      </c>
      <c r="H53" s="427">
        <v>1</v>
      </c>
      <c r="I53" s="427">
        <v>347</v>
      </c>
      <c r="J53" s="427">
        <v>4</v>
      </c>
      <c r="K53" s="427">
        <v>1388</v>
      </c>
      <c r="L53" s="427">
        <v>1</v>
      </c>
      <c r="M53" s="427">
        <v>347</v>
      </c>
      <c r="N53" s="427"/>
      <c r="O53" s="427"/>
      <c r="P53" s="451"/>
      <c r="Q53" s="452"/>
    </row>
    <row r="54" spans="1:17" ht="14.45" customHeight="1" x14ac:dyDescent="0.2">
      <c r="A54" s="426" t="s">
        <v>456</v>
      </c>
      <c r="B54" s="450" t="s">
        <v>388</v>
      </c>
      <c r="C54" s="450" t="s">
        <v>389</v>
      </c>
      <c r="D54" s="450" t="s">
        <v>398</v>
      </c>
      <c r="E54" s="450" t="s">
        <v>399</v>
      </c>
      <c r="F54" s="427">
        <v>10</v>
      </c>
      <c r="G54" s="427">
        <v>3470</v>
      </c>
      <c r="H54" s="427">
        <v>2.5</v>
      </c>
      <c r="I54" s="427">
        <v>347</v>
      </c>
      <c r="J54" s="427">
        <v>4</v>
      </c>
      <c r="K54" s="427">
        <v>1388</v>
      </c>
      <c r="L54" s="427">
        <v>1</v>
      </c>
      <c r="M54" s="427">
        <v>347</v>
      </c>
      <c r="N54" s="427"/>
      <c r="O54" s="427"/>
      <c r="P54" s="451"/>
      <c r="Q54" s="452"/>
    </row>
    <row r="55" spans="1:17" ht="14.45" customHeight="1" x14ac:dyDescent="0.2">
      <c r="A55" s="426" t="s">
        <v>456</v>
      </c>
      <c r="B55" s="450" t="s">
        <v>388</v>
      </c>
      <c r="C55" s="450" t="s">
        <v>389</v>
      </c>
      <c r="D55" s="450" t="s">
        <v>402</v>
      </c>
      <c r="E55" s="450" t="s">
        <v>403</v>
      </c>
      <c r="F55" s="427"/>
      <c r="G55" s="427"/>
      <c r="H55" s="427"/>
      <c r="I55" s="427"/>
      <c r="J55" s="427">
        <v>2</v>
      </c>
      <c r="K55" s="427">
        <v>1162</v>
      </c>
      <c r="L55" s="427">
        <v>1</v>
      </c>
      <c r="M55" s="427">
        <v>581</v>
      </c>
      <c r="N55" s="427"/>
      <c r="O55" s="427"/>
      <c r="P55" s="451"/>
      <c r="Q55" s="452"/>
    </row>
    <row r="56" spans="1:17" ht="14.45" customHeight="1" x14ac:dyDescent="0.2">
      <c r="A56" s="426" t="s">
        <v>456</v>
      </c>
      <c r="B56" s="450" t="s">
        <v>388</v>
      </c>
      <c r="C56" s="450" t="s">
        <v>389</v>
      </c>
      <c r="D56" s="450" t="s">
        <v>410</v>
      </c>
      <c r="E56" s="450" t="s">
        <v>411</v>
      </c>
      <c r="F56" s="427">
        <v>4</v>
      </c>
      <c r="G56" s="427">
        <v>2320</v>
      </c>
      <c r="H56" s="427"/>
      <c r="I56" s="427">
        <v>580</v>
      </c>
      <c r="J56" s="427"/>
      <c r="K56" s="427"/>
      <c r="L56" s="427"/>
      <c r="M56" s="427"/>
      <c r="N56" s="427"/>
      <c r="O56" s="427"/>
      <c r="P56" s="451"/>
      <c r="Q56" s="452"/>
    </row>
    <row r="57" spans="1:17" ht="14.45" customHeight="1" x14ac:dyDescent="0.2">
      <c r="A57" s="426" t="s">
        <v>457</v>
      </c>
      <c r="B57" s="450" t="s">
        <v>388</v>
      </c>
      <c r="C57" s="450" t="s">
        <v>389</v>
      </c>
      <c r="D57" s="450" t="s">
        <v>392</v>
      </c>
      <c r="E57" s="450" t="s">
        <v>393</v>
      </c>
      <c r="F57" s="427"/>
      <c r="G57" s="427"/>
      <c r="H57" s="427"/>
      <c r="I57" s="427"/>
      <c r="J57" s="427">
        <v>4</v>
      </c>
      <c r="K57" s="427">
        <v>1388</v>
      </c>
      <c r="L57" s="427">
        <v>1</v>
      </c>
      <c r="M57" s="427">
        <v>347</v>
      </c>
      <c r="N57" s="427">
        <v>4</v>
      </c>
      <c r="O57" s="427">
        <v>1400</v>
      </c>
      <c r="P57" s="451">
        <v>1.0086455331412103</v>
      </c>
      <c r="Q57" s="452">
        <v>350</v>
      </c>
    </row>
    <row r="58" spans="1:17" ht="14.45" customHeight="1" x14ac:dyDescent="0.2">
      <c r="A58" s="426" t="s">
        <v>458</v>
      </c>
      <c r="B58" s="450" t="s">
        <v>388</v>
      </c>
      <c r="C58" s="450" t="s">
        <v>389</v>
      </c>
      <c r="D58" s="450" t="s">
        <v>390</v>
      </c>
      <c r="E58" s="450" t="s">
        <v>391</v>
      </c>
      <c r="F58" s="427"/>
      <c r="G58" s="427"/>
      <c r="H58" s="427"/>
      <c r="I58" s="427"/>
      <c r="J58" s="427">
        <v>6</v>
      </c>
      <c r="K58" s="427">
        <v>444</v>
      </c>
      <c r="L58" s="427">
        <v>1</v>
      </c>
      <c r="M58" s="427">
        <v>74</v>
      </c>
      <c r="N58" s="427"/>
      <c r="O58" s="427"/>
      <c r="P58" s="451"/>
      <c r="Q58" s="452"/>
    </row>
    <row r="59" spans="1:17" ht="14.45" customHeight="1" x14ac:dyDescent="0.2">
      <c r="A59" s="426" t="s">
        <v>458</v>
      </c>
      <c r="B59" s="450" t="s">
        <v>388</v>
      </c>
      <c r="C59" s="450" t="s">
        <v>389</v>
      </c>
      <c r="D59" s="450" t="s">
        <v>392</v>
      </c>
      <c r="E59" s="450" t="s">
        <v>393</v>
      </c>
      <c r="F59" s="427">
        <v>458</v>
      </c>
      <c r="G59" s="427">
        <v>158926</v>
      </c>
      <c r="H59" s="427">
        <v>0.99349240780911063</v>
      </c>
      <c r="I59" s="427">
        <v>347</v>
      </c>
      <c r="J59" s="427">
        <v>461</v>
      </c>
      <c r="K59" s="427">
        <v>159967</v>
      </c>
      <c r="L59" s="427">
        <v>1</v>
      </c>
      <c r="M59" s="427">
        <v>347</v>
      </c>
      <c r="N59" s="427">
        <v>469</v>
      </c>
      <c r="O59" s="427">
        <v>164150</v>
      </c>
      <c r="P59" s="451">
        <v>1.0261491432607976</v>
      </c>
      <c r="Q59" s="452">
        <v>350</v>
      </c>
    </row>
    <row r="60" spans="1:17" ht="14.45" customHeight="1" x14ac:dyDescent="0.2">
      <c r="A60" s="426" t="s">
        <v>458</v>
      </c>
      <c r="B60" s="450" t="s">
        <v>388</v>
      </c>
      <c r="C60" s="450" t="s">
        <v>389</v>
      </c>
      <c r="D60" s="450" t="s">
        <v>396</v>
      </c>
      <c r="E60" s="450" t="s">
        <v>397</v>
      </c>
      <c r="F60" s="427">
        <v>16</v>
      </c>
      <c r="G60" s="427">
        <v>5552</v>
      </c>
      <c r="H60" s="427">
        <v>0.88888888888888884</v>
      </c>
      <c r="I60" s="427">
        <v>347</v>
      </c>
      <c r="J60" s="427">
        <v>18</v>
      </c>
      <c r="K60" s="427">
        <v>6246</v>
      </c>
      <c r="L60" s="427">
        <v>1</v>
      </c>
      <c r="M60" s="427">
        <v>347</v>
      </c>
      <c r="N60" s="427">
        <v>12</v>
      </c>
      <c r="O60" s="427">
        <v>4200</v>
      </c>
      <c r="P60" s="451">
        <v>0.67243035542747354</v>
      </c>
      <c r="Q60" s="452">
        <v>350</v>
      </c>
    </row>
    <row r="61" spans="1:17" ht="14.45" customHeight="1" x14ac:dyDescent="0.2">
      <c r="A61" s="426" t="s">
        <v>458</v>
      </c>
      <c r="B61" s="450" t="s">
        <v>388</v>
      </c>
      <c r="C61" s="450" t="s">
        <v>389</v>
      </c>
      <c r="D61" s="450" t="s">
        <v>398</v>
      </c>
      <c r="E61" s="450" t="s">
        <v>399</v>
      </c>
      <c r="F61" s="427">
        <v>24</v>
      </c>
      <c r="G61" s="427">
        <v>8328</v>
      </c>
      <c r="H61" s="427">
        <v>0.75</v>
      </c>
      <c r="I61" s="427">
        <v>347</v>
      </c>
      <c r="J61" s="427">
        <v>32</v>
      </c>
      <c r="K61" s="427">
        <v>11104</v>
      </c>
      <c r="L61" s="427">
        <v>1</v>
      </c>
      <c r="M61" s="427">
        <v>347</v>
      </c>
      <c r="N61" s="427">
        <v>4</v>
      </c>
      <c r="O61" s="427">
        <v>1400</v>
      </c>
      <c r="P61" s="451">
        <v>0.12608069164265129</v>
      </c>
      <c r="Q61" s="452">
        <v>350</v>
      </c>
    </row>
    <row r="62" spans="1:17" ht="14.45" customHeight="1" x14ac:dyDescent="0.2">
      <c r="A62" s="426" t="s">
        <v>458</v>
      </c>
      <c r="B62" s="450" t="s">
        <v>388</v>
      </c>
      <c r="C62" s="450" t="s">
        <v>389</v>
      </c>
      <c r="D62" s="450" t="s">
        <v>402</v>
      </c>
      <c r="E62" s="450" t="s">
        <v>403</v>
      </c>
      <c r="F62" s="427">
        <v>32</v>
      </c>
      <c r="G62" s="427">
        <v>18560</v>
      </c>
      <c r="H62" s="427">
        <v>0.57044504548807473</v>
      </c>
      <c r="I62" s="427">
        <v>580</v>
      </c>
      <c r="J62" s="427">
        <v>56</v>
      </c>
      <c r="K62" s="427">
        <v>32536</v>
      </c>
      <c r="L62" s="427">
        <v>1</v>
      </c>
      <c r="M62" s="427">
        <v>581</v>
      </c>
      <c r="N62" s="427">
        <v>21</v>
      </c>
      <c r="O62" s="427">
        <v>12327</v>
      </c>
      <c r="P62" s="451">
        <v>0.3788726333907057</v>
      </c>
      <c r="Q62" s="452">
        <v>587</v>
      </c>
    </row>
    <row r="63" spans="1:17" ht="14.45" customHeight="1" x14ac:dyDescent="0.2">
      <c r="A63" s="426" t="s">
        <v>458</v>
      </c>
      <c r="B63" s="450" t="s">
        <v>388</v>
      </c>
      <c r="C63" s="450" t="s">
        <v>389</v>
      </c>
      <c r="D63" s="450" t="s">
        <v>412</v>
      </c>
      <c r="E63" s="450" t="s">
        <v>413</v>
      </c>
      <c r="F63" s="427">
        <v>6</v>
      </c>
      <c r="G63" s="427">
        <v>1746</v>
      </c>
      <c r="H63" s="427">
        <v>0.5</v>
      </c>
      <c r="I63" s="427">
        <v>291</v>
      </c>
      <c r="J63" s="427">
        <v>12</v>
      </c>
      <c r="K63" s="427">
        <v>3492</v>
      </c>
      <c r="L63" s="427">
        <v>1</v>
      </c>
      <c r="M63" s="427">
        <v>291</v>
      </c>
      <c r="N63" s="427"/>
      <c r="O63" s="427"/>
      <c r="P63" s="451"/>
      <c r="Q63" s="452"/>
    </row>
    <row r="64" spans="1:17" ht="14.45" customHeight="1" x14ac:dyDescent="0.2">
      <c r="A64" s="426" t="s">
        <v>459</v>
      </c>
      <c r="B64" s="450" t="s">
        <v>388</v>
      </c>
      <c r="C64" s="450" t="s">
        <v>389</v>
      </c>
      <c r="D64" s="450" t="s">
        <v>390</v>
      </c>
      <c r="E64" s="450" t="s">
        <v>391</v>
      </c>
      <c r="F64" s="427">
        <v>4</v>
      </c>
      <c r="G64" s="427">
        <v>296</v>
      </c>
      <c r="H64" s="427">
        <v>1</v>
      </c>
      <c r="I64" s="427">
        <v>74</v>
      </c>
      <c r="J64" s="427">
        <v>4</v>
      </c>
      <c r="K64" s="427">
        <v>296</v>
      </c>
      <c r="L64" s="427">
        <v>1</v>
      </c>
      <c r="M64" s="427">
        <v>74</v>
      </c>
      <c r="N64" s="427"/>
      <c r="O64" s="427"/>
      <c r="P64" s="451"/>
      <c r="Q64" s="452"/>
    </row>
    <row r="65" spans="1:17" ht="14.45" customHeight="1" x14ac:dyDescent="0.2">
      <c r="A65" s="426" t="s">
        <v>459</v>
      </c>
      <c r="B65" s="450" t="s">
        <v>388</v>
      </c>
      <c r="C65" s="450" t="s">
        <v>389</v>
      </c>
      <c r="D65" s="450" t="s">
        <v>392</v>
      </c>
      <c r="E65" s="450" t="s">
        <v>393</v>
      </c>
      <c r="F65" s="427">
        <v>664</v>
      </c>
      <c r="G65" s="427">
        <v>230408</v>
      </c>
      <c r="H65" s="427">
        <v>1.1140939597315436</v>
      </c>
      <c r="I65" s="427">
        <v>347</v>
      </c>
      <c r="J65" s="427">
        <v>596</v>
      </c>
      <c r="K65" s="427">
        <v>206812</v>
      </c>
      <c r="L65" s="427">
        <v>1</v>
      </c>
      <c r="M65" s="427">
        <v>347</v>
      </c>
      <c r="N65" s="427">
        <v>298</v>
      </c>
      <c r="O65" s="427">
        <v>104300</v>
      </c>
      <c r="P65" s="451">
        <v>0.50432276657060515</v>
      </c>
      <c r="Q65" s="452">
        <v>350</v>
      </c>
    </row>
    <row r="66" spans="1:17" ht="14.45" customHeight="1" x14ac:dyDescent="0.2">
      <c r="A66" s="426" t="s">
        <v>459</v>
      </c>
      <c r="B66" s="450" t="s">
        <v>388</v>
      </c>
      <c r="C66" s="450" t="s">
        <v>389</v>
      </c>
      <c r="D66" s="450" t="s">
        <v>396</v>
      </c>
      <c r="E66" s="450" t="s">
        <v>397</v>
      </c>
      <c r="F66" s="427">
        <v>4</v>
      </c>
      <c r="G66" s="427">
        <v>1388</v>
      </c>
      <c r="H66" s="427">
        <v>1</v>
      </c>
      <c r="I66" s="427">
        <v>347</v>
      </c>
      <c r="J66" s="427">
        <v>4</v>
      </c>
      <c r="K66" s="427">
        <v>1388</v>
      </c>
      <c r="L66" s="427">
        <v>1</v>
      </c>
      <c r="M66" s="427">
        <v>347</v>
      </c>
      <c r="N66" s="427"/>
      <c r="O66" s="427"/>
      <c r="P66" s="451"/>
      <c r="Q66" s="452"/>
    </row>
    <row r="67" spans="1:17" ht="14.45" customHeight="1" x14ac:dyDescent="0.2">
      <c r="A67" s="426" t="s">
        <v>459</v>
      </c>
      <c r="B67" s="450" t="s">
        <v>388</v>
      </c>
      <c r="C67" s="450" t="s">
        <v>389</v>
      </c>
      <c r="D67" s="450" t="s">
        <v>398</v>
      </c>
      <c r="E67" s="450" t="s">
        <v>399</v>
      </c>
      <c r="F67" s="427"/>
      <c r="G67" s="427"/>
      <c r="H67" s="427"/>
      <c r="I67" s="427"/>
      <c r="J67" s="427"/>
      <c r="K67" s="427"/>
      <c r="L67" s="427"/>
      <c r="M67" s="427"/>
      <c r="N67" s="427">
        <v>4</v>
      </c>
      <c r="O67" s="427">
        <v>1400</v>
      </c>
      <c r="P67" s="451"/>
      <c r="Q67" s="452">
        <v>350</v>
      </c>
    </row>
    <row r="68" spans="1:17" ht="14.45" customHeight="1" x14ac:dyDescent="0.2">
      <c r="A68" s="426" t="s">
        <v>459</v>
      </c>
      <c r="B68" s="450" t="s">
        <v>388</v>
      </c>
      <c r="C68" s="450" t="s">
        <v>389</v>
      </c>
      <c r="D68" s="450" t="s">
        <v>402</v>
      </c>
      <c r="E68" s="450" t="s">
        <v>403</v>
      </c>
      <c r="F68" s="427">
        <v>54</v>
      </c>
      <c r="G68" s="427">
        <v>31320</v>
      </c>
      <c r="H68" s="427">
        <v>1.3476764199655766</v>
      </c>
      <c r="I68" s="427">
        <v>580</v>
      </c>
      <c r="J68" s="427">
        <v>40</v>
      </c>
      <c r="K68" s="427">
        <v>23240</v>
      </c>
      <c r="L68" s="427">
        <v>1</v>
      </c>
      <c r="M68" s="427">
        <v>581</v>
      </c>
      <c r="N68" s="427">
        <v>36</v>
      </c>
      <c r="O68" s="427">
        <v>21132</v>
      </c>
      <c r="P68" s="451">
        <v>0.90929432013769362</v>
      </c>
      <c r="Q68" s="452">
        <v>587</v>
      </c>
    </row>
    <row r="69" spans="1:17" ht="14.45" customHeight="1" x14ac:dyDescent="0.2">
      <c r="A69" s="426" t="s">
        <v>459</v>
      </c>
      <c r="B69" s="450" t="s">
        <v>388</v>
      </c>
      <c r="C69" s="450" t="s">
        <v>389</v>
      </c>
      <c r="D69" s="450" t="s">
        <v>410</v>
      </c>
      <c r="E69" s="450" t="s">
        <v>411</v>
      </c>
      <c r="F69" s="427"/>
      <c r="G69" s="427"/>
      <c r="H69" s="427"/>
      <c r="I69" s="427"/>
      <c r="J69" s="427">
        <v>4</v>
      </c>
      <c r="K69" s="427">
        <v>2324</v>
      </c>
      <c r="L69" s="427">
        <v>1</v>
      </c>
      <c r="M69" s="427">
        <v>581</v>
      </c>
      <c r="N69" s="427"/>
      <c r="O69" s="427"/>
      <c r="P69" s="451"/>
      <c r="Q69" s="452"/>
    </row>
    <row r="70" spans="1:17" ht="14.45" customHeight="1" x14ac:dyDescent="0.2">
      <c r="A70" s="426" t="s">
        <v>459</v>
      </c>
      <c r="B70" s="450" t="s">
        <v>388</v>
      </c>
      <c r="C70" s="450" t="s">
        <v>389</v>
      </c>
      <c r="D70" s="450" t="s">
        <v>412</v>
      </c>
      <c r="E70" s="450" t="s">
        <v>413</v>
      </c>
      <c r="F70" s="427">
        <v>6</v>
      </c>
      <c r="G70" s="427">
        <v>1746</v>
      </c>
      <c r="H70" s="427"/>
      <c r="I70" s="427">
        <v>291</v>
      </c>
      <c r="J70" s="427"/>
      <c r="K70" s="427"/>
      <c r="L70" s="427"/>
      <c r="M70" s="427"/>
      <c r="N70" s="427"/>
      <c r="O70" s="427"/>
      <c r="P70" s="451"/>
      <c r="Q70" s="452"/>
    </row>
    <row r="71" spans="1:17" ht="14.45" customHeight="1" x14ac:dyDescent="0.2">
      <c r="A71" s="426" t="s">
        <v>460</v>
      </c>
      <c r="B71" s="450" t="s">
        <v>388</v>
      </c>
      <c r="C71" s="450" t="s">
        <v>389</v>
      </c>
      <c r="D71" s="450" t="s">
        <v>392</v>
      </c>
      <c r="E71" s="450" t="s">
        <v>393</v>
      </c>
      <c r="F71" s="427">
        <v>118</v>
      </c>
      <c r="G71" s="427">
        <v>40946</v>
      </c>
      <c r="H71" s="427">
        <v>3.2777777777777777</v>
      </c>
      <c r="I71" s="427">
        <v>347</v>
      </c>
      <c r="J71" s="427">
        <v>36</v>
      </c>
      <c r="K71" s="427">
        <v>12492</v>
      </c>
      <c r="L71" s="427">
        <v>1</v>
      </c>
      <c r="M71" s="427">
        <v>347</v>
      </c>
      <c r="N71" s="427">
        <v>229</v>
      </c>
      <c r="O71" s="427">
        <v>80150</v>
      </c>
      <c r="P71" s="451">
        <v>6.4161063080371434</v>
      </c>
      <c r="Q71" s="452">
        <v>350</v>
      </c>
    </row>
    <row r="72" spans="1:17" ht="14.45" customHeight="1" x14ac:dyDescent="0.2">
      <c r="A72" s="426" t="s">
        <v>460</v>
      </c>
      <c r="B72" s="450" t="s">
        <v>388</v>
      </c>
      <c r="C72" s="450" t="s">
        <v>389</v>
      </c>
      <c r="D72" s="450" t="s">
        <v>398</v>
      </c>
      <c r="E72" s="450" t="s">
        <v>399</v>
      </c>
      <c r="F72" s="427">
        <v>4</v>
      </c>
      <c r="G72" s="427">
        <v>1388</v>
      </c>
      <c r="H72" s="427"/>
      <c r="I72" s="427">
        <v>347</v>
      </c>
      <c r="J72" s="427"/>
      <c r="K72" s="427"/>
      <c r="L72" s="427"/>
      <c r="M72" s="427"/>
      <c r="N72" s="427"/>
      <c r="O72" s="427"/>
      <c r="P72" s="451"/>
      <c r="Q72" s="452"/>
    </row>
    <row r="73" spans="1:17" ht="14.45" customHeight="1" x14ac:dyDescent="0.2">
      <c r="A73" s="426" t="s">
        <v>460</v>
      </c>
      <c r="B73" s="450" t="s">
        <v>388</v>
      </c>
      <c r="C73" s="450" t="s">
        <v>389</v>
      </c>
      <c r="D73" s="450" t="s">
        <v>402</v>
      </c>
      <c r="E73" s="450" t="s">
        <v>403</v>
      </c>
      <c r="F73" s="427">
        <v>58</v>
      </c>
      <c r="G73" s="427">
        <v>33640</v>
      </c>
      <c r="H73" s="427">
        <v>0.68928776329809027</v>
      </c>
      <c r="I73" s="427">
        <v>580</v>
      </c>
      <c r="J73" s="427">
        <v>84</v>
      </c>
      <c r="K73" s="427">
        <v>48804</v>
      </c>
      <c r="L73" s="427">
        <v>1</v>
      </c>
      <c r="M73" s="427">
        <v>581</v>
      </c>
      <c r="N73" s="427">
        <v>113</v>
      </c>
      <c r="O73" s="427">
        <v>66331</v>
      </c>
      <c r="P73" s="451">
        <v>1.3591303991476109</v>
      </c>
      <c r="Q73" s="452">
        <v>587</v>
      </c>
    </row>
    <row r="74" spans="1:17" ht="14.45" customHeight="1" x14ac:dyDescent="0.2">
      <c r="A74" s="426" t="s">
        <v>461</v>
      </c>
      <c r="B74" s="450" t="s">
        <v>388</v>
      </c>
      <c r="C74" s="450" t="s">
        <v>389</v>
      </c>
      <c r="D74" s="450" t="s">
        <v>392</v>
      </c>
      <c r="E74" s="450" t="s">
        <v>393</v>
      </c>
      <c r="F74" s="427">
        <v>166</v>
      </c>
      <c r="G74" s="427">
        <v>57602</v>
      </c>
      <c r="H74" s="427">
        <v>1.66</v>
      </c>
      <c r="I74" s="427">
        <v>347</v>
      </c>
      <c r="J74" s="427">
        <v>100</v>
      </c>
      <c r="K74" s="427">
        <v>34700</v>
      </c>
      <c r="L74" s="427">
        <v>1</v>
      </c>
      <c r="M74" s="427">
        <v>347</v>
      </c>
      <c r="N74" s="427">
        <v>100</v>
      </c>
      <c r="O74" s="427">
        <v>35000</v>
      </c>
      <c r="P74" s="451">
        <v>1.0086455331412103</v>
      </c>
      <c r="Q74" s="452">
        <v>350</v>
      </c>
    </row>
    <row r="75" spans="1:17" ht="14.45" customHeight="1" x14ac:dyDescent="0.2">
      <c r="A75" s="426" t="s">
        <v>461</v>
      </c>
      <c r="B75" s="450" t="s">
        <v>388</v>
      </c>
      <c r="C75" s="450" t="s">
        <v>389</v>
      </c>
      <c r="D75" s="450" t="s">
        <v>398</v>
      </c>
      <c r="E75" s="450" t="s">
        <v>399</v>
      </c>
      <c r="F75" s="427"/>
      <c r="G75" s="427"/>
      <c r="H75" s="427"/>
      <c r="I75" s="427"/>
      <c r="J75" s="427"/>
      <c r="K75" s="427"/>
      <c r="L75" s="427"/>
      <c r="M75" s="427"/>
      <c r="N75" s="427">
        <v>6</v>
      </c>
      <c r="O75" s="427">
        <v>2100</v>
      </c>
      <c r="P75" s="451"/>
      <c r="Q75" s="452">
        <v>350</v>
      </c>
    </row>
    <row r="76" spans="1:17" ht="14.45" customHeight="1" x14ac:dyDescent="0.2">
      <c r="A76" s="426" t="s">
        <v>462</v>
      </c>
      <c r="B76" s="450" t="s">
        <v>388</v>
      </c>
      <c r="C76" s="450" t="s">
        <v>389</v>
      </c>
      <c r="D76" s="450" t="s">
        <v>390</v>
      </c>
      <c r="E76" s="450" t="s">
        <v>391</v>
      </c>
      <c r="F76" s="427"/>
      <c r="G76" s="427"/>
      <c r="H76" s="427"/>
      <c r="I76" s="427"/>
      <c r="J76" s="427"/>
      <c r="K76" s="427"/>
      <c r="L76" s="427"/>
      <c r="M76" s="427"/>
      <c r="N76" s="427">
        <v>2</v>
      </c>
      <c r="O76" s="427">
        <v>150</v>
      </c>
      <c r="P76" s="451"/>
      <c r="Q76" s="452">
        <v>75</v>
      </c>
    </row>
    <row r="77" spans="1:17" ht="14.45" customHeight="1" x14ac:dyDescent="0.2">
      <c r="A77" s="426" t="s">
        <v>462</v>
      </c>
      <c r="B77" s="450" t="s">
        <v>388</v>
      </c>
      <c r="C77" s="450" t="s">
        <v>389</v>
      </c>
      <c r="D77" s="450" t="s">
        <v>392</v>
      </c>
      <c r="E77" s="450" t="s">
        <v>393</v>
      </c>
      <c r="F77" s="427">
        <v>1017</v>
      </c>
      <c r="G77" s="427">
        <v>352899</v>
      </c>
      <c r="H77" s="427">
        <v>1.0716543730242361</v>
      </c>
      <c r="I77" s="427">
        <v>347</v>
      </c>
      <c r="J77" s="427">
        <v>949</v>
      </c>
      <c r="K77" s="427">
        <v>329303</v>
      </c>
      <c r="L77" s="427">
        <v>1</v>
      </c>
      <c r="M77" s="427">
        <v>347</v>
      </c>
      <c r="N77" s="427">
        <v>1141</v>
      </c>
      <c r="O77" s="427">
        <v>399350</v>
      </c>
      <c r="P77" s="451">
        <v>1.2127129118167765</v>
      </c>
      <c r="Q77" s="452">
        <v>350</v>
      </c>
    </row>
    <row r="78" spans="1:17" ht="14.45" customHeight="1" x14ac:dyDescent="0.2">
      <c r="A78" s="426" t="s">
        <v>462</v>
      </c>
      <c r="B78" s="450" t="s">
        <v>388</v>
      </c>
      <c r="C78" s="450" t="s">
        <v>389</v>
      </c>
      <c r="D78" s="450" t="s">
        <v>398</v>
      </c>
      <c r="E78" s="450" t="s">
        <v>399</v>
      </c>
      <c r="F78" s="427"/>
      <c r="G78" s="427"/>
      <c r="H78" s="427"/>
      <c r="I78" s="427"/>
      <c r="J78" s="427">
        <v>10</v>
      </c>
      <c r="K78" s="427">
        <v>3470</v>
      </c>
      <c r="L78" s="427">
        <v>1</v>
      </c>
      <c r="M78" s="427">
        <v>347</v>
      </c>
      <c r="N78" s="427">
        <v>6</v>
      </c>
      <c r="O78" s="427">
        <v>2100</v>
      </c>
      <c r="P78" s="451">
        <v>0.60518731988472618</v>
      </c>
      <c r="Q78" s="452">
        <v>350</v>
      </c>
    </row>
    <row r="79" spans="1:17" ht="14.45" customHeight="1" x14ac:dyDescent="0.2">
      <c r="A79" s="426" t="s">
        <v>462</v>
      </c>
      <c r="B79" s="450" t="s">
        <v>388</v>
      </c>
      <c r="C79" s="450" t="s">
        <v>389</v>
      </c>
      <c r="D79" s="450" t="s">
        <v>402</v>
      </c>
      <c r="E79" s="450" t="s">
        <v>403</v>
      </c>
      <c r="F79" s="427"/>
      <c r="G79" s="427"/>
      <c r="H79" s="427"/>
      <c r="I79" s="427"/>
      <c r="J79" s="427">
        <v>8</v>
      </c>
      <c r="K79" s="427">
        <v>4648</v>
      </c>
      <c r="L79" s="427">
        <v>1</v>
      </c>
      <c r="M79" s="427">
        <v>581</v>
      </c>
      <c r="N79" s="427">
        <v>8</v>
      </c>
      <c r="O79" s="427">
        <v>4696</v>
      </c>
      <c r="P79" s="451">
        <v>1.0103270223752152</v>
      </c>
      <c r="Q79" s="452">
        <v>587</v>
      </c>
    </row>
    <row r="80" spans="1:17" ht="14.45" customHeight="1" x14ac:dyDescent="0.2">
      <c r="A80" s="426" t="s">
        <v>463</v>
      </c>
      <c r="B80" s="450" t="s">
        <v>388</v>
      </c>
      <c r="C80" s="450" t="s">
        <v>389</v>
      </c>
      <c r="D80" s="450" t="s">
        <v>390</v>
      </c>
      <c r="E80" s="450" t="s">
        <v>391</v>
      </c>
      <c r="F80" s="427">
        <v>1</v>
      </c>
      <c r="G80" s="427">
        <v>74</v>
      </c>
      <c r="H80" s="427">
        <v>0.25</v>
      </c>
      <c r="I80" s="427">
        <v>74</v>
      </c>
      <c r="J80" s="427">
        <v>4</v>
      </c>
      <c r="K80" s="427">
        <v>296</v>
      </c>
      <c r="L80" s="427">
        <v>1</v>
      </c>
      <c r="M80" s="427">
        <v>74</v>
      </c>
      <c r="N80" s="427"/>
      <c r="O80" s="427"/>
      <c r="P80" s="451"/>
      <c r="Q80" s="452"/>
    </row>
    <row r="81" spans="1:17" ht="14.45" customHeight="1" x14ac:dyDescent="0.2">
      <c r="A81" s="426" t="s">
        <v>463</v>
      </c>
      <c r="B81" s="450" t="s">
        <v>388</v>
      </c>
      <c r="C81" s="450" t="s">
        <v>389</v>
      </c>
      <c r="D81" s="450" t="s">
        <v>392</v>
      </c>
      <c r="E81" s="450" t="s">
        <v>393</v>
      </c>
      <c r="F81" s="427">
        <v>32</v>
      </c>
      <c r="G81" s="427">
        <v>11104</v>
      </c>
      <c r="H81" s="427">
        <v>0.66666666666666663</v>
      </c>
      <c r="I81" s="427">
        <v>347</v>
      </c>
      <c r="J81" s="427">
        <v>48</v>
      </c>
      <c r="K81" s="427">
        <v>16656</v>
      </c>
      <c r="L81" s="427">
        <v>1</v>
      </c>
      <c r="M81" s="427">
        <v>347</v>
      </c>
      <c r="N81" s="427"/>
      <c r="O81" s="427"/>
      <c r="P81" s="451"/>
      <c r="Q81" s="452"/>
    </row>
    <row r="82" spans="1:17" ht="14.45" customHeight="1" x14ac:dyDescent="0.2">
      <c r="A82" s="426" t="s">
        <v>464</v>
      </c>
      <c r="B82" s="450" t="s">
        <v>388</v>
      </c>
      <c r="C82" s="450" t="s">
        <v>389</v>
      </c>
      <c r="D82" s="450" t="s">
        <v>392</v>
      </c>
      <c r="E82" s="450" t="s">
        <v>393</v>
      </c>
      <c r="F82" s="427">
        <v>37</v>
      </c>
      <c r="G82" s="427">
        <v>12839</v>
      </c>
      <c r="H82" s="427">
        <v>1.5416666666666667</v>
      </c>
      <c r="I82" s="427">
        <v>347</v>
      </c>
      <c r="J82" s="427">
        <v>24</v>
      </c>
      <c r="K82" s="427">
        <v>8328</v>
      </c>
      <c r="L82" s="427">
        <v>1</v>
      </c>
      <c r="M82" s="427">
        <v>347</v>
      </c>
      <c r="N82" s="427">
        <v>12</v>
      </c>
      <c r="O82" s="427">
        <v>4200</v>
      </c>
      <c r="P82" s="451">
        <v>0.50432276657060515</v>
      </c>
      <c r="Q82" s="452">
        <v>350</v>
      </c>
    </row>
    <row r="83" spans="1:17" ht="14.45" customHeight="1" x14ac:dyDescent="0.2">
      <c r="A83" s="426" t="s">
        <v>464</v>
      </c>
      <c r="B83" s="450" t="s">
        <v>388</v>
      </c>
      <c r="C83" s="450" t="s">
        <v>389</v>
      </c>
      <c r="D83" s="450" t="s">
        <v>396</v>
      </c>
      <c r="E83" s="450" t="s">
        <v>397</v>
      </c>
      <c r="F83" s="427">
        <v>4</v>
      </c>
      <c r="G83" s="427">
        <v>1388</v>
      </c>
      <c r="H83" s="427"/>
      <c r="I83" s="427">
        <v>347</v>
      </c>
      <c r="J83" s="427"/>
      <c r="K83" s="427"/>
      <c r="L83" s="427"/>
      <c r="M83" s="427"/>
      <c r="N83" s="427"/>
      <c r="O83" s="427"/>
      <c r="P83" s="451"/>
      <c r="Q83" s="452"/>
    </row>
    <row r="84" spans="1:17" ht="14.45" customHeight="1" thickBot="1" x14ac:dyDescent="0.25">
      <c r="A84" s="430" t="s">
        <v>464</v>
      </c>
      <c r="B84" s="453" t="s">
        <v>388</v>
      </c>
      <c r="C84" s="453" t="s">
        <v>389</v>
      </c>
      <c r="D84" s="453" t="s">
        <v>398</v>
      </c>
      <c r="E84" s="453" t="s">
        <v>399</v>
      </c>
      <c r="F84" s="431">
        <v>4</v>
      </c>
      <c r="G84" s="431">
        <v>1388</v>
      </c>
      <c r="H84" s="431">
        <v>1</v>
      </c>
      <c r="I84" s="431">
        <v>347</v>
      </c>
      <c r="J84" s="431">
        <v>4</v>
      </c>
      <c r="K84" s="431">
        <v>1388</v>
      </c>
      <c r="L84" s="431">
        <v>1</v>
      </c>
      <c r="M84" s="431">
        <v>347</v>
      </c>
      <c r="N84" s="431"/>
      <c r="O84" s="431"/>
      <c r="P84" s="454"/>
      <c r="Q84" s="455"/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91A136A7-E18B-42E1-9659-9AD2F73F6C61}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3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19" bestFit="1" customWidth="1"/>
    <col min="2" max="2" width="11.7109375" style="119" hidden="1" customWidth="1"/>
    <col min="3" max="4" width="11" style="121" customWidth="1"/>
    <col min="5" max="5" width="11" style="122" customWidth="1"/>
    <col min="6" max="16384" width="8.85546875" style="119"/>
  </cols>
  <sheetData>
    <row r="1" spans="1:5" ht="19.5" thickBot="1" x14ac:dyDescent="0.35">
      <c r="A1" s="276" t="s">
        <v>92</v>
      </c>
      <c r="B1" s="276"/>
      <c r="C1" s="277"/>
      <c r="D1" s="277"/>
      <c r="E1" s="277"/>
    </row>
    <row r="2" spans="1:5" ht="14.45" customHeight="1" thickBot="1" x14ac:dyDescent="0.25">
      <c r="A2" s="192" t="s">
        <v>208</v>
      </c>
      <c r="B2" s="120"/>
    </row>
    <row r="3" spans="1:5" ht="14.45" customHeight="1" thickBot="1" x14ac:dyDescent="0.25">
      <c r="A3" s="123"/>
      <c r="C3" s="124" t="s">
        <v>82</v>
      </c>
      <c r="D3" s="125" t="s">
        <v>48</v>
      </c>
      <c r="E3" s="126" t="s">
        <v>50</v>
      </c>
    </row>
    <row r="4" spans="1:5" ht="14.45" customHeight="1" thickBot="1" x14ac:dyDescent="0.25">
      <c r="A4" s="127" t="str">
        <f>HYPERLINK("#HI!A1","NÁKLADY CELKEM (v tisících Kč)")</f>
        <v>NÁKLADY CELKEM (v tisících Kč)</v>
      </c>
      <c r="B4" s="128"/>
      <c r="C4" s="129">
        <f ca="1">IF(ISERROR(VLOOKUP("Náklady celkem",INDIRECT("HI!$A:$G"),6,0)),0,VLOOKUP("Náklady celkem",INDIRECT("HI!$A:$G"),6,0))</f>
        <v>4315.276063110352</v>
      </c>
      <c r="D4" s="129">
        <f ca="1">IF(ISERROR(VLOOKUP("Náklady celkem",INDIRECT("HI!$A:$G"),5,0)),0,VLOOKUP("Náklady celkem",INDIRECT("HI!$A:$G"),5,0))</f>
        <v>4539.951509999999</v>
      </c>
      <c r="E4" s="130">
        <f ca="1">IF(C4=0,0,D4/C4)</f>
        <v>1.052065138731288</v>
      </c>
    </row>
    <row r="5" spans="1:5" ht="14.45" customHeight="1" x14ac:dyDescent="0.2">
      <c r="A5" s="131" t="s">
        <v>106</v>
      </c>
      <c r="B5" s="132"/>
      <c r="C5" s="133"/>
      <c r="D5" s="133"/>
      <c r="E5" s="134"/>
    </row>
    <row r="6" spans="1:5" ht="14.45" customHeight="1" x14ac:dyDescent="0.2">
      <c r="A6" s="135" t="s">
        <v>111</v>
      </c>
      <c r="B6" s="136"/>
      <c r="C6" s="137"/>
      <c r="D6" s="137"/>
      <c r="E6" s="134"/>
    </row>
    <row r="7" spans="1:5" ht="14.45" customHeight="1" x14ac:dyDescent="0.25">
      <c r="A7" s="20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6" t="s">
        <v>86</v>
      </c>
      <c r="C7" s="137">
        <f>IF(ISERROR(HI!F5),"",HI!F5)</f>
        <v>0.5</v>
      </c>
      <c r="D7" s="137">
        <f>IF(ISERROR(HI!E5),"",HI!E5)</f>
        <v>0</v>
      </c>
      <c r="E7" s="134">
        <f t="shared" ref="E7:E11" si="0">IF(C7=0,0,D7/C7)</f>
        <v>0</v>
      </c>
    </row>
    <row r="8" spans="1:5" ht="14.45" customHeight="1" x14ac:dyDescent="0.2">
      <c r="A8" s="139" t="s">
        <v>107</v>
      </c>
      <c r="B8" s="136"/>
      <c r="C8" s="137"/>
      <c r="D8" s="137"/>
      <c r="E8" s="134"/>
    </row>
    <row r="9" spans="1:5" ht="14.45" customHeight="1" x14ac:dyDescent="0.2">
      <c r="A9" s="139" t="s">
        <v>108</v>
      </c>
      <c r="B9" s="136"/>
      <c r="C9" s="137"/>
      <c r="D9" s="137"/>
      <c r="E9" s="134"/>
    </row>
    <row r="10" spans="1:5" ht="14.45" customHeight="1" x14ac:dyDescent="0.2">
      <c r="A10" s="140" t="s">
        <v>112</v>
      </c>
      <c r="B10" s="136"/>
      <c r="C10" s="133"/>
      <c r="D10" s="133"/>
      <c r="E10" s="134"/>
    </row>
    <row r="11" spans="1:5" ht="14.45" customHeight="1" x14ac:dyDescent="0.2">
      <c r="A11" s="14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36" t="s">
        <v>86</v>
      </c>
      <c r="C11" s="137">
        <f>IF(ISERROR(HI!F6),"",HI!F6)</f>
        <v>0</v>
      </c>
      <c r="D11" s="137">
        <f>IF(ISERROR(HI!E6),"",HI!E6)</f>
        <v>0</v>
      </c>
      <c r="E11" s="134">
        <f t="shared" si="0"/>
        <v>0</v>
      </c>
    </row>
    <row r="12" spans="1:5" ht="14.45" customHeight="1" thickBot="1" x14ac:dyDescent="0.25">
      <c r="A12" s="142" t="str">
        <f>HYPERLINK("#HI!A1","Osobní náklady")</f>
        <v>Osobní náklady</v>
      </c>
      <c r="B12" s="136"/>
      <c r="C12" s="133">
        <f ca="1">IF(ISERROR(VLOOKUP("Osobní náklady (Kč) *",INDIRECT("HI!$A:$G"),6,0)),0,VLOOKUP("Osobní náklady (Kč) *",INDIRECT("HI!$A:$G"),6,0))</f>
        <v>4176.8592500000004</v>
      </c>
      <c r="D12" s="133">
        <f ca="1">IF(ISERROR(VLOOKUP("Osobní náklady (Kč) *",INDIRECT("HI!$A:$G"),5,0)),0,VLOOKUP("Osobní náklady (Kč) *",INDIRECT("HI!$A:$G"),5,0))</f>
        <v>4320.0013899999994</v>
      </c>
      <c r="E12" s="134">
        <f ca="1">IF(C12=0,0,D12/C12)</f>
        <v>1.0342702809533262</v>
      </c>
    </row>
    <row r="13" spans="1:5" ht="14.45" customHeight="1" thickBot="1" x14ac:dyDescent="0.25">
      <c r="A13" s="146"/>
      <c r="B13" s="147"/>
      <c r="C13" s="148"/>
      <c r="D13" s="148"/>
      <c r="E13" s="149"/>
    </row>
    <row r="14" spans="1:5" ht="14.45" customHeight="1" thickBot="1" x14ac:dyDescent="0.25">
      <c r="A14" s="150" t="str">
        <f>HYPERLINK("#HI!A1","VÝNOSY CELKEM (v tisících)")</f>
        <v>VÝNOSY CELKEM (v tisících)</v>
      </c>
      <c r="B14" s="151"/>
      <c r="C14" s="152">
        <f ca="1">IF(ISERROR(VLOOKUP("Výnosy celkem",INDIRECT("HI!$A:$G"),6,0)),0,VLOOKUP("Výnosy celkem",INDIRECT("HI!$A:$G"),6,0))</f>
        <v>2806.7386699999997</v>
      </c>
      <c r="D14" s="152">
        <f ca="1">IF(ISERROR(VLOOKUP("Výnosy celkem",INDIRECT("HI!$A:$G"),5,0)),0,VLOOKUP("Výnosy celkem",INDIRECT("HI!$A:$G"),5,0))</f>
        <v>2888.9589999999998</v>
      </c>
      <c r="E14" s="153">
        <f t="shared" ref="E14:E19" ca="1" si="1">IF(C14=0,0,D14/C14)</f>
        <v>1.0292939028769643</v>
      </c>
    </row>
    <row r="15" spans="1:5" ht="14.45" customHeight="1" x14ac:dyDescent="0.2">
      <c r="A15" s="154" t="str">
        <f>HYPERLINK("#HI!A1","Ambulance (body za výkony + Kč za ZUM a ZULP)")</f>
        <v>Ambulance (body za výkony + Kč za ZUM a ZULP)</v>
      </c>
      <c r="B15" s="132"/>
      <c r="C15" s="133">
        <f ca="1">IF(ISERROR(VLOOKUP("Ambulance *",INDIRECT("HI!$A:$G"),6,0)),0,VLOOKUP("Ambulance *",INDIRECT("HI!$A:$G"),6,0))</f>
        <v>2806.7386699999997</v>
      </c>
      <c r="D15" s="133">
        <f ca="1">IF(ISERROR(VLOOKUP("Ambulance *",INDIRECT("HI!$A:$G"),5,0)),0,VLOOKUP("Ambulance *",INDIRECT("HI!$A:$G"),5,0))</f>
        <v>2888.9589999999998</v>
      </c>
      <c r="E15" s="134">
        <f t="shared" ca="1" si="1"/>
        <v>1.0292939028769643</v>
      </c>
    </row>
    <row r="16" spans="1:5" ht="14.45" customHeight="1" x14ac:dyDescent="0.25">
      <c r="A16" s="213" t="str">
        <f>HYPERLINK("#'ZV Vykáz.-A'!A1","Zdravotní výkony vykázané u ambulantních pacientů (min. 100 % 2016)")</f>
        <v>Zdravotní výkony vykázané u ambulantních pacientů (min. 100 % 2016)</v>
      </c>
      <c r="B16" s="214" t="s">
        <v>94</v>
      </c>
      <c r="C16" s="138">
        <v>1</v>
      </c>
      <c r="D16" s="138">
        <f>IF(ISERROR(VLOOKUP("Celkem:",'ZV Vykáz.-A'!$A:$AB,10,0)),"",VLOOKUP("Celkem:",'ZV Vykáz.-A'!$A:$AB,10,0))</f>
        <v>1.0292939028769643</v>
      </c>
      <c r="E16" s="134">
        <f t="shared" si="1"/>
        <v>1.0292939028769643</v>
      </c>
    </row>
    <row r="17" spans="1:5" ht="14.45" customHeight="1" x14ac:dyDescent="0.25">
      <c r="A17" s="212" t="str">
        <f>HYPERLINK("#'ZV Vykáz.-A'!A1","Specializovaná ambulantní péče")</f>
        <v>Specializovaná ambulantní péče</v>
      </c>
      <c r="B17" s="214" t="s">
        <v>94</v>
      </c>
      <c r="C17" s="138">
        <v>1</v>
      </c>
      <c r="D17" s="206">
        <f>IF(ISERROR(VLOOKUP("Specializovaná ambulantní péče",'ZV Vykáz.-A'!$A:$AB,10,0)),"",VLOOKUP("Specializovaná ambulantní péče",'ZV Vykáz.-A'!$A:$AB,10,0))</f>
        <v>1.0292939028769643</v>
      </c>
      <c r="E17" s="134">
        <f t="shared" si="1"/>
        <v>1.0292939028769643</v>
      </c>
    </row>
    <row r="18" spans="1:5" ht="14.45" customHeight="1" x14ac:dyDescent="0.25">
      <c r="A18" s="212" t="str">
        <f>HYPERLINK("#'ZV Vykáz.-A'!A1","Ambulantní péče ve vyjmenovaných odbornostech (§9)")</f>
        <v>Ambulantní péče ve vyjmenovaných odbornostech (§9)</v>
      </c>
      <c r="B18" s="214" t="s">
        <v>94</v>
      </c>
      <c r="C18" s="138">
        <v>1</v>
      </c>
      <c r="D18" s="206" t="str">
        <f>IF(ISERROR(VLOOKUP("Ambulantní péče ve vyjmenovaných odbornostech (§9) *",'ZV Vykáz.-A'!$A:$AB,10,0)),"",VLOOKUP("Ambulantní péče ve vyjmenovaných odbornostech (§9) *",'ZV Vykáz.-A'!$A:$AB,10,0))</f>
        <v/>
      </c>
      <c r="E18" s="134">
        <f>IF(OR(C18=0,D18=""),0,IF(C18="","",D18/C18))</f>
        <v>0</v>
      </c>
    </row>
    <row r="19" spans="1:5" ht="14.45" customHeight="1" x14ac:dyDescent="0.2">
      <c r="A19" s="155" t="str">
        <f>HYPERLINK("#'ZV Vykáz.-H'!A1","Zdravotní výkony vykázané u hospitalizovaných pacientů (max. 85 %)")</f>
        <v>Zdravotní výkony vykázané u hospitalizovaných pacientů (max. 85 %)</v>
      </c>
      <c r="B19" s="214" t="s">
        <v>96</v>
      </c>
      <c r="C19" s="138">
        <v>0.85</v>
      </c>
      <c r="D19" s="138">
        <f>IF(ISERROR(VLOOKUP("Celkem:",'ZV Vykáz.-H'!$A:$S,7,0)),"",VLOOKUP("Celkem:",'ZV Vykáz.-H'!$A:$S,7,0))</f>
        <v>1.0029553723327709</v>
      </c>
      <c r="E19" s="134">
        <f t="shared" si="1"/>
        <v>1.1799474968620833</v>
      </c>
    </row>
    <row r="20" spans="1:5" ht="14.45" customHeight="1" x14ac:dyDescent="0.2">
      <c r="A20" s="156" t="str">
        <f>HYPERLINK("#HI!A1","Hospitalizace (casemix * 30000)")</f>
        <v>Hospitalizace (casemix * 30000)</v>
      </c>
      <c r="B20" s="136"/>
      <c r="C20" s="133">
        <f ca="1">IF(ISERROR(VLOOKUP("Hospitalizace *",INDIRECT("HI!$A:$G"),6,0)),0,VLOOKUP("Hospitalizace *",INDIRECT("HI!$A:$G"),6,0))</f>
        <v>0</v>
      </c>
      <c r="D20" s="133">
        <f ca="1">IF(ISERROR(VLOOKUP("Hospitalizace *",INDIRECT("HI!$A:$G"),5,0)),0,VLOOKUP("Hospitalizace *",INDIRECT("HI!$A:$G"),5,0))</f>
        <v>0</v>
      </c>
      <c r="E20" s="134">
        <f ca="1">IF(C20=0,0,D20/C20)</f>
        <v>0</v>
      </c>
    </row>
    <row r="21" spans="1:5" ht="14.45" customHeight="1" thickBot="1" x14ac:dyDescent="0.25">
      <c r="A21" s="157" t="s">
        <v>109</v>
      </c>
      <c r="B21" s="143"/>
      <c r="C21" s="144"/>
      <c r="D21" s="144"/>
      <c r="E21" s="145"/>
    </row>
    <row r="22" spans="1:5" ht="14.45" customHeight="1" thickBot="1" x14ac:dyDescent="0.25">
      <c r="A22" s="158"/>
      <c r="B22" s="159"/>
      <c r="C22" s="160"/>
      <c r="D22" s="160"/>
      <c r="E22" s="161"/>
    </row>
    <row r="23" spans="1:5" ht="14.45" customHeight="1" thickBot="1" x14ac:dyDescent="0.25">
      <c r="A23" s="162" t="s">
        <v>110</v>
      </c>
      <c r="B23" s="163"/>
      <c r="C23" s="164"/>
      <c r="D23" s="164"/>
      <c r="E23" s="165"/>
    </row>
  </sheetData>
  <mergeCells count="1">
    <mergeCell ref="A1:E1"/>
  </mergeCells>
  <conditionalFormatting sqref="E5">
    <cfRule type="cellIs" dxfId="50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49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48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7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0">
    <cfRule type="cellIs" dxfId="46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5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4 E16:E17">
    <cfRule type="cellIs" dxfId="44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1 E18:E19">
    <cfRule type="cellIs" dxfId="43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E1D3E124-3779-4969-B96D-25CD5DD0118A}"/>
  </hyperlinks>
  <pageMargins left="0.25" right="0.25" top="0.75" bottom="0.75" header="0.3" footer="0.3"/>
  <pageSetup paperSize="9" fitToHeight="0" orientation="landscape" r:id="rId1"/>
  <ignoredErrors>
    <ignoredError sqref="E16:E17 E19" evalError="1"/>
    <ignoredError sqref="E1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01" bestFit="1" customWidth="1"/>
    <col min="2" max="2" width="9.5703125" style="101" hidden="1" customWidth="1" outlineLevel="1"/>
    <col min="3" max="3" width="9.5703125" style="101" customWidth="1" collapsed="1"/>
    <col min="4" max="4" width="2.28515625" style="101" customWidth="1"/>
    <col min="5" max="8" width="9.5703125" style="101" customWidth="1"/>
    <col min="9" max="10" width="9.7109375" style="101" hidden="1" customWidth="1" outlineLevel="1"/>
    <col min="11" max="11" width="8.85546875" style="101" collapsed="1"/>
    <col min="12" max="16384" width="8.85546875" style="101"/>
  </cols>
  <sheetData>
    <row r="1" spans="1:10" ht="18.600000000000001" customHeight="1" thickBot="1" x14ac:dyDescent="0.35">
      <c r="A1" s="287" t="s">
        <v>101</v>
      </c>
      <c r="B1" s="287"/>
      <c r="C1" s="287"/>
      <c r="D1" s="287"/>
      <c r="E1" s="287"/>
      <c r="F1" s="287"/>
      <c r="G1" s="287"/>
      <c r="H1" s="287"/>
      <c r="I1" s="287"/>
      <c r="J1" s="287"/>
    </row>
    <row r="2" spans="1:10" ht="14.45" customHeight="1" thickBot="1" x14ac:dyDescent="0.25">
      <c r="A2" s="192" t="s">
        <v>208</v>
      </c>
      <c r="B2" s="83"/>
      <c r="C2" s="83"/>
      <c r="D2" s="83"/>
      <c r="E2" s="83"/>
      <c r="F2" s="83"/>
    </row>
    <row r="3" spans="1:10" ht="14.45" customHeight="1" x14ac:dyDescent="0.2">
      <c r="A3" s="278"/>
      <c r="B3" s="79">
        <v>2015</v>
      </c>
      <c r="C3" s="40">
        <v>2018</v>
      </c>
      <c r="D3" s="7"/>
      <c r="E3" s="282">
        <v>2019</v>
      </c>
      <c r="F3" s="283"/>
      <c r="G3" s="283"/>
      <c r="H3" s="284"/>
      <c r="I3" s="285">
        <v>2017</v>
      </c>
      <c r="J3" s="286"/>
    </row>
    <row r="4" spans="1:10" ht="14.45" customHeight="1" thickBot="1" x14ac:dyDescent="0.25">
      <c r="A4" s="279"/>
      <c r="B4" s="280" t="s">
        <v>48</v>
      </c>
      <c r="C4" s="281"/>
      <c r="D4" s="7"/>
      <c r="E4" s="100" t="s">
        <v>48</v>
      </c>
      <c r="F4" s="81" t="s">
        <v>49</v>
      </c>
      <c r="G4" s="81" t="s">
        <v>43</v>
      </c>
      <c r="H4" s="82" t="s">
        <v>50</v>
      </c>
      <c r="I4" s="217" t="s">
        <v>153</v>
      </c>
      <c r="J4" s="218" t="s">
        <v>154</v>
      </c>
    </row>
    <row r="5" spans="1:10" ht="14.45" customHeight="1" x14ac:dyDescent="0.2">
      <c r="A5" s="84" t="str">
        <f>HYPERLINK("#'Léky Žádanky'!A1","Léky (Kč)")</f>
        <v>Léky (Kč)</v>
      </c>
      <c r="B5" s="27">
        <v>0</v>
      </c>
      <c r="C5" s="29">
        <v>0.96404000000000001</v>
      </c>
      <c r="D5" s="8"/>
      <c r="E5" s="89">
        <v>0</v>
      </c>
      <c r="F5" s="28">
        <v>0.5</v>
      </c>
      <c r="G5" s="88">
        <f>E5-F5</f>
        <v>-0.5</v>
      </c>
      <c r="H5" s="94">
        <f>IF(F5&lt;0.00000001,"",E5/F5)</f>
        <v>0</v>
      </c>
    </row>
    <row r="6" spans="1:10" ht="14.45" customHeight="1" x14ac:dyDescent="0.2">
      <c r="A6" s="84" t="str">
        <f>HYPERLINK("#'Materiál Žádanky'!A1","Materiál - SZM (Kč)")</f>
        <v>Materiál - SZM (Kč)</v>
      </c>
      <c r="B6" s="10">
        <v>0</v>
      </c>
      <c r="C6" s="31">
        <v>4.7939999999999997E-2</v>
      </c>
      <c r="D6" s="8"/>
      <c r="E6" s="90">
        <v>0</v>
      </c>
      <c r="F6" s="30">
        <v>0</v>
      </c>
      <c r="G6" s="91">
        <f>E6-F6</f>
        <v>0</v>
      </c>
      <c r="H6" s="95" t="str">
        <f>IF(F6&lt;0.00000001,"",E6/F6)</f>
        <v/>
      </c>
    </row>
    <row r="7" spans="1:10" ht="14.45" customHeight="1" x14ac:dyDescent="0.2">
      <c r="A7" s="84" t="str">
        <f>HYPERLINK("#'Osobní náklady'!A1","Osobní náklady (Kč) *")</f>
        <v>Osobní náklady (Kč) *</v>
      </c>
      <c r="B7" s="10">
        <v>3818.71119</v>
      </c>
      <c r="C7" s="31">
        <v>4019.75873</v>
      </c>
      <c r="D7" s="8"/>
      <c r="E7" s="90">
        <v>4320.0013899999994</v>
      </c>
      <c r="F7" s="30">
        <v>4176.8592500000004</v>
      </c>
      <c r="G7" s="91">
        <f>E7-F7</f>
        <v>143.14213999999902</v>
      </c>
      <c r="H7" s="95">
        <f>IF(F7&lt;0.00000001,"",E7/F7)</f>
        <v>1.0342702809533262</v>
      </c>
    </row>
    <row r="8" spans="1:10" ht="14.45" customHeight="1" thickBot="1" x14ac:dyDescent="0.25">
      <c r="A8" s="1" t="s">
        <v>51</v>
      </c>
      <c r="B8" s="11">
        <v>195.67613000000028</v>
      </c>
      <c r="C8" s="33">
        <v>231.13367999999966</v>
      </c>
      <c r="D8" s="8"/>
      <c r="E8" s="92">
        <v>219.95011999999952</v>
      </c>
      <c r="F8" s="32">
        <v>137.91681311035154</v>
      </c>
      <c r="G8" s="93">
        <f>E8-F8</f>
        <v>82.033306889647974</v>
      </c>
      <c r="H8" s="96">
        <f>IF(F8&lt;0.00000001,"",E8/F8)</f>
        <v>1.5948028020630853</v>
      </c>
    </row>
    <row r="9" spans="1:10" ht="14.45" customHeight="1" thickBot="1" x14ac:dyDescent="0.25">
      <c r="A9" s="2" t="s">
        <v>52</v>
      </c>
      <c r="B9" s="3">
        <v>4014.3873200000003</v>
      </c>
      <c r="C9" s="35">
        <v>4251.9043899999997</v>
      </c>
      <c r="D9" s="8"/>
      <c r="E9" s="3">
        <v>4539.951509999999</v>
      </c>
      <c r="F9" s="34">
        <v>4315.276063110352</v>
      </c>
      <c r="G9" s="34">
        <f>E9-F9</f>
        <v>224.67544688964699</v>
      </c>
      <c r="H9" s="97">
        <f>IF(F9&lt;0.00000001,"",E9/F9)</f>
        <v>1.052065138731288</v>
      </c>
    </row>
    <row r="10" spans="1:10" ht="14.45" customHeight="1" thickBot="1" x14ac:dyDescent="0.25">
      <c r="A10" s="12"/>
      <c r="B10" s="12"/>
      <c r="C10" s="80"/>
      <c r="D10" s="8"/>
      <c r="E10" s="12"/>
      <c r="F10" s="13"/>
    </row>
    <row r="11" spans="1:10" ht="14.45" customHeight="1" x14ac:dyDescent="0.2">
      <c r="A11" s="104" t="str">
        <f>HYPERLINK("#'ZV Vykáz.-A'!A1","Ambulance *")</f>
        <v>Ambulance *</v>
      </c>
      <c r="B11" s="9">
        <f>IF(ISERROR(VLOOKUP("Celkem:",'ZV Vykáz.-A'!A:H,2,0)),0,VLOOKUP("Celkem:",'ZV Vykáz.-A'!A:H,2,0)/1000)</f>
        <v>2433.7093399999999</v>
      </c>
      <c r="C11" s="29">
        <f>IF(ISERROR(VLOOKUP("Celkem:",'ZV Vykáz.-A'!A:H,5,0)),0,VLOOKUP("Celkem:",'ZV Vykáz.-A'!A:H,5,0)/1000)</f>
        <v>2806.7386699999997</v>
      </c>
      <c r="D11" s="8"/>
      <c r="E11" s="89">
        <f>IF(ISERROR(VLOOKUP("Celkem:",'ZV Vykáz.-A'!A:H,8,0)),0,VLOOKUP("Celkem:",'ZV Vykáz.-A'!A:H,8,0)/1000)</f>
        <v>2888.9589999999998</v>
      </c>
      <c r="F11" s="28">
        <f>C11</f>
        <v>2806.7386699999997</v>
      </c>
      <c r="G11" s="88">
        <f>E11-F11</f>
        <v>82.220330000000104</v>
      </c>
      <c r="H11" s="94">
        <f>IF(F11&lt;0.00000001,"",E11/F11)</f>
        <v>1.0292939028769643</v>
      </c>
      <c r="I11" s="88">
        <f>E11-B11</f>
        <v>455.24965999999995</v>
      </c>
      <c r="J11" s="94">
        <f>IF(B11&lt;0.00000001,"",E11/B11)</f>
        <v>1.1870599962442516</v>
      </c>
    </row>
    <row r="12" spans="1:10" ht="14.45" customHeight="1" thickBot="1" x14ac:dyDescent="0.25">
      <c r="A12" s="105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2">
        <f>IF(ISERROR(VLOOKUP("Celkem",#REF!,4,0)),0,VLOOKUP("Celkem",#REF!,4,0)*30)</f>
        <v>0</v>
      </c>
      <c r="F12" s="32">
        <f>C12</f>
        <v>0</v>
      </c>
      <c r="G12" s="93">
        <f>E12-F12</f>
        <v>0</v>
      </c>
      <c r="H12" s="96" t="str">
        <f>IF(F12&lt;0.00000001,"",E12/F12)</f>
        <v/>
      </c>
      <c r="I12" s="93">
        <f>E12-B12</f>
        <v>0</v>
      </c>
      <c r="J12" s="96" t="str">
        <f>IF(B12&lt;0.00000001,"",E12/B12)</f>
        <v/>
      </c>
    </row>
    <row r="13" spans="1:10" ht="14.45" customHeight="1" thickBot="1" x14ac:dyDescent="0.25">
      <c r="A13" s="4" t="s">
        <v>55</v>
      </c>
      <c r="B13" s="5">
        <f>SUM(B11:B12)</f>
        <v>2433.7093399999999</v>
      </c>
      <c r="C13" s="37">
        <f>SUM(C11:C12)</f>
        <v>2806.7386699999997</v>
      </c>
      <c r="D13" s="8"/>
      <c r="E13" s="5">
        <f>SUM(E11:E12)</f>
        <v>2888.9589999999998</v>
      </c>
      <c r="F13" s="36">
        <f>SUM(F11:F12)</f>
        <v>2806.7386699999997</v>
      </c>
      <c r="G13" s="36">
        <f>E13-F13</f>
        <v>82.220330000000104</v>
      </c>
      <c r="H13" s="98">
        <f>IF(F13&lt;0.00000001,"",E13/F13)</f>
        <v>1.0292939028769643</v>
      </c>
      <c r="I13" s="36">
        <f>SUM(I11:I12)</f>
        <v>455.24965999999995</v>
      </c>
      <c r="J13" s="98">
        <f>IF(B13&lt;0.00000001,"",E13/B13)</f>
        <v>1.1870599962442516</v>
      </c>
    </row>
    <row r="14" spans="1:10" ht="14.45" customHeight="1" thickBot="1" x14ac:dyDescent="0.25">
      <c r="A14" s="12"/>
      <c r="B14" s="12"/>
      <c r="C14" s="80"/>
      <c r="D14" s="8"/>
      <c r="E14" s="12"/>
      <c r="F14" s="13"/>
    </row>
    <row r="15" spans="1:10" ht="14.45" customHeight="1" thickBot="1" x14ac:dyDescent="0.25">
      <c r="A15" s="106" t="str">
        <f>HYPERLINK("#'HI Graf'!A1","Hospodářský index (Výnosy / Náklady) *")</f>
        <v>Hospodářský index (Výnosy / Náklady) *</v>
      </c>
      <c r="B15" s="6">
        <f>IF(B9=0,"",B13/B9)</f>
        <v>0.60624676843588665</v>
      </c>
      <c r="C15" s="39">
        <f>IF(C9=0,"",C13/C9)</f>
        <v>0.66011330748667185</v>
      </c>
      <c r="D15" s="8"/>
      <c r="E15" s="6">
        <f>IF(E9=0,"",E13/E9)</f>
        <v>0.63634137801617197</v>
      </c>
      <c r="F15" s="38">
        <f>IF(F9=0,"",F13/F9)</f>
        <v>0.6504192614682841</v>
      </c>
      <c r="G15" s="38">
        <f>IF(ISERROR(F15-E15),"",E15-F15)</f>
        <v>-1.4077883452112139E-2</v>
      </c>
      <c r="H15" s="99">
        <f>IF(ISERROR(F15-E15),"",IF(F15&lt;0.00000001,"",E15/F15))</f>
        <v>0.97835567873507912</v>
      </c>
    </row>
    <row r="17" spans="1:8" ht="14.45" customHeight="1" x14ac:dyDescent="0.2">
      <c r="A17" s="85" t="s">
        <v>113</v>
      </c>
    </row>
    <row r="18" spans="1:8" ht="14.45" customHeight="1" x14ac:dyDescent="0.25">
      <c r="A18" s="195" t="s">
        <v>138</v>
      </c>
      <c r="B18" s="196"/>
      <c r="C18" s="196"/>
      <c r="D18" s="196"/>
      <c r="E18" s="196"/>
      <c r="F18" s="196"/>
      <c r="G18" s="196"/>
      <c r="H18" s="196"/>
    </row>
    <row r="19" spans="1:8" ht="15" x14ac:dyDescent="0.25">
      <c r="A19" s="194" t="s">
        <v>137</v>
      </c>
      <c r="B19" s="196"/>
      <c r="C19" s="196"/>
      <c r="D19" s="196"/>
      <c r="E19" s="196"/>
      <c r="F19" s="196"/>
      <c r="G19" s="196"/>
      <c r="H19" s="196"/>
    </row>
    <row r="20" spans="1:8" ht="14.45" customHeight="1" x14ac:dyDescent="0.2">
      <c r="A20" s="86" t="s">
        <v>146</v>
      </c>
    </row>
    <row r="21" spans="1:8" ht="14.45" customHeight="1" x14ac:dyDescent="0.2">
      <c r="A21" s="86" t="s">
        <v>114</v>
      </c>
    </row>
    <row r="22" spans="1:8" ht="14.45" customHeight="1" x14ac:dyDescent="0.2">
      <c r="A22" s="87" t="s">
        <v>187</v>
      </c>
    </row>
    <row r="23" spans="1:8" ht="14.45" customHeight="1" x14ac:dyDescent="0.2">
      <c r="A23" s="87" t="s">
        <v>115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2" priority="8" operator="greaterThan">
      <formula>0</formula>
    </cfRule>
  </conditionalFormatting>
  <conditionalFormatting sqref="G11:G13 G15">
    <cfRule type="cellIs" dxfId="41" priority="7" operator="lessThan">
      <formula>0</formula>
    </cfRule>
  </conditionalFormatting>
  <conditionalFormatting sqref="H5:H9">
    <cfRule type="cellIs" dxfId="40" priority="6" operator="greaterThan">
      <formula>1</formula>
    </cfRule>
  </conditionalFormatting>
  <conditionalFormatting sqref="H11:H13 H15">
    <cfRule type="cellIs" dxfId="39" priority="5" operator="lessThan">
      <formula>1</formula>
    </cfRule>
  </conditionalFormatting>
  <conditionalFormatting sqref="I11:I13">
    <cfRule type="cellIs" dxfId="38" priority="4" operator="lessThan">
      <formula>0</formula>
    </cfRule>
  </conditionalFormatting>
  <conditionalFormatting sqref="J11:J13">
    <cfRule type="cellIs" dxfId="37" priority="3" operator="lessThan">
      <formula>1</formula>
    </cfRule>
  </conditionalFormatting>
  <hyperlinks>
    <hyperlink ref="A2" location="Obsah!A1" display="Zpět na Obsah  KL 01  1.-4.měsíc" xr:uid="{9B68CCC0-99D7-43F5-8133-2452E78ABE04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01"/>
    <col min="2" max="13" width="8.85546875" style="101" customWidth="1"/>
    <col min="14" max="16384" width="8.85546875" style="101"/>
  </cols>
  <sheetData>
    <row r="1" spans="1:13" ht="18.600000000000001" customHeight="1" thickBot="1" x14ac:dyDescent="0.35">
      <c r="A1" s="276" t="s">
        <v>79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</row>
    <row r="2" spans="1:13" ht="14.45" customHeight="1" x14ac:dyDescent="0.2">
      <c r="A2" s="192" t="s">
        <v>208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</row>
    <row r="3" spans="1:13" ht="14.45" customHeight="1" x14ac:dyDescent="0.2">
      <c r="A3" s="167"/>
      <c r="B3" s="168" t="s">
        <v>57</v>
      </c>
      <c r="C3" s="169" t="s">
        <v>58</v>
      </c>
      <c r="D3" s="169" t="s">
        <v>59</v>
      </c>
      <c r="E3" s="168" t="s">
        <v>60</v>
      </c>
      <c r="F3" s="169" t="s">
        <v>61</v>
      </c>
      <c r="G3" s="169" t="s">
        <v>62</v>
      </c>
      <c r="H3" s="169" t="s">
        <v>63</v>
      </c>
      <c r="I3" s="169" t="s">
        <v>64</v>
      </c>
      <c r="J3" s="169" t="s">
        <v>65</v>
      </c>
      <c r="K3" s="169" t="s">
        <v>66</v>
      </c>
      <c r="L3" s="169" t="s">
        <v>67</v>
      </c>
      <c r="M3" s="169" t="s">
        <v>68</v>
      </c>
    </row>
    <row r="4" spans="1:13" ht="14.45" customHeight="1" x14ac:dyDescent="0.2">
      <c r="A4" s="167" t="s">
        <v>56</v>
      </c>
      <c r="B4" s="170">
        <f>(B10+B8)/B6</f>
        <v>0.67299120330414886</v>
      </c>
      <c r="C4" s="170">
        <f t="shared" ref="C4:M4" si="0">(C10+C8)/C6</f>
        <v>0.63421583155575056</v>
      </c>
      <c r="D4" s="170">
        <f t="shared" si="0"/>
        <v>0.61852250022167732</v>
      </c>
      <c r="E4" s="170">
        <f t="shared" si="0"/>
        <v>0.63903278731700996</v>
      </c>
      <c r="F4" s="170">
        <f t="shared" si="0"/>
        <v>0.6390702654917112</v>
      </c>
      <c r="G4" s="170">
        <f t="shared" si="0"/>
        <v>0.63634138021883901</v>
      </c>
      <c r="H4" s="170">
        <f t="shared" si="0"/>
        <v>0.63634138021883901</v>
      </c>
      <c r="I4" s="170">
        <f t="shared" si="0"/>
        <v>0.63634138021883901</v>
      </c>
      <c r="J4" s="170">
        <f t="shared" si="0"/>
        <v>0.63634138021883901</v>
      </c>
      <c r="K4" s="170">
        <f t="shared" si="0"/>
        <v>0.63634138021883901</v>
      </c>
      <c r="L4" s="170">
        <f t="shared" si="0"/>
        <v>0.63634138021883901</v>
      </c>
      <c r="M4" s="170">
        <f t="shared" si="0"/>
        <v>0.63634138021883901</v>
      </c>
    </row>
    <row r="5" spans="1:13" ht="14.45" customHeight="1" x14ac:dyDescent="0.2">
      <c r="A5" s="171" t="s">
        <v>29</v>
      </c>
      <c r="B5" s="170">
        <f>IF(ISERROR(VLOOKUP($A5,'Man Tab'!$A:$Q,COLUMN()+2,0)),0,VLOOKUP($A5,'Man Tab'!$A:$Q,COLUMN()+2,0))</f>
        <v>762.43741000000205</v>
      </c>
      <c r="C5" s="170">
        <f>IF(ISERROR(VLOOKUP($A5,'Man Tab'!$A:$Q,COLUMN()+2,0)),0,VLOOKUP($A5,'Man Tab'!$A:$Q,COLUMN()+2,0))</f>
        <v>743.88366000000099</v>
      </c>
      <c r="D5" s="170">
        <f>IF(ISERROR(VLOOKUP($A5,'Man Tab'!$A:$Q,COLUMN()+2,0)),0,VLOOKUP($A5,'Man Tab'!$A:$Q,COLUMN()+2,0))</f>
        <v>764.99432999999794</v>
      </c>
      <c r="E5" s="170">
        <f>IF(ISERROR(VLOOKUP($A5,'Man Tab'!$A:$Q,COLUMN()+2,0)),0,VLOOKUP($A5,'Man Tab'!$A:$Q,COLUMN()+2,0))</f>
        <v>767.68775999999696</v>
      </c>
      <c r="F5" s="170">
        <f>IF(ISERROR(VLOOKUP($A5,'Man Tab'!$A:$Q,COLUMN()+2,0)),0,VLOOKUP($A5,'Man Tab'!$A:$Q,COLUMN()+2,0))</f>
        <v>780.80687</v>
      </c>
      <c r="G5" s="170">
        <f>IF(ISERROR(VLOOKUP($A5,'Man Tab'!$A:$Q,COLUMN()+2,0)),0,VLOOKUP($A5,'Man Tab'!$A:$Q,COLUMN()+2,0))</f>
        <v>720.14147999999796</v>
      </c>
      <c r="H5" s="170">
        <f>IF(ISERROR(VLOOKUP($A5,'Man Tab'!$A:$Q,COLUMN()+2,0)),0,VLOOKUP($A5,'Man Tab'!$A:$Q,COLUMN()+2,0))</f>
        <v>0</v>
      </c>
      <c r="I5" s="170">
        <f>IF(ISERROR(VLOOKUP($A5,'Man Tab'!$A:$Q,COLUMN()+2,0)),0,VLOOKUP($A5,'Man Tab'!$A:$Q,COLUMN()+2,0))</f>
        <v>0</v>
      </c>
      <c r="J5" s="170">
        <f>IF(ISERROR(VLOOKUP($A5,'Man Tab'!$A:$Q,COLUMN()+2,0)),0,VLOOKUP($A5,'Man Tab'!$A:$Q,COLUMN()+2,0))</f>
        <v>0</v>
      </c>
      <c r="K5" s="170">
        <f>IF(ISERROR(VLOOKUP($A5,'Man Tab'!$A:$Q,COLUMN()+2,0)),0,VLOOKUP($A5,'Man Tab'!$A:$Q,COLUMN()+2,0))</f>
        <v>0</v>
      </c>
      <c r="L5" s="170">
        <f>IF(ISERROR(VLOOKUP($A5,'Man Tab'!$A:$Q,COLUMN()+2,0)),0,VLOOKUP($A5,'Man Tab'!$A:$Q,COLUMN()+2,0))</f>
        <v>0</v>
      </c>
      <c r="M5" s="170">
        <f>IF(ISERROR(VLOOKUP($A5,'Man Tab'!$A:$Q,COLUMN()+2,0)),0,VLOOKUP($A5,'Man Tab'!$A:$Q,COLUMN()+2,0))</f>
        <v>0</v>
      </c>
    </row>
    <row r="6" spans="1:13" ht="14.45" customHeight="1" x14ac:dyDescent="0.2">
      <c r="A6" s="171" t="s">
        <v>52</v>
      </c>
      <c r="B6" s="172">
        <f>B5</f>
        <v>762.43741000000205</v>
      </c>
      <c r="C6" s="172">
        <f t="shared" ref="C6:M6" si="1">C5+B6</f>
        <v>1506.3210700000031</v>
      </c>
      <c r="D6" s="172">
        <f t="shared" si="1"/>
        <v>2271.3154000000013</v>
      </c>
      <c r="E6" s="172">
        <f t="shared" si="1"/>
        <v>3039.0031599999984</v>
      </c>
      <c r="F6" s="172">
        <f t="shared" si="1"/>
        <v>3819.8100299999983</v>
      </c>
      <c r="G6" s="172">
        <f t="shared" si="1"/>
        <v>4539.9515099999962</v>
      </c>
      <c r="H6" s="172">
        <f t="shared" si="1"/>
        <v>4539.9515099999962</v>
      </c>
      <c r="I6" s="172">
        <f t="shared" si="1"/>
        <v>4539.9515099999962</v>
      </c>
      <c r="J6" s="172">
        <f t="shared" si="1"/>
        <v>4539.9515099999962</v>
      </c>
      <c r="K6" s="172">
        <f t="shared" si="1"/>
        <v>4539.9515099999962</v>
      </c>
      <c r="L6" s="172">
        <f t="shared" si="1"/>
        <v>4539.9515099999962</v>
      </c>
      <c r="M6" s="172">
        <f t="shared" si="1"/>
        <v>4539.9515099999962</v>
      </c>
    </row>
    <row r="7" spans="1:13" ht="14.45" customHeight="1" x14ac:dyDescent="0.2">
      <c r="A7" s="171" t="s">
        <v>77</v>
      </c>
      <c r="B7" s="171"/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</row>
    <row r="8" spans="1:13" ht="14.45" customHeight="1" x14ac:dyDescent="0.2">
      <c r="A8" s="171" t="s">
        <v>53</v>
      </c>
      <c r="B8" s="172">
        <f>B7*30</f>
        <v>0</v>
      </c>
      <c r="C8" s="172">
        <f t="shared" ref="C8:M8" si="2">C7*30</f>
        <v>0</v>
      </c>
      <c r="D8" s="172">
        <f t="shared" si="2"/>
        <v>0</v>
      </c>
      <c r="E8" s="172">
        <f t="shared" si="2"/>
        <v>0</v>
      </c>
      <c r="F8" s="172">
        <f t="shared" si="2"/>
        <v>0</v>
      </c>
      <c r="G8" s="172">
        <f t="shared" si="2"/>
        <v>0</v>
      </c>
      <c r="H8" s="172">
        <f t="shared" si="2"/>
        <v>0</v>
      </c>
      <c r="I8" s="172">
        <f t="shared" si="2"/>
        <v>0</v>
      </c>
      <c r="J8" s="172">
        <f t="shared" si="2"/>
        <v>0</v>
      </c>
      <c r="K8" s="172">
        <f t="shared" si="2"/>
        <v>0</v>
      </c>
      <c r="L8" s="172">
        <f t="shared" si="2"/>
        <v>0</v>
      </c>
      <c r="M8" s="172">
        <f t="shared" si="2"/>
        <v>0</v>
      </c>
    </row>
    <row r="9" spans="1:13" ht="14.45" customHeight="1" x14ac:dyDescent="0.2">
      <c r="A9" s="171" t="s">
        <v>78</v>
      </c>
      <c r="B9" s="171">
        <v>513113.67000000004</v>
      </c>
      <c r="C9" s="171">
        <v>442218.99999999994</v>
      </c>
      <c r="D9" s="171">
        <v>449527.01</v>
      </c>
      <c r="E9" s="171">
        <v>537162.98</v>
      </c>
      <c r="F9" s="171">
        <v>499104.35</v>
      </c>
      <c r="G9" s="171">
        <v>447832</v>
      </c>
      <c r="H9" s="171">
        <v>0</v>
      </c>
      <c r="I9" s="171">
        <v>0</v>
      </c>
      <c r="J9" s="171">
        <v>0</v>
      </c>
      <c r="K9" s="171">
        <v>0</v>
      </c>
      <c r="L9" s="171">
        <v>0</v>
      </c>
      <c r="M9" s="171">
        <v>0</v>
      </c>
    </row>
    <row r="10" spans="1:13" ht="14.45" customHeight="1" x14ac:dyDescent="0.2">
      <c r="A10" s="171" t="s">
        <v>54</v>
      </c>
      <c r="B10" s="172">
        <f>B9/1000</f>
        <v>513.11367000000007</v>
      </c>
      <c r="C10" s="172">
        <f t="shared" ref="C10:M10" si="3">C9/1000+B10</f>
        <v>955.33267000000001</v>
      </c>
      <c r="D10" s="172">
        <f t="shared" si="3"/>
        <v>1404.85968</v>
      </c>
      <c r="E10" s="172">
        <f t="shared" si="3"/>
        <v>1942.0226600000001</v>
      </c>
      <c r="F10" s="172">
        <f t="shared" si="3"/>
        <v>2441.1270100000002</v>
      </c>
      <c r="G10" s="172">
        <f t="shared" si="3"/>
        <v>2888.95901</v>
      </c>
      <c r="H10" s="172">
        <f t="shared" si="3"/>
        <v>2888.95901</v>
      </c>
      <c r="I10" s="172">
        <f t="shared" si="3"/>
        <v>2888.95901</v>
      </c>
      <c r="J10" s="172">
        <f t="shared" si="3"/>
        <v>2888.95901</v>
      </c>
      <c r="K10" s="172">
        <f t="shared" si="3"/>
        <v>2888.95901</v>
      </c>
      <c r="L10" s="172">
        <f t="shared" si="3"/>
        <v>2888.95901</v>
      </c>
      <c r="M10" s="172">
        <f t="shared" si="3"/>
        <v>2888.95901</v>
      </c>
    </row>
    <row r="11" spans="1:13" ht="14.45" customHeight="1" x14ac:dyDescent="0.2">
      <c r="A11" s="167"/>
      <c r="B11" s="167" t="s">
        <v>69</v>
      </c>
      <c r="C11" s="167">
        <f ca="1">IF(MONTH(TODAY())=1,12,MONTH(TODAY())-1)</f>
        <v>6</v>
      </c>
      <c r="D11" s="167"/>
      <c r="E11" s="167"/>
      <c r="F11" s="167"/>
      <c r="G11" s="167"/>
      <c r="H11" s="167"/>
      <c r="I11" s="167"/>
      <c r="J11" s="167"/>
      <c r="K11" s="167"/>
      <c r="L11" s="167"/>
      <c r="M11" s="167"/>
    </row>
    <row r="12" spans="1:13" ht="14.45" customHeight="1" x14ac:dyDescent="0.2">
      <c r="A12" s="167">
        <v>0</v>
      </c>
      <c r="B12" s="170">
        <f>IF(ISERROR(HI!F15),#REF!,HI!F15)</f>
        <v>0.6504192614682841</v>
      </c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</row>
    <row r="13" spans="1:13" ht="14.45" customHeight="1" x14ac:dyDescent="0.2">
      <c r="A13" s="167">
        <v>1</v>
      </c>
      <c r="B13" s="170">
        <f>IF(ISERROR(HI!F15),#REF!,HI!F15)</f>
        <v>0.6504192614682841</v>
      </c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</row>
  </sheetData>
  <mergeCells count="1">
    <mergeCell ref="A1:M1"/>
  </mergeCells>
  <hyperlinks>
    <hyperlink ref="A2" location="Obsah!A1" display="Zpět na Obsah  KL 01  1.-4.měsíc" xr:uid="{7C59A71D-E32D-4CC4-8DE1-A8F24C1FC59B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01" bestFit="1" customWidth="1"/>
    <col min="2" max="2" width="12.7109375" style="101" bestFit="1" customWidth="1"/>
    <col min="3" max="3" width="13.7109375" style="101" bestFit="1" customWidth="1"/>
    <col min="4" max="15" width="7.7109375" style="101" bestFit="1" customWidth="1"/>
    <col min="16" max="16" width="8.85546875" style="101" customWidth="1"/>
    <col min="17" max="17" width="6.7109375" style="101" bestFit="1" customWidth="1"/>
    <col min="18" max="16384" width="8.85546875" style="101"/>
  </cols>
  <sheetData>
    <row r="1" spans="1:17" s="173" customFormat="1" ht="18.600000000000001" customHeight="1" thickBot="1" x14ac:dyDescent="0.35">
      <c r="A1" s="288" t="s">
        <v>210</v>
      </c>
      <c r="B1" s="288"/>
      <c r="C1" s="288"/>
      <c r="D1" s="288"/>
      <c r="E1" s="288"/>
      <c r="F1" s="288"/>
      <c r="G1" s="288"/>
      <c r="H1" s="276"/>
      <c r="I1" s="276"/>
      <c r="J1" s="276"/>
      <c r="K1" s="276"/>
      <c r="L1" s="276"/>
      <c r="M1" s="276"/>
      <c r="N1" s="276"/>
      <c r="O1" s="276"/>
      <c r="P1" s="276"/>
      <c r="Q1" s="276"/>
    </row>
    <row r="2" spans="1:17" s="173" customFormat="1" ht="14.45" customHeight="1" thickBot="1" x14ac:dyDescent="0.25">
      <c r="A2" s="192" t="s">
        <v>208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</row>
    <row r="3" spans="1:17" ht="14.45" customHeight="1" x14ac:dyDescent="0.2">
      <c r="A3" s="59"/>
      <c r="B3" s="289" t="s">
        <v>5</v>
      </c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109"/>
      <c r="Q3" s="111"/>
    </row>
    <row r="4" spans="1:17" ht="14.45" customHeight="1" x14ac:dyDescent="0.2">
      <c r="A4" s="60"/>
      <c r="B4" s="20">
        <v>2019</v>
      </c>
      <c r="C4" s="110" t="s">
        <v>6</v>
      </c>
      <c r="D4" s="211" t="s">
        <v>188</v>
      </c>
      <c r="E4" s="211" t="s">
        <v>189</v>
      </c>
      <c r="F4" s="211" t="s">
        <v>190</v>
      </c>
      <c r="G4" s="211" t="s">
        <v>191</v>
      </c>
      <c r="H4" s="211" t="s">
        <v>192</v>
      </c>
      <c r="I4" s="211" t="s">
        <v>193</v>
      </c>
      <c r="J4" s="211" t="s">
        <v>194</v>
      </c>
      <c r="K4" s="211" t="s">
        <v>195</v>
      </c>
      <c r="L4" s="211" t="s">
        <v>196</v>
      </c>
      <c r="M4" s="211" t="s">
        <v>197</v>
      </c>
      <c r="N4" s="211" t="s">
        <v>198</v>
      </c>
      <c r="O4" s="211" t="s">
        <v>199</v>
      </c>
      <c r="P4" s="291" t="s">
        <v>3</v>
      </c>
      <c r="Q4" s="292"/>
    </row>
    <row r="5" spans="1:17" ht="14.45" customHeight="1" thickBot="1" x14ac:dyDescent="0.25">
      <c r="A5" s="61"/>
      <c r="B5" s="21" t="s">
        <v>7</v>
      </c>
      <c r="C5" s="22" t="s">
        <v>7</v>
      </c>
      <c r="D5" s="22" t="s">
        <v>8</v>
      </c>
      <c r="E5" s="22" t="s">
        <v>8</v>
      </c>
      <c r="F5" s="22" t="s">
        <v>8</v>
      </c>
      <c r="G5" s="22" t="s">
        <v>8</v>
      </c>
      <c r="H5" s="22" t="s">
        <v>8</v>
      </c>
      <c r="I5" s="22" t="s">
        <v>8</v>
      </c>
      <c r="J5" s="22" t="s">
        <v>8</v>
      </c>
      <c r="K5" s="22" t="s">
        <v>8</v>
      </c>
      <c r="L5" s="22" t="s">
        <v>8</v>
      </c>
      <c r="M5" s="22" t="s">
        <v>8</v>
      </c>
      <c r="N5" s="22" t="s">
        <v>8</v>
      </c>
      <c r="O5" s="22" t="s">
        <v>8</v>
      </c>
      <c r="P5" s="22" t="s">
        <v>8</v>
      </c>
      <c r="Q5" s="23" t="s">
        <v>9</v>
      </c>
    </row>
    <row r="6" spans="1:17" ht="14.45" customHeight="1" x14ac:dyDescent="0.2">
      <c r="A6" s="14" t="s">
        <v>10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9" t="s">
        <v>209</v>
      </c>
    </row>
    <row r="7" spans="1:17" ht="14.45" customHeight="1" x14ac:dyDescent="0.2">
      <c r="A7" s="15" t="s">
        <v>11</v>
      </c>
      <c r="B7" s="46">
        <v>1</v>
      </c>
      <c r="C7" s="47">
        <v>8.3333333332999998E-2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70">
        <v>0</v>
      </c>
    </row>
    <row r="8" spans="1:17" ht="14.45" customHeight="1" x14ac:dyDescent="0.2">
      <c r="A8" s="15" t="s">
        <v>12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0" t="s">
        <v>209</v>
      </c>
    </row>
    <row r="9" spans="1:17" ht="14.45" customHeight="1" x14ac:dyDescent="0.2">
      <c r="A9" s="15" t="s">
        <v>13</v>
      </c>
      <c r="B9" s="46">
        <v>0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0</v>
      </c>
      <c r="Q9" s="70" t="s">
        <v>209</v>
      </c>
    </row>
    <row r="10" spans="1:17" ht="14.45" customHeight="1" x14ac:dyDescent="0.2">
      <c r="A10" s="15" t="s">
        <v>14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0" t="s">
        <v>209</v>
      </c>
    </row>
    <row r="11" spans="1:17" ht="14.45" customHeight="1" x14ac:dyDescent="0.2">
      <c r="A11" s="15" t="s">
        <v>15</v>
      </c>
      <c r="B11" s="46">
        <v>74.495149576911999</v>
      </c>
      <c r="C11" s="47">
        <v>6.2079291314090002</v>
      </c>
      <c r="D11" s="47">
        <v>0.70272000000000001</v>
      </c>
      <c r="E11" s="47">
        <v>6.6210000000000005E-2</v>
      </c>
      <c r="F11" s="47">
        <v>0.46040999999900001</v>
      </c>
      <c r="G11" s="47">
        <v>0.907499999999</v>
      </c>
      <c r="H11" s="47">
        <v>0</v>
      </c>
      <c r="I11" s="47">
        <v>6.661009999999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8.7978499999990003</v>
      </c>
      <c r="Q11" s="70">
        <v>0.23619927068900001</v>
      </c>
    </row>
    <row r="12" spans="1:17" ht="14.45" customHeight="1" x14ac:dyDescent="0.2">
      <c r="A12" s="15" t="s">
        <v>16</v>
      </c>
      <c r="B12" s="46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70" t="s">
        <v>209</v>
      </c>
    </row>
    <row r="13" spans="1:17" ht="14.45" customHeight="1" x14ac:dyDescent="0.2">
      <c r="A13" s="15" t="s">
        <v>17</v>
      </c>
      <c r="B13" s="46">
        <v>0</v>
      </c>
      <c r="C13" s="47">
        <v>0</v>
      </c>
      <c r="D13" s="47">
        <v>0</v>
      </c>
      <c r="E13" s="47">
        <v>0.31218000000000001</v>
      </c>
      <c r="F13" s="47">
        <v>0.31217999999899998</v>
      </c>
      <c r="G13" s="47">
        <v>0</v>
      </c>
      <c r="H13" s="47">
        <v>0.63402999999999998</v>
      </c>
      <c r="I13" s="47">
        <v>0.88570999999900002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2.1440999999999999</v>
      </c>
      <c r="Q13" s="70" t="s">
        <v>209</v>
      </c>
    </row>
    <row r="14" spans="1:17" ht="14.45" customHeight="1" x14ac:dyDescent="0.2">
      <c r="A14" s="15" t="s">
        <v>18</v>
      </c>
      <c r="B14" s="46">
        <v>92.316108645998</v>
      </c>
      <c r="C14" s="47">
        <v>7.6930090538330003</v>
      </c>
      <c r="D14" s="47">
        <v>11.992000000000001</v>
      </c>
      <c r="E14" s="47">
        <v>9.5280000000000005</v>
      </c>
      <c r="F14" s="47">
        <v>8.7559999999990001</v>
      </c>
      <c r="G14" s="47">
        <v>7.1139999999989998</v>
      </c>
      <c r="H14" s="47">
        <v>6.7039999999999997</v>
      </c>
      <c r="I14" s="47">
        <v>5.079999999999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49.173999999999999</v>
      </c>
      <c r="Q14" s="70">
        <v>1.0653395322050001</v>
      </c>
    </row>
    <row r="15" spans="1:17" ht="14.45" customHeight="1" x14ac:dyDescent="0.2">
      <c r="A15" s="15" t="s">
        <v>19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0" t="s">
        <v>209</v>
      </c>
    </row>
    <row r="16" spans="1:17" ht="14.45" customHeight="1" x14ac:dyDescent="0.2">
      <c r="A16" s="15" t="s">
        <v>20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0" t="s">
        <v>209</v>
      </c>
    </row>
    <row r="17" spans="1:17" ht="14.45" customHeight="1" x14ac:dyDescent="0.2">
      <c r="A17" s="15" t="s">
        <v>21</v>
      </c>
      <c r="B17" s="46">
        <v>2.8046638596740001</v>
      </c>
      <c r="C17" s="47">
        <v>0.23372198830599999</v>
      </c>
      <c r="D17" s="47">
        <v>0</v>
      </c>
      <c r="E17" s="47">
        <v>0</v>
      </c>
      <c r="F17" s="47">
        <v>1.15499</v>
      </c>
      <c r="G17" s="47">
        <v>0</v>
      </c>
      <c r="H17" s="47">
        <v>4.03172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5.1867099999999997</v>
      </c>
      <c r="Q17" s="70">
        <v>3.6986321780470002</v>
      </c>
    </row>
    <row r="18" spans="1:17" ht="14.45" customHeight="1" x14ac:dyDescent="0.2">
      <c r="A18" s="15" t="s">
        <v>22</v>
      </c>
      <c r="B18" s="46">
        <v>0</v>
      </c>
      <c r="C18" s="47">
        <v>0</v>
      </c>
      <c r="D18" s="47">
        <v>1.7869999999999999</v>
      </c>
      <c r="E18" s="47">
        <v>1.1160000000000001</v>
      </c>
      <c r="F18" s="47">
        <v>4.6319999999989996</v>
      </c>
      <c r="G18" s="47">
        <v>4.2779999999990004</v>
      </c>
      <c r="H18" s="47">
        <v>6.6870000000000003</v>
      </c>
      <c r="I18" s="47">
        <v>6.2149999999989998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24.715</v>
      </c>
      <c r="Q18" s="70" t="s">
        <v>209</v>
      </c>
    </row>
    <row r="19" spans="1:17" ht="14.45" customHeight="1" x14ac:dyDescent="0.2">
      <c r="A19" s="15" t="s">
        <v>23</v>
      </c>
      <c r="B19" s="46">
        <v>60.217706440549001</v>
      </c>
      <c r="C19" s="47">
        <v>5.018142203379</v>
      </c>
      <c r="D19" s="47">
        <v>5.1551499999999999</v>
      </c>
      <c r="E19" s="47">
        <v>5.1396100000000002</v>
      </c>
      <c r="F19" s="47">
        <v>4.3548599999990003</v>
      </c>
      <c r="G19" s="47">
        <v>3.8942099999990001</v>
      </c>
      <c r="H19" s="47">
        <v>4.4929300000000003</v>
      </c>
      <c r="I19" s="47">
        <v>4.3896399999989999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27.426400000000001</v>
      </c>
      <c r="Q19" s="70">
        <v>0.91090815712399997</v>
      </c>
    </row>
    <row r="20" spans="1:17" ht="14.45" customHeight="1" x14ac:dyDescent="0.2">
      <c r="A20" s="15" t="s">
        <v>24</v>
      </c>
      <c r="B20" s="46">
        <v>8353.7184920000109</v>
      </c>
      <c r="C20" s="47">
        <v>696.14320766666697</v>
      </c>
      <c r="D20" s="47">
        <v>733.78085000000203</v>
      </c>
      <c r="E20" s="47">
        <v>719.53397000000098</v>
      </c>
      <c r="F20" s="47">
        <v>721.93619999999805</v>
      </c>
      <c r="G20" s="47">
        <v>728.79235999999696</v>
      </c>
      <c r="H20" s="47">
        <v>736.47753999999998</v>
      </c>
      <c r="I20" s="47">
        <v>679.48046999999804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4320.0013899999904</v>
      </c>
      <c r="Q20" s="70">
        <v>1.0342702819430001</v>
      </c>
    </row>
    <row r="21" spans="1:17" ht="14.45" customHeight="1" x14ac:dyDescent="0.2">
      <c r="A21" s="16" t="s">
        <v>25</v>
      </c>
      <c r="B21" s="46">
        <v>45.999999999998998</v>
      </c>
      <c r="C21" s="47">
        <v>3.833333333333</v>
      </c>
      <c r="D21" s="47">
        <v>3.8976899999999999</v>
      </c>
      <c r="E21" s="47">
        <v>3.8976899999999999</v>
      </c>
      <c r="F21" s="47">
        <v>3.8976899999989998</v>
      </c>
      <c r="G21" s="47">
        <v>3.7896899999990001</v>
      </c>
      <c r="H21" s="47">
        <v>3.78965</v>
      </c>
      <c r="I21" s="47">
        <v>3.7896499999989999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23.062059999999999</v>
      </c>
      <c r="Q21" s="70">
        <v>1.002698260869</v>
      </c>
    </row>
    <row r="22" spans="1:17" ht="14.45" customHeight="1" x14ac:dyDescent="0.2">
      <c r="A22" s="15" t="s">
        <v>26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8.7119999999989997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8.7119999999989997</v>
      </c>
      <c r="Q22" s="70" t="s">
        <v>209</v>
      </c>
    </row>
    <row r="23" spans="1:17" ht="14.45" customHeight="1" x14ac:dyDescent="0.2">
      <c r="A23" s="16" t="s">
        <v>27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0" t="s">
        <v>209</v>
      </c>
    </row>
    <row r="24" spans="1:17" ht="14.45" customHeight="1" x14ac:dyDescent="0.2">
      <c r="A24" s="16" t="s">
        <v>28</v>
      </c>
      <c r="B24" s="46">
        <v>0</v>
      </c>
      <c r="C24" s="47">
        <v>1.13686837721616E-13</v>
      </c>
      <c r="D24" s="47">
        <v>5.1219999999999999</v>
      </c>
      <c r="E24" s="47">
        <v>4.2899999999989999</v>
      </c>
      <c r="F24" s="47">
        <v>19.489999999999998</v>
      </c>
      <c r="G24" s="47">
        <v>10.199999999999999</v>
      </c>
      <c r="H24" s="47">
        <v>17.989999999999998</v>
      </c>
      <c r="I24" s="47">
        <v>13.64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70.731999999999999</v>
      </c>
      <c r="Q24" s="70"/>
    </row>
    <row r="25" spans="1:17" ht="14.45" customHeight="1" x14ac:dyDescent="0.2">
      <c r="A25" s="17" t="s">
        <v>29</v>
      </c>
      <c r="B25" s="49">
        <v>8630.5521205231507</v>
      </c>
      <c r="C25" s="50">
        <v>719.21267671026203</v>
      </c>
      <c r="D25" s="50">
        <v>762.43741000000205</v>
      </c>
      <c r="E25" s="50">
        <v>743.88366000000099</v>
      </c>
      <c r="F25" s="50">
        <v>764.99432999999794</v>
      </c>
      <c r="G25" s="50">
        <v>767.68775999999696</v>
      </c>
      <c r="H25" s="50">
        <v>780.80687</v>
      </c>
      <c r="I25" s="50">
        <v>720.14147999999796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4539.9515099999999</v>
      </c>
      <c r="Q25" s="71">
        <v>1.052065139425</v>
      </c>
    </row>
    <row r="26" spans="1:17" ht="14.45" customHeight="1" x14ac:dyDescent="0.2">
      <c r="A26" s="15" t="s">
        <v>30</v>
      </c>
      <c r="B26" s="46">
        <v>1101.8477241421599</v>
      </c>
      <c r="C26" s="47">
        <v>91.820643678512994</v>
      </c>
      <c r="D26" s="47">
        <v>90.016080000000002</v>
      </c>
      <c r="E26" s="47">
        <v>101.42375</v>
      </c>
      <c r="F26" s="47">
        <v>87.529750000000007</v>
      </c>
      <c r="G26" s="47">
        <v>111.49621</v>
      </c>
      <c r="H26" s="47">
        <v>91.773470000000003</v>
      </c>
      <c r="I26" s="47">
        <v>123.44385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605.68311000000006</v>
      </c>
      <c r="Q26" s="70">
        <v>1.099395309767</v>
      </c>
    </row>
    <row r="27" spans="1:17" ht="14.45" customHeight="1" x14ac:dyDescent="0.2">
      <c r="A27" s="18" t="s">
        <v>31</v>
      </c>
      <c r="B27" s="49">
        <v>9732.3998446653095</v>
      </c>
      <c r="C27" s="50">
        <v>811.03332038877602</v>
      </c>
      <c r="D27" s="50">
        <v>852.45349000000203</v>
      </c>
      <c r="E27" s="50">
        <v>845.30741000000103</v>
      </c>
      <c r="F27" s="50">
        <v>852.52407999999798</v>
      </c>
      <c r="G27" s="50">
        <v>879.18396999999698</v>
      </c>
      <c r="H27" s="50">
        <v>872.58033999999998</v>
      </c>
      <c r="I27" s="50">
        <v>843.58532999999795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5145.6346199999998</v>
      </c>
      <c r="Q27" s="71">
        <v>1.05742359585</v>
      </c>
    </row>
    <row r="28" spans="1:17" ht="14.45" customHeight="1" x14ac:dyDescent="0.2">
      <c r="A28" s="16" t="s">
        <v>32</v>
      </c>
      <c r="B28" s="46">
        <v>31.103853884953999</v>
      </c>
      <c r="C28" s="47">
        <v>2.5919878237459999</v>
      </c>
      <c r="D28" s="47">
        <v>0</v>
      </c>
      <c r="E28" s="47">
        <v>0</v>
      </c>
      <c r="F28" s="47">
        <v>0</v>
      </c>
      <c r="G28" s="47">
        <v>0</v>
      </c>
      <c r="H28" s="47">
        <v>0.27500000000000002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0.27500000000000002</v>
      </c>
      <c r="Q28" s="70">
        <v>1.7682696235E-2</v>
      </c>
    </row>
    <row r="29" spans="1:17" ht="14.45" customHeight="1" x14ac:dyDescent="0.2">
      <c r="A29" s="16" t="s">
        <v>33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0" t="s">
        <v>209</v>
      </c>
    </row>
    <row r="30" spans="1:17" ht="14.45" customHeight="1" x14ac:dyDescent="0.2">
      <c r="A30" s="16" t="s">
        <v>34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0">
        <v>0</v>
      </c>
    </row>
    <row r="31" spans="1:17" ht="14.45" customHeight="1" thickBot="1" x14ac:dyDescent="0.25">
      <c r="A31" s="19" t="s">
        <v>35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2" t="s">
        <v>209</v>
      </c>
    </row>
    <row r="32" spans="1:17" ht="14.45" customHeight="1" x14ac:dyDescent="0.2"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</row>
    <row r="33" spans="1:17" ht="14.45" customHeight="1" x14ac:dyDescent="0.2">
      <c r="A33" s="85" t="s">
        <v>113</v>
      </c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</row>
    <row r="34" spans="1:17" ht="14.45" customHeight="1" x14ac:dyDescent="0.2">
      <c r="A34" s="107" t="s">
        <v>186</v>
      </c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</row>
    <row r="35" spans="1:17" ht="14.45" customHeight="1" x14ac:dyDescent="0.2">
      <c r="A35" s="108" t="s">
        <v>36</v>
      </c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3A8A6FE2-0E1E-45A4-8B2D-B4B81C512740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K13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01" customWidth="1"/>
    <col min="2" max="11" width="10" style="101" customWidth="1"/>
    <col min="12" max="16384" width="8.85546875" style="101"/>
  </cols>
  <sheetData>
    <row r="1" spans="1:11" s="55" customFormat="1" ht="18.600000000000001" customHeight="1" thickBot="1" x14ac:dyDescent="0.35">
      <c r="A1" s="288" t="s">
        <v>37</v>
      </c>
      <c r="B1" s="288"/>
      <c r="C1" s="288"/>
      <c r="D1" s="288"/>
      <c r="E1" s="288"/>
      <c r="F1" s="288"/>
      <c r="G1" s="288"/>
      <c r="H1" s="293"/>
      <c r="I1" s="293"/>
      <c r="J1" s="293"/>
      <c r="K1" s="293"/>
    </row>
    <row r="2" spans="1:11" s="55" customFormat="1" ht="14.45" customHeight="1" thickBot="1" x14ac:dyDescent="0.25">
      <c r="A2" s="192" t="s">
        <v>208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5" customHeight="1" x14ac:dyDescent="0.2">
      <c r="A3" s="59"/>
      <c r="B3" s="289" t="s">
        <v>38</v>
      </c>
      <c r="C3" s="290"/>
      <c r="D3" s="290"/>
      <c r="E3" s="290"/>
      <c r="F3" s="296" t="s">
        <v>39</v>
      </c>
      <c r="G3" s="290"/>
      <c r="H3" s="290"/>
      <c r="I3" s="290"/>
      <c r="J3" s="290"/>
      <c r="K3" s="297"/>
    </row>
    <row r="4" spans="1:11" ht="14.45" customHeight="1" x14ac:dyDescent="0.2">
      <c r="A4" s="60"/>
      <c r="B4" s="294"/>
      <c r="C4" s="295"/>
      <c r="D4" s="295"/>
      <c r="E4" s="295"/>
      <c r="F4" s="298" t="s">
        <v>204</v>
      </c>
      <c r="G4" s="300" t="s">
        <v>40</v>
      </c>
      <c r="H4" s="112" t="s">
        <v>105</v>
      </c>
      <c r="I4" s="298" t="s">
        <v>41</v>
      </c>
      <c r="J4" s="300" t="s">
        <v>206</v>
      </c>
      <c r="K4" s="301" t="s">
        <v>207</v>
      </c>
    </row>
    <row r="5" spans="1:11" ht="39" thickBot="1" x14ac:dyDescent="0.25">
      <c r="A5" s="61"/>
      <c r="B5" s="24" t="s">
        <v>200</v>
      </c>
      <c r="C5" s="25" t="s">
        <v>201</v>
      </c>
      <c r="D5" s="26" t="s">
        <v>202</v>
      </c>
      <c r="E5" s="26" t="s">
        <v>203</v>
      </c>
      <c r="F5" s="299"/>
      <c r="G5" s="299"/>
      <c r="H5" s="25" t="s">
        <v>205</v>
      </c>
      <c r="I5" s="299"/>
      <c r="J5" s="299"/>
      <c r="K5" s="302"/>
    </row>
    <row r="6" spans="1:11" ht="14.45" customHeight="1" thickBot="1" x14ac:dyDescent="0.25">
      <c r="A6" s="387" t="s">
        <v>211</v>
      </c>
      <c r="B6" s="369">
        <v>8683.6446203580508</v>
      </c>
      <c r="C6" s="369">
        <v>9038.0078900000208</v>
      </c>
      <c r="D6" s="370">
        <v>354.36326964196502</v>
      </c>
      <c r="E6" s="371">
        <v>1.0408081266710001</v>
      </c>
      <c r="F6" s="369">
        <v>8630.5521205231507</v>
      </c>
      <c r="G6" s="370">
        <v>4315.2760602615699</v>
      </c>
      <c r="H6" s="372">
        <v>720.14147999999796</v>
      </c>
      <c r="I6" s="369">
        <v>4539.9515099999999</v>
      </c>
      <c r="J6" s="370">
        <v>224.675449738423</v>
      </c>
      <c r="K6" s="373">
        <v>0.52603256971199996</v>
      </c>
    </row>
    <row r="7" spans="1:11" ht="14.45" customHeight="1" thickBot="1" x14ac:dyDescent="0.25">
      <c r="A7" s="388" t="s">
        <v>212</v>
      </c>
      <c r="B7" s="369">
        <v>171.72861099517601</v>
      </c>
      <c r="C7" s="369">
        <v>167.68790000000001</v>
      </c>
      <c r="D7" s="370">
        <v>-4.040710995175</v>
      </c>
      <c r="E7" s="371">
        <v>0.97647036814699995</v>
      </c>
      <c r="F7" s="369">
        <v>167.81125822291099</v>
      </c>
      <c r="G7" s="370">
        <v>83.905629111454999</v>
      </c>
      <c r="H7" s="372">
        <v>12.626720000000001</v>
      </c>
      <c r="I7" s="369">
        <v>60.247949999999001</v>
      </c>
      <c r="J7" s="370">
        <v>-23.657679111455</v>
      </c>
      <c r="K7" s="373">
        <v>0.359022098028</v>
      </c>
    </row>
    <row r="8" spans="1:11" ht="14.45" customHeight="1" thickBot="1" x14ac:dyDescent="0.25">
      <c r="A8" s="389" t="s">
        <v>213</v>
      </c>
      <c r="B8" s="369">
        <v>86.895379072704003</v>
      </c>
      <c r="C8" s="369">
        <v>84.870900000000006</v>
      </c>
      <c r="D8" s="370">
        <v>-2.0244790727040001</v>
      </c>
      <c r="E8" s="371">
        <v>0.976702108969</v>
      </c>
      <c r="F8" s="369">
        <v>75.495149576911999</v>
      </c>
      <c r="G8" s="370">
        <v>37.747574788455999</v>
      </c>
      <c r="H8" s="372">
        <v>7.5467199999989996</v>
      </c>
      <c r="I8" s="369">
        <v>11.07395</v>
      </c>
      <c r="J8" s="370">
        <v>-26.673624788455999</v>
      </c>
      <c r="K8" s="373">
        <v>0.146684258022</v>
      </c>
    </row>
    <row r="9" spans="1:11" ht="14.45" customHeight="1" thickBot="1" x14ac:dyDescent="0.25">
      <c r="A9" s="390" t="s">
        <v>214</v>
      </c>
      <c r="B9" s="374">
        <v>0</v>
      </c>
      <c r="C9" s="374">
        <v>0.96404000000000001</v>
      </c>
      <c r="D9" s="375">
        <v>0.96404000000000001</v>
      </c>
      <c r="E9" s="376" t="s">
        <v>215</v>
      </c>
      <c r="F9" s="374">
        <v>1</v>
      </c>
      <c r="G9" s="375">
        <v>0.5</v>
      </c>
      <c r="H9" s="377">
        <v>0</v>
      </c>
      <c r="I9" s="374">
        <v>0</v>
      </c>
      <c r="J9" s="375">
        <v>-0.5</v>
      </c>
      <c r="K9" s="378">
        <v>0</v>
      </c>
    </row>
    <row r="10" spans="1:11" ht="14.45" customHeight="1" thickBot="1" x14ac:dyDescent="0.25">
      <c r="A10" s="391" t="s">
        <v>216</v>
      </c>
      <c r="B10" s="369">
        <v>0</v>
      </c>
      <c r="C10" s="369">
        <v>0.96404000000000001</v>
      </c>
      <c r="D10" s="370">
        <v>0.96404000000000001</v>
      </c>
      <c r="E10" s="379" t="s">
        <v>215</v>
      </c>
      <c r="F10" s="369">
        <v>1</v>
      </c>
      <c r="G10" s="370">
        <v>0.5</v>
      </c>
      <c r="H10" s="372">
        <v>0</v>
      </c>
      <c r="I10" s="369">
        <v>0</v>
      </c>
      <c r="J10" s="370">
        <v>-0.5</v>
      </c>
      <c r="K10" s="373">
        <v>0</v>
      </c>
    </row>
    <row r="11" spans="1:11" ht="14.45" customHeight="1" thickBot="1" x14ac:dyDescent="0.25">
      <c r="A11" s="390" t="s">
        <v>217</v>
      </c>
      <c r="B11" s="374">
        <v>0</v>
      </c>
      <c r="C11" s="374">
        <v>4.7940000000000003E-2</v>
      </c>
      <c r="D11" s="375">
        <v>4.7940000000000003E-2</v>
      </c>
      <c r="E11" s="376" t="s">
        <v>215</v>
      </c>
      <c r="F11" s="374">
        <v>0</v>
      </c>
      <c r="G11" s="375">
        <v>0</v>
      </c>
      <c r="H11" s="377">
        <v>0</v>
      </c>
      <c r="I11" s="374">
        <v>0</v>
      </c>
      <c r="J11" s="375">
        <v>0</v>
      </c>
      <c r="K11" s="380" t="s">
        <v>209</v>
      </c>
    </row>
    <row r="12" spans="1:11" ht="14.45" customHeight="1" thickBot="1" x14ac:dyDescent="0.25">
      <c r="A12" s="391" t="s">
        <v>218</v>
      </c>
      <c r="B12" s="369">
        <v>0</v>
      </c>
      <c r="C12" s="369">
        <v>4.7940000000000003E-2</v>
      </c>
      <c r="D12" s="370">
        <v>4.7940000000000003E-2</v>
      </c>
      <c r="E12" s="379" t="s">
        <v>215</v>
      </c>
      <c r="F12" s="369">
        <v>0</v>
      </c>
      <c r="G12" s="370">
        <v>0</v>
      </c>
      <c r="H12" s="372">
        <v>0</v>
      </c>
      <c r="I12" s="369">
        <v>0</v>
      </c>
      <c r="J12" s="370">
        <v>0</v>
      </c>
      <c r="K12" s="381" t="s">
        <v>209</v>
      </c>
    </row>
    <row r="13" spans="1:11" ht="14.45" customHeight="1" thickBot="1" x14ac:dyDescent="0.25">
      <c r="A13" s="390" t="s">
        <v>219</v>
      </c>
      <c r="B13" s="374">
        <v>80.332166567963995</v>
      </c>
      <c r="C13" s="374">
        <v>76.714619999999996</v>
      </c>
      <c r="D13" s="375">
        <v>-3.6175465679640002</v>
      </c>
      <c r="E13" s="382">
        <v>0.95496764593100003</v>
      </c>
      <c r="F13" s="374">
        <v>74.495149576911999</v>
      </c>
      <c r="G13" s="375">
        <v>37.247574788455999</v>
      </c>
      <c r="H13" s="377">
        <v>6.661009999999</v>
      </c>
      <c r="I13" s="374">
        <v>8.7978499999990003</v>
      </c>
      <c r="J13" s="375">
        <v>-28.449724788455999</v>
      </c>
      <c r="K13" s="378">
        <v>0.118099635344</v>
      </c>
    </row>
    <row r="14" spans="1:11" ht="14.45" customHeight="1" thickBot="1" x14ac:dyDescent="0.25">
      <c r="A14" s="391" t="s">
        <v>220</v>
      </c>
      <c r="B14" s="369">
        <v>0</v>
      </c>
      <c r="C14" s="369">
        <v>1.1495</v>
      </c>
      <c r="D14" s="370">
        <v>1.1495</v>
      </c>
      <c r="E14" s="379" t="s">
        <v>209</v>
      </c>
      <c r="F14" s="369">
        <v>0</v>
      </c>
      <c r="G14" s="370">
        <v>0</v>
      </c>
      <c r="H14" s="372">
        <v>0.351999999999</v>
      </c>
      <c r="I14" s="369">
        <v>0.70399999999899998</v>
      </c>
      <c r="J14" s="370">
        <v>0.70399999999899998</v>
      </c>
      <c r="K14" s="381" t="s">
        <v>209</v>
      </c>
    </row>
    <row r="15" spans="1:11" ht="14.45" customHeight="1" thickBot="1" x14ac:dyDescent="0.25">
      <c r="A15" s="391" t="s">
        <v>221</v>
      </c>
      <c r="B15" s="369">
        <v>1</v>
      </c>
      <c r="C15" s="369">
        <v>1.883</v>
      </c>
      <c r="D15" s="370">
        <v>0.88300000000000001</v>
      </c>
      <c r="E15" s="371">
        <v>1.883</v>
      </c>
      <c r="F15" s="369">
        <v>2</v>
      </c>
      <c r="G15" s="370">
        <v>1</v>
      </c>
      <c r="H15" s="372">
        <v>0.60983999999899996</v>
      </c>
      <c r="I15" s="369">
        <v>0.60983999999899996</v>
      </c>
      <c r="J15" s="370">
        <v>-0.39016000000000001</v>
      </c>
      <c r="K15" s="373">
        <v>0.30491999999899999</v>
      </c>
    </row>
    <row r="16" spans="1:11" ht="14.45" customHeight="1" thickBot="1" x14ac:dyDescent="0.25">
      <c r="A16" s="391" t="s">
        <v>222</v>
      </c>
      <c r="B16" s="369">
        <v>5</v>
      </c>
      <c r="C16" s="369">
        <v>2.9337</v>
      </c>
      <c r="D16" s="370">
        <v>-2.0663</v>
      </c>
      <c r="E16" s="371">
        <v>0.58674000000000004</v>
      </c>
      <c r="F16" s="369">
        <v>3</v>
      </c>
      <c r="G16" s="370">
        <v>1.5</v>
      </c>
      <c r="H16" s="372">
        <v>0</v>
      </c>
      <c r="I16" s="369">
        <v>0</v>
      </c>
      <c r="J16" s="370">
        <v>-1.5</v>
      </c>
      <c r="K16" s="373">
        <v>0</v>
      </c>
    </row>
    <row r="17" spans="1:11" ht="14.45" customHeight="1" thickBot="1" x14ac:dyDescent="0.25">
      <c r="A17" s="391" t="s">
        <v>223</v>
      </c>
      <c r="B17" s="369">
        <v>64.908027492928994</v>
      </c>
      <c r="C17" s="369">
        <v>60.750390000000003</v>
      </c>
      <c r="D17" s="370">
        <v>-4.1576374929290001</v>
      </c>
      <c r="E17" s="371">
        <v>0.93594571190099995</v>
      </c>
      <c r="F17" s="369">
        <v>60</v>
      </c>
      <c r="G17" s="370">
        <v>30</v>
      </c>
      <c r="H17" s="372">
        <v>4.389659999999</v>
      </c>
      <c r="I17" s="369">
        <v>4.8132499999989999</v>
      </c>
      <c r="J17" s="370">
        <v>-25.18675</v>
      </c>
      <c r="K17" s="373">
        <v>8.0220833332999994E-2</v>
      </c>
    </row>
    <row r="18" spans="1:11" ht="14.45" customHeight="1" thickBot="1" x14ac:dyDescent="0.25">
      <c r="A18" s="391" t="s">
        <v>224</v>
      </c>
      <c r="B18" s="369">
        <v>0.27425213025200001</v>
      </c>
      <c r="C18" s="369">
        <v>0</v>
      </c>
      <c r="D18" s="370">
        <v>-0.27425213025200001</v>
      </c>
      <c r="E18" s="371">
        <v>0</v>
      </c>
      <c r="F18" s="369">
        <v>0</v>
      </c>
      <c r="G18" s="370">
        <v>0</v>
      </c>
      <c r="H18" s="372">
        <v>0</v>
      </c>
      <c r="I18" s="369">
        <v>0</v>
      </c>
      <c r="J18" s="370">
        <v>0</v>
      </c>
      <c r="K18" s="373">
        <v>0</v>
      </c>
    </row>
    <row r="19" spans="1:11" ht="14.45" customHeight="1" thickBot="1" x14ac:dyDescent="0.25">
      <c r="A19" s="391" t="s">
        <v>225</v>
      </c>
      <c r="B19" s="369">
        <v>7.1498869447819997</v>
      </c>
      <c r="C19" s="369">
        <v>7.2011200000000004</v>
      </c>
      <c r="D19" s="370">
        <v>5.1233055217000001E-2</v>
      </c>
      <c r="E19" s="371">
        <v>1.0071655755690001</v>
      </c>
      <c r="F19" s="369">
        <v>6.4951495769119996</v>
      </c>
      <c r="G19" s="370">
        <v>3.2475747884559998</v>
      </c>
      <c r="H19" s="372">
        <v>0.45374999999900001</v>
      </c>
      <c r="I19" s="369">
        <v>1.8149999999990001</v>
      </c>
      <c r="J19" s="370">
        <v>-1.4325747884560001</v>
      </c>
      <c r="K19" s="373">
        <v>0.27943929212200003</v>
      </c>
    </row>
    <row r="20" spans="1:11" ht="14.45" customHeight="1" thickBot="1" x14ac:dyDescent="0.25">
      <c r="A20" s="391" t="s">
        <v>226</v>
      </c>
      <c r="B20" s="369">
        <v>2</v>
      </c>
      <c r="C20" s="369">
        <v>2.79691</v>
      </c>
      <c r="D20" s="370">
        <v>0.79691000000000001</v>
      </c>
      <c r="E20" s="371">
        <v>1.398455</v>
      </c>
      <c r="F20" s="369">
        <v>3</v>
      </c>
      <c r="G20" s="370">
        <v>1.5</v>
      </c>
      <c r="H20" s="372">
        <v>0.85575999999899999</v>
      </c>
      <c r="I20" s="369">
        <v>0.85575999999899999</v>
      </c>
      <c r="J20" s="370">
        <v>-0.64424000000000003</v>
      </c>
      <c r="K20" s="373">
        <v>0.28525333333300001</v>
      </c>
    </row>
    <row r="21" spans="1:11" ht="14.45" customHeight="1" thickBot="1" x14ac:dyDescent="0.25">
      <c r="A21" s="390" t="s">
        <v>227</v>
      </c>
      <c r="B21" s="374">
        <v>0.59468188385800003</v>
      </c>
      <c r="C21" s="374">
        <v>0.16800000000000001</v>
      </c>
      <c r="D21" s="375">
        <v>-0.42668188385799999</v>
      </c>
      <c r="E21" s="382">
        <v>0.28250398164099999</v>
      </c>
      <c r="F21" s="374">
        <v>0</v>
      </c>
      <c r="G21" s="375">
        <v>0</v>
      </c>
      <c r="H21" s="377">
        <v>0</v>
      </c>
      <c r="I21" s="374">
        <v>0</v>
      </c>
      <c r="J21" s="375">
        <v>0</v>
      </c>
      <c r="K21" s="378">
        <v>0</v>
      </c>
    </row>
    <row r="22" spans="1:11" ht="14.45" customHeight="1" thickBot="1" x14ac:dyDescent="0.25">
      <c r="A22" s="391" t="s">
        <v>228</v>
      </c>
      <c r="B22" s="369">
        <v>0.59468188385800003</v>
      </c>
      <c r="C22" s="369">
        <v>0.16800000000000001</v>
      </c>
      <c r="D22" s="370">
        <v>-0.42668188385799999</v>
      </c>
      <c r="E22" s="371">
        <v>0.28250398164099999</v>
      </c>
      <c r="F22" s="369">
        <v>0</v>
      </c>
      <c r="G22" s="370">
        <v>0</v>
      </c>
      <c r="H22" s="372">
        <v>0</v>
      </c>
      <c r="I22" s="369">
        <v>0</v>
      </c>
      <c r="J22" s="370">
        <v>0</v>
      </c>
      <c r="K22" s="373">
        <v>0</v>
      </c>
    </row>
    <row r="23" spans="1:11" ht="14.45" customHeight="1" thickBot="1" x14ac:dyDescent="0.25">
      <c r="A23" s="390" t="s">
        <v>229</v>
      </c>
      <c r="B23" s="374">
        <v>5.9685306208810003</v>
      </c>
      <c r="C23" s="374">
        <v>5.9363000000000001</v>
      </c>
      <c r="D23" s="375">
        <v>-3.2230620880999997E-2</v>
      </c>
      <c r="E23" s="382">
        <v>0.99459990692300004</v>
      </c>
      <c r="F23" s="374">
        <v>0</v>
      </c>
      <c r="G23" s="375">
        <v>0</v>
      </c>
      <c r="H23" s="377">
        <v>0.88570999999900002</v>
      </c>
      <c r="I23" s="374">
        <v>2.1440999999999999</v>
      </c>
      <c r="J23" s="375">
        <v>2.1440999999999999</v>
      </c>
      <c r="K23" s="380" t="s">
        <v>209</v>
      </c>
    </row>
    <row r="24" spans="1:11" ht="14.45" customHeight="1" thickBot="1" x14ac:dyDescent="0.25">
      <c r="A24" s="391" t="s">
        <v>230</v>
      </c>
      <c r="B24" s="369">
        <v>5.9685306208810003</v>
      </c>
      <c r="C24" s="369">
        <v>5.9363000000000001</v>
      </c>
      <c r="D24" s="370">
        <v>-3.2230620880999997E-2</v>
      </c>
      <c r="E24" s="371">
        <v>0.99459990692300004</v>
      </c>
      <c r="F24" s="369">
        <v>0</v>
      </c>
      <c r="G24" s="370">
        <v>0</v>
      </c>
      <c r="H24" s="372">
        <v>0.88570999999900002</v>
      </c>
      <c r="I24" s="369">
        <v>2.1440999999999999</v>
      </c>
      <c r="J24" s="370">
        <v>2.1440999999999999</v>
      </c>
      <c r="K24" s="381" t="s">
        <v>209</v>
      </c>
    </row>
    <row r="25" spans="1:11" ht="14.45" customHeight="1" thickBot="1" x14ac:dyDescent="0.25">
      <c r="A25" s="390" t="s">
        <v>231</v>
      </c>
      <c r="B25" s="374">
        <v>0</v>
      </c>
      <c r="C25" s="374">
        <v>1.04</v>
      </c>
      <c r="D25" s="375">
        <v>1.04</v>
      </c>
      <c r="E25" s="376" t="s">
        <v>215</v>
      </c>
      <c r="F25" s="374">
        <v>0</v>
      </c>
      <c r="G25" s="375">
        <v>0</v>
      </c>
      <c r="H25" s="377">
        <v>0</v>
      </c>
      <c r="I25" s="374">
        <v>0.13200000000000001</v>
      </c>
      <c r="J25" s="375">
        <v>0.13200000000000001</v>
      </c>
      <c r="K25" s="380" t="s">
        <v>209</v>
      </c>
    </row>
    <row r="26" spans="1:11" ht="14.45" customHeight="1" thickBot="1" x14ac:dyDescent="0.25">
      <c r="A26" s="391" t="s">
        <v>232</v>
      </c>
      <c r="B26" s="369">
        <v>0</v>
      </c>
      <c r="C26" s="369">
        <v>1.04</v>
      </c>
      <c r="D26" s="370">
        <v>1.04</v>
      </c>
      <c r="E26" s="379" t="s">
        <v>215</v>
      </c>
      <c r="F26" s="369">
        <v>0</v>
      </c>
      <c r="G26" s="370">
        <v>0</v>
      </c>
      <c r="H26" s="372">
        <v>0</v>
      </c>
      <c r="I26" s="369">
        <v>0.13200000000000001</v>
      </c>
      <c r="J26" s="370">
        <v>0.13200000000000001</v>
      </c>
      <c r="K26" s="381" t="s">
        <v>209</v>
      </c>
    </row>
    <row r="27" spans="1:11" ht="14.45" customHeight="1" thickBot="1" x14ac:dyDescent="0.25">
      <c r="A27" s="389" t="s">
        <v>18</v>
      </c>
      <c r="B27" s="369">
        <v>84.833231922471001</v>
      </c>
      <c r="C27" s="369">
        <v>82.816999999999993</v>
      </c>
      <c r="D27" s="370">
        <v>-2.0162319224699998</v>
      </c>
      <c r="E27" s="371">
        <v>0.97623299411300002</v>
      </c>
      <c r="F27" s="369">
        <v>92.316108645998</v>
      </c>
      <c r="G27" s="370">
        <v>46.158054322999</v>
      </c>
      <c r="H27" s="372">
        <v>5.079999999999</v>
      </c>
      <c r="I27" s="369">
        <v>49.173999999999999</v>
      </c>
      <c r="J27" s="370">
        <v>3.0159456769999999</v>
      </c>
      <c r="K27" s="373">
        <v>0.53266976610200001</v>
      </c>
    </row>
    <row r="28" spans="1:11" ht="14.45" customHeight="1" thickBot="1" x14ac:dyDescent="0.25">
      <c r="A28" s="390" t="s">
        <v>233</v>
      </c>
      <c r="B28" s="374">
        <v>84.833231922471001</v>
      </c>
      <c r="C28" s="374">
        <v>82.816999999999993</v>
      </c>
      <c r="D28" s="375">
        <v>-2.0162319224699998</v>
      </c>
      <c r="E28" s="382">
        <v>0.97623299411300002</v>
      </c>
      <c r="F28" s="374">
        <v>92.316108645998</v>
      </c>
      <c r="G28" s="375">
        <v>46.158054322999</v>
      </c>
      <c r="H28" s="377">
        <v>5.079999999999</v>
      </c>
      <c r="I28" s="374">
        <v>49.173999999999999</v>
      </c>
      <c r="J28" s="375">
        <v>3.0159456769999999</v>
      </c>
      <c r="K28" s="378">
        <v>0.53266976610200001</v>
      </c>
    </row>
    <row r="29" spans="1:11" ht="14.45" customHeight="1" thickBot="1" x14ac:dyDescent="0.25">
      <c r="A29" s="391" t="s">
        <v>234</v>
      </c>
      <c r="B29" s="369">
        <v>14.388757762097001</v>
      </c>
      <c r="C29" s="369">
        <v>14.993</v>
      </c>
      <c r="D29" s="370">
        <v>0.60424223790200005</v>
      </c>
      <c r="E29" s="371">
        <v>1.0419940517370001</v>
      </c>
      <c r="F29" s="369">
        <v>19.631147523683001</v>
      </c>
      <c r="G29" s="370">
        <v>9.8155737618409997</v>
      </c>
      <c r="H29" s="372">
        <v>1.978999999999</v>
      </c>
      <c r="I29" s="369">
        <v>10.321</v>
      </c>
      <c r="J29" s="370">
        <v>0.50542623815800003</v>
      </c>
      <c r="K29" s="373">
        <v>0.52574613825000005</v>
      </c>
    </row>
    <row r="30" spans="1:11" ht="14.45" customHeight="1" thickBot="1" x14ac:dyDescent="0.25">
      <c r="A30" s="391" t="s">
        <v>235</v>
      </c>
      <c r="B30" s="369">
        <v>14.138305552174</v>
      </c>
      <c r="C30" s="369">
        <v>14.798999999999999</v>
      </c>
      <c r="D30" s="370">
        <v>0.66069444782499998</v>
      </c>
      <c r="E30" s="371">
        <v>1.0467308083969999</v>
      </c>
      <c r="F30" s="369">
        <v>14.598734861521001</v>
      </c>
      <c r="G30" s="370">
        <v>7.2993674307600003</v>
      </c>
      <c r="H30" s="372">
        <v>1.0629999999999999</v>
      </c>
      <c r="I30" s="369">
        <v>7.2729999999989996</v>
      </c>
      <c r="J30" s="370">
        <v>-2.6367430760000001E-2</v>
      </c>
      <c r="K30" s="373">
        <v>0.49819385508300001</v>
      </c>
    </row>
    <row r="31" spans="1:11" ht="14.45" customHeight="1" thickBot="1" x14ac:dyDescent="0.25">
      <c r="A31" s="391" t="s">
        <v>236</v>
      </c>
      <c r="B31" s="369">
        <v>56.306168608198</v>
      </c>
      <c r="C31" s="369">
        <v>53.024999999999999</v>
      </c>
      <c r="D31" s="370">
        <v>-3.281168608198</v>
      </c>
      <c r="E31" s="371">
        <v>0.94172630300799998</v>
      </c>
      <c r="F31" s="369">
        <v>58.086226260792998</v>
      </c>
      <c r="G31" s="370">
        <v>29.043113130396002</v>
      </c>
      <c r="H31" s="372">
        <v>2.0379999999990002</v>
      </c>
      <c r="I31" s="369">
        <v>31.58</v>
      </c>
      <c r="J31" s="370">
        <v>2.5368868696029998</v>
      </c>
      <c r="K31" s="373">
        <v>0.54367449966900006</v>
      </c>
    </row>
    <row r="32" spans="1:11" ht="14.45" customHeight="1" thickBot="1" x14ac:dyDescent="0.25">
      <c r="A32" s="392" t="s">
        <v>237</v>
      </c>
      <c r="B32" s="374">
        <v>61.599674290537003</v>
      </c>
      <c r="C32" s="374">
        <v>98.586119999999994</v>
      </c>
      <c r="D32" s="375">
        <v>36.986445709462998</v>
      </c>
      <c r="E32" s="382">
        <v>1.6004324882459999</v>
      </c>
      <c r="F32" s="374">
        <v>63.022370300223997</v>
      </c>
      <c r="G32" s="375">
        <v>31.511185150111999</v>
      </c>
      <c r="H32" s="377">
        <v>10.60464</v>
      </c>
      <c r="I32" s="374">
        <v>57.328109999999</v>
      </c>
      <c r="J32" s="375">
        <v>25.816924849886998</v>
      </c>
      <c r="K32" s="378">
        <v>0.90964699878599997</v>
      </c>
    </row>
    <row r="33" spans="1:11" ht="14.45" customHeight="1" thickBot="1" x14ac:dyDescent="0.25">
      <c r="A33" s="389" t="s">
        <v>21</v>
      </c>
      <c r="B33" s="369">
        <v>3.5310529482659998</v>
      </c>
      <c r="C33" s="369">
        <v>2.62052</v>
      </c>
      <c r="D33" s="370">
        <v>-0.91053294826599995</v>
      </c>
      <c r="E33" s="371">
        <v>0.74213557213400005</v>
      </c>
      <c r="F33" s="369">
        <v>2.8046638596740001</v>
      </c>
      <c r="G33" s="370">
        <v>1.4023319298370001</v>
      </c>
      <c r="H33" s="372">
        <v>0</v>
      </c>
      <c r="I33" s="369">
        <v>5.1867099999999997</v>
      </c>
      <c r="J33" s="370">
        <v>3.784378070162</v>
      </c>
      <c r="K33" s="373">
        <v>1.849316089023</v>
      </c>
    </row>
    <row r="34" spans="1:11" ht="14.45" customHeight="1" thickBot="1" x14ac:dyDescent="0.25">
      <c r="A34" s="393" t="s">
        <v>238</v>
      </c>
      <c r="B34" s="369">
        <v>3.5310529482659998</v>
      </c>
      <c r="C34" s="369">
        <v>2.62052</v>
      </c>
      <c r="D34" s="370">
        <v>-0.91053294826599995</v>
      </c>
      <c r="E34" s="371">
        <v>0.74213557213400005</v>
      </c>
      <c r="F34" s="369">
        <v>2.8046638596740001</v>
      </c>
      <c r="G34" s="370">
        <v>1.4023319298370001</v>
      </c>
      <c r="H34" s="372">
        <v>0</v>
      </c>
      <c r="I34" s="369">
        <v>5.1867099999999997</v>
      </c>
      <c r="J34" s="370">
        <v>3.784378070162</v>
      </c>
      <c r="K34" s="373">
        <v>1.849316089023</v>
      </c>
    </row>
    <row r="35" spans="1:11" ht="14.45" customHeight="1" thickBot="1" x14ac:dyDescent="0.25">
      <c r="A35" s="391" t="s">
        <v>239</v>
      </c>
      <c r="B35" s="369">
        <v>0</v>
      </c>
      <c r="C35" s="369">
        <v>1.0285</v>
      </c>
      <c r="D35" s="370">
        <v>1.0285</v>
      </c>
      <c r="E35" s="379" t="s">
        <v>215</v>
      </c>
      <c r="F35" s="369">
        <v>1.6650830003570001</v>
      </c>
      <c r="G35" s="370">
        <v>0.83254150017799999</v>
      </c>
      <c r="H35" s="372">
        <v>0</v>
      </c>
      <c r="I35" s="369">
        <v>4.03172</v>
      </c>
      <c r="J35" s="370">
        <v>3.199178499821</v>
      </c>
      <c r="K35" s="373">
        <v>2.4213327498589998</v>
      </c>
    </row>
    <row r="36" spans="1:11" ht="14.45" customHeight="1" thickBot="1" x14ac:dyDescent="0.25">
      <c r="A36" s="391" t="s">
        <v>240</v>
      </c>
      <c r="B36" s="369">
        <v>3.5310529482659998</v>
      </c>
      <c r="C36" s="369">
        <v>1.59202</v>
      </c>
      <c r="D36" s="370">
        <v>-1.939032948266</v>
      </c>
      <c r="E36" s="371">
        <v>0.45086268128000001</v>
      </c>
      <c r="F36" s="369">
        <v>1.1395808593159999</v>
      </c>
      <c r="G36" s="370">
        <v>0.56979042965799997</v>
      </c>
      <c r="H36" s="372">
        <v>0</v>
      </c>
      <c r="I36" s="369">
        <v>1.15499</v>
      </c>
      <c r="J36" s="370">
        <v>0.58519957034100001</v>
      </c>
      <c r="K36" s="373">
        <v>1.013521761582</v>
      </c>
    </row>
    <row r="37" spans="1:11" ht="14.45" customHeight="1" thickBot="1" x14ac:dyDescent="0.25">
      <c r="A37" s="394" t="s">
        <v>22</v>
      </c>
      <c r="B37" s="374">
        <v>0</v>
      </c>
      <c r="C37" s="374">
        <v>41.110999999999997</v>
      </c>
      <c r="D37" s="375">
        <v>41.110999999999997</v>
      </c>
      <c r="E37" s="376" t="s">
        <v>209</v>
      </c>
      <c r="F37" s="374">
        <v>0</v>
      </c>
      <c r="G37" s="375">
        <v>0</v>
      </c>
      <c r="H37" s="377">
        <v>6.2149999999989998</v>
      </c>
      <c r="I37" s="374">
        <v>24.715</v>
      </c>
      <c r="J37" s="375">
        <v>24.715</v>
      </c>
      <c r="K37" s="380" t="s">
        <v>209</v>
      </c>
    </row>
    <row r="38" spans="1:11" ht="14.45" customHeight="1" thickBot="1" x14ac:dyDescent="0.25">
      <c r="A38" s="390" t="s">
        <v>241</v>
      </c>
      <c r="B38" s="374">
        <v>0</v>
      </c>
      <c r="C38" s="374">
        <v>41.110999999999997</v>
      </c>
      <c r="D38" s="375">
        <v>41.110999999999997</v>
      </c>
      <c r="E38" s="376" t="s">
        <v>209</v>
      </c>
      <c r="F38" s="374">
        <v>0</v>
      </c>
      <c r="G38" s="375">
        <v>0</v>
      </c>
      <c r="H38" s="377">
        <v>6.2149999999989998</v>
      </c>
      <c r="I38" s="374">
        <v>24.715</v>
      </c>
      <c r="J38" s="375">
        <v>24.715</v>
      </c>
      <c r="K38" s="380" t="s">
        <v>209</v>
      </c>
    </row>
    <row r="39" spans="1:11" ht="14.45" customHeight="1" thickBot="1" x14ac:dyDescent="0.25">
      <c r="A39" s="391" t="s">
        <v>242</v>
      </c>
      <c r="B39" s="369">
        <v>0</v>
      </c>
      <c r="C39" s="369">
        <v>40.511000000000003</v>
      </c>
      <c r="D39" s="370">
        <v>40.511000000000003</v>
      </c>
      <c r="E39" s="379" t="s">
        <v>209</v>
      </c>
      <c r="F39" s="369">
        <v>0</v>
      </c>
      <c r="G39" s="370">
        <v>0</v>
      </c>
      <c r="H39" s="372">
        <v>6.2149999999989998</v>
      </c>
      <c r="I39" s="369">
        <v>23.598999999998998</v>
      </c>
      <c r="J39" s="370">
        <v>23.598999999998998</v>
      </c>
      <c r="K39" s="381" t="s">
        <v>209</v>
      </c>
    </row>
    <row r="40" spans="1:11" ht="14.45" customHeight="1" thickBot="1" x14ac:dyDescent="0.25">
      <c r="A40" s="391" t="s">
        <v>243</v>
      </c>
      <c r="B40" s="369">
        <v>0</v>
      </c>
      <c r="C40" s="369">
        <v>0.6</v>
      </c>
      <c r="D40" s="370">
        <v>0.6</v>
      </c>
      <c r="E40" s="379" t="s">
        <v>209</v>
      </c>
      <c r="F40" s="369">
        <v>0</v>
      </c>
      <c r="G40" s="370">
        <v>0</v>
      </c>
      <c r="H40" s="372">
        <v>0</v>
      </c>
      <c r="I40" s="369">
        <v>1.1160000000000001</v>
      </c>
      <c r="J40" s="370">
        <v>1.1160000000000001</v>
      </c>
      <c r="K40" s="381" t="s">
        <v>209</v>
      </c>
    </row>
    <row r="41" spans="1:11" ht="14.45" customHeight="1" thickBot="1" x14ac:dyDescent="0.25">
      <c r="A41" s="389" t="s">
        <v>23</v>
      </c>
      <c r="B41" s="369">
        <v>58.068621342269999</v>
      </c>
      <c r="C41" s="369">
        <v>54.854599999999998</v>
      </c>
      <c r="D41" s="370">
        <v>-3.2140213422700001</v>
      </c>
      <c r="E41" s="371">
        <v>0.94465132341699998</v>
      </c>
      <c r="F41" s="369">
        <v>60.217706440549001</v>
      </c>
      <c r="G41" s="370">
        <v>30.108853220275002</v>
      </c>
      <c r="H41" s="372">
        <v>4.3896399999989999</v>
      </c>
      <c r="I41" s="369">
        <v>27.426400000000001</v>
      </c>
      <c r="J41" s="370">
        <v>-2.6824532202750002</v>
      </c>
      <c r="K41" s="373">
        <v>0.45545407856199999</v>
      </c>
    </row>
    <row r="42" spans="1:11" ht="14.45" customHeight="1" thickBot="1" x14ac:dyDescent="0.25">
      <c r="A42" s="390" t="s">
        <v>244</v>
      </c>
      <c r="B42" s="374">
        <v>6.2104309664160002</v>
      </c>
      <c r="C42" s="374">
        <v>6.9417900000000001</v>
      </c>
      <c r="D42" s="375">
        <v>0.73135903358300003</v>
      </c>
      <c r="E42" s="382">
        <v>1.117763008322</v>
      </c>
      <c r="F42" s="374">
        <v>7.0738424542010003</v>
      </c>
      <c r="G42" s="375">
        <v>3.5369212271000001</v>
      </c>
      <c r="H42" s="377">
        <v>0.53721999999900005</v>
      </c>
      <c r="I42" s="374">
        <v>3.6309200000000001</v>
      </c>
      <c r="J42" s="375">
        <v>9.3998772898999994E-2</v>
      </c>
      <c r="K42" s="378">
        <v>0.51328821973399996</v>
      </c>
    </row>
    <row r="43" spans="1:11" ht="14.45" customHeight="1" thickBot="1" x14ac:dyDescent="0.25">
      <c r="A43" s="391" t="s">
        <v>245</v>
      </c>
      <c r="B43" s="369">
        <v>3.8327793762139999</v>
      </c>
      <c r="C43" s="369">
        <v>4.3526999999999996</v>
      </c>
      <c r="D43" s="370">
        <v>0.51992062378500004</v>
      </c>
      <c r="E43" s="371">
        <v>1.135651070085</v>
      </c>
      <c r="F43" s="369">
        <v>4.4709878795759996</v>
      </c>
      <c r="G43" s="370">
        <v>2.2354939397879998</v>
      </c>
      <c r="H43" s="372">
        <v>0.38909999999900002</v>
      </c>
      <c r="I43" s="369">
        <v>2.1833999999999998</v>
      </c>
      <c r="J43" s="370">
        <v>-5.2093939787999997E-2</v>
      </c>
      <c r="K43" s="373">
        <v>0.48834844978500003</v>
      </c>
    </row>
    <row r="44" spans="1:11" ht="14.45" customHeight="1" thickBot="1" x14ac:dyDescent="0.25">
      <c r="A44" s="391" t="s">
        <v>246</v>
      </c>
      <c r="B44" s="369">
        <v>2.3776515902009998</v>
      </c>
      <c r="C44" s="369">
        <v>2.5890900000000001</v>
      </c>
      <c r="D44" s="370">
        <v>0.21143840979799999</v>
      </c>
      <c r="E44" s="371">
        <v>1.088927415046</v>
      </c>
      <c r="F44" s="369">
        <v>2.6028545746240002</v>
      </c>
      <c r="G44" s="370">
        <v>1.3014272873120001</v>
      </c>
      <c r="H44" s="372">
        <v>0.148119999999</v>
      </c>
      <c r="I44" s="369">
        <v>1.4475199999999999</v>
      </c>
      <c r="J44" s="370">
        <v>0.146092712687</v>
      </c>
      <c r="K44" s="373">
        <v>0.556127881331</v>
      </c>
    </row>
    <row r="45" spans="1:11" ht="14.45" customHeight="1" thickBot="1" x14ac:dyDescent="0.25">
      <c r="A45" s="390" t="s">
        <v>247</v>
      </c>
      <c r="B45" s="374">
        <v>4.5430985915489996</v>
      </c>
      <c r="C45" s="374">
        <v>1.08</v>
      </c>
      <c r="D45" s="375">
        <v>-3.463098591549</v>
      </c>
      <c r="E45" s="382">
        <v>0.23772321428500001</v>
      </c>
      <c r="F45" s="374">
        <v>0.99999999999900002</v>
      </c>
      <c r="G45" s="375">
        <v>0.49999999999900002</v>
      </c>
      <c r="H45" s="377">
        <v>0</v>
      </c>
      <c r="I45" s="374">
        <v>0.53999999999899995</v>
      </c>
      <c r="J45" s="375">
        <v>0.04</v>
      </c>
      <c r="K45" s="378">
        <v>0.54</v>
      </c>
    </row>
    <row r="46" spans="1:11" ht="14.45" customHeight="1" thickBot="1" x14ac:dyDescent="0.25">
      <c r="A46" s="391" t="s">
        <v>248</v>
      </c>
      <c r="B46" s="369">
        <v>4.5430985915489996</v>
      </c>
      <c r="C46" s="369">
        <v>1.08</v>
      </c>
      <c r="D46" s="370">
        <v>-3.463098591549</v>
      </c>
      <c r="E46" s="371">
        <v>0.23772321428500001</v>
      </c>
      <c r="F46" s="369">
        <v>0.99999999999900002</v>
      </c>
      <c r="G46" s="370">
        <v>0.49999999999900002</v>
      </c>
      <c r="H46" s="372">
        <v>0</v>
      </c>
      <c r="I46" s="369">
        <v>0.53999999999899995</v>
      </c>
      <c r="J46" s="370">
        <v>0.04</v>
      </c>
      <c r="K46" s="373">
        <v>0.54</v>
      </c>
    </row>
    <row r="47" spans="1:11" ht="14.45" customHeight="1" thickBot="1" x14ac:dyDescent="0.25">
      <c r="A47" s="390" t="s">
        <v>249</v>
      </c>
      <c r="B47" s="374">
        <v>47.315091784304002</v>
      </c>
      <c r="C47" s="374">
        <v>40.245809999999999</v>
      </c>
      <c r="D47" s="375">
        <v>-7.0692817843039997</v>
      </c>
      <c r="E47" s="382">
        <v>0.850591396577</v>
      </c>
      <c r="F47" s="374">
        <v>42.324723686721001</v>
      </c>
      <c r="G47" s="375">
        <v>21.162361843359999</v>
      </c>
      <c r="H47" s="377">
        <v>3.8524199999989999</v>
      </c>
      <c r="I47" s="374">
        <v>23.255479999999999</v>
      </c>
      <c r="J47" s="375">
        <v>2.093118156639</v>
      </c>
      <c r="K47" s="378">
        <v>0.54945379377100001</v>
      </c>
    </row>
    <row r="48" spans="1:11" ht="14.45" customHeight="1" thickBot="1" x14ac:dyDescent="0.25">
      <c r="A48" s="391" t="s">
        <v>250</v>
      </c>
      <c r="B48" s="369">
        <v>47.315091784304002</v>
      </c>
      <c r="C48" s="369">
        <v>40.245809999999999</v>
      </c>
      <c r="D48" s="370">
        <v>-7.0692817843039997</v>
      </c>
      <c r="E48" s="371">
        <v>0.850591396577</v>
      </c>
      <c r="F48" s="369">
        <v>42.324723686721001</v>
      </c>
      <c r="G48" s="370">
        <v>21.162361843359999</v>
      </c>
      <c r="H48" s="372">
        <v>3.6741899999990002</v>
      </c>
      <c r="I48" s="369">
        <v>22.273399999999999</v>
      </c>
      <c r="J48" s="370">
        <v>1.111038156639</v>
      </c>
      <c r="K48" s="373">
        <v>0.52625033455199999</v>
      </c>
    </row>
    <row r="49" spans="1:11" ht="14.45" customHeight="1" thickBot="1" x14ac:dyDescent="0.25">
      <c r="A49" s="391" t="s">
        <v>251</v>
      </c>
      <c r="B49" s="369">
        <v>0</v>
      </c>
      <c r="C49" s="369">
        <v>0</v>
      </c>
      <c r="D49" s="370">
        <v>0</v>
      </c>
      <c r="E49" s="371">
        <v>1</v>
      </c>
      <c r="F49" s="369">
        <v>0</v>
      </c>
      <c r="G49" s="370">
        <v>0</v>
      </c>
      <c r="H49" s="372">
        <v>0.14519999999899999</v>
      </c>
      <c r="I49" s="369">
        <v>0.90144999999999997</v>
      </c>
      <c r="J49" s="370">
        <v>0.90144999999999997</v>
      </c>
      <c r="K49" s="381" t="s">
        <v>215</v>
      </c>
    </row>
    <row r="50" spans="1:11" ht="14.45" customHeight="1" thickBot="1" x14ac:dyDescent="0.25">
      <c r="A50" s="391" t="s">
        <v>252</v>
      </c>
      <c r="B50" s="369">
        <v>0</v>
      </c>
      <c r="C50" s="369">
        <v>0</v>
      </c>
      <c r="D50" s="370">
        <v>0</v>
      </c>
      <c r="E50" s="371">
        <v>1</v>
      </c>
      <c r="F50" s="369">
        <v>0</v>
      </c>
      <c r="G50" s="370">
        <v>0</v>
      </c>
      <c r="H50" s="372">
        <v>3.3029999998999998E-2</v>
      </c>
      <c r="I50" s="369">
        <v>8.0629999999000002E-2</v>
      </c>
      <c r="J50" s="370">
        <v>8.0629999999000002E-2</v>
      </c>
      <c r="K50" s="381" t="s">
        <v>215</v>
      </c>
    </row>
    <row r="51" spans="1:11" ht="14.45" customHeight="1" thickBot="1" x14ac:dyDescent="0.25">
      <c r="A51" s="390" t="s">
        <v>253</v>
      </c>
      <c r="B51" s="374">
        <v>0</v>
      </c>
      <c r="C51" s="374">
        <v>6.5869999999999997</v>
      </c>
      <c r="D51" s="375">
        <v>6.5869999999999997</v>
      </c>
      <c r="E51" s="376" t="s">
        <v>215</v>
      </c>
      <c r="F51" s="374">
        <v>9.8191402996259995</v>
      </c>
      <c r="G51" s="375">
        <v>4.9095701498129998</v>
      </c>
      <c r="H51" s="377">
        <v>0</v>
      </c>
      <c r="I51" s="374">
        <v>0</v>
      </c>
      <c r="J51" s="375">
        <v>-4.9095701498129998</v>
      </c>
      <c r="K51" s="378">
        <v>0</v>
      </c>
    </row>
    <row r="52" spans="1:11" ht="14.45" customHeight="1" thickBot="1" x14ac:dyDescent="0.25">
      <c r="A52" s="391" t="s">
        <v>254</v>
      </c>
      <c r="B52" s="369">
        <v>0</v>
      </c>
      <c r="C52" s="369">
        <v>6.5869999999999997</v>
      </c>
      <c r="D52" s="370">
        <v>6.5869999999999997</v>
      </c>
      <c r="E52" s="379" t="s">
        <v>215</v>
      </c>
      <c r="F52" s="369">
        <v>9.8191402996259995</v>
      </c>
      <c r="G52" s="370">
        <v>4.9095701498129998</v>
      </c>
      <c r="H52" s="372">
        <v>0</v>
      </c>
      <c r="I52" s="369">
        <v>0</v>
      </c>
      <c r="J52" s="370">
        <v>-4.9095701498129998</v>
      </c>
      <c r="K52" s="373">
        <v>0</v>
      </c>
    </row>
    <row r="53" spans="1:11" ht="14.45" customHeight="1" thickBot="1" x14ac:dyDescent="0.25">
      <c r="A53" s="388" t="s">
        <v>24</v>
      </c>
      <c r="B53" s="369">
        <v>8397.7299999999796</v>
      </c>
      <c r="C53" s="369">
        <v>8621.2191200000107</v>
      </c>
      <c r="D53" s="370">
        <v>223.489120000035</v>
      </c>
      <c r="E53" s="371">
        <v>1.026613039476</v>
      </c>
      <c r="F53" s="369">
        <v>8353.7184920000109</v>
      </c>
      <c r="G53" s="370">
        <v>4176.859246</v>
      </c>
      <c r="H53" s="372">
        <v>679.48046999999804</v>
      </c>
      <c r="I53" s="369">
        <v>4320.0013899999904</v>
      </c>
      <c r="J53" s="370">
        <v>143.14214399999</v>
      </c>
      <c r="K53" s="373">
        <v>0.517135140971</v>
      </c>
    </row>
    <row r="54" spans="1:11" ht="14.45" customHeight="1" thickBot="1" x14ac:dyDescent="0.25">
      <c r="A54" s="394" t="s">
        <v>255</v>
      </c>
      <c r="B54" s="374">
        <v>6178.6899999999796</v>
      </c>
      <c r="C54" s="374">
        <v>6342.0250000000096</v>
      </c>
      <c r="D54" s="375">
        <v>163.33500000002999</v>
      </c>
      <c r="E54" s="382">
        <v>1.0264352152309999</v>
      </c>
      <c r="F54" s="374">
        <v>6016.1000000000104</v>
      </c>
      <c r="G54" s="375">
        <v>3008.0500000000102</v>
      </c>
      <c r="H54" s="377">
        <v>499.61899999999798</v>
      </c>
      <c r="I54" s="374">
        <v>3176.48</v>
      </c>
      <c r="J54" s="375">
        <v>168.429999999991</v>
      </c>
      <c r="K54" s="378">
        <v>0.52799654260999995</v>
      </c>
    </row>
    <row r="55" spans="1:11" ht="14.45" customHeight="1" thickBot="1" x14ac:dyDescent="0.25">
      <c r="A55" s="390" t="s">
        <v>256</v>
      </c>
      <c r="B55" s="374">
        <v>6163.99999999998</v>
      </c>
      <c r="C55" s="374">
        <v>6324.3430000000099</v>
      </c>
      <c r="D55" s="375">
        <v>160.34300000003</v>
      </c>
      <c r="E55" s="382">
        <v>1.026012816353</v>
      </c>
      <c r="F55" s="374">
        <v>5994.5300000000097</v>
      </c>
      <c r="G55" s="375">
        <v>2997.2650000000099</v>
      </c>
      <c r="H55" s="377">
        <v>499.61899999999798</v>
      </c>
      <c r="I55" s="374">
        <v>3175.73</v>
      </c>
      <c r="J55" s="375">
        <v>178.46499999999099</v>
      </c>
      <c r="K55" s="378">
        <v>0.52977130817499996</v>
      </c>
    </row>
    <row r="56" spans="1:11" ht="14.45" customHeight="1" thickBot="1" x14ac:dyDescent="0.25">
      <c r="A56" s="391" t="s">
        <v>257</v>
      </c>
      <c r="B56" s="369">
        <v>6163.99999999998</v>
      </c>
      <c r="C56" s="369">
        <v>6324.3430000000099</v>
      </c>
      <c r="D56" s="370">
        <v>160.34300000003</v>
      </c>
      <c r="E56" s="371">
        <v>1.026012816353</v>
      </c>
      <c r="F56" s="369">
        <v>5994.5300000000097</v>
      </c>
      <c r="G56" s="370">
        <v>2997.2650000000099</v>
      </c>
      <c r="H56" s="372">
        <v>499.61899999999798</v>
      </c>
      <c r="I56" s="369">
        <v>3175.73</v>
      </c>
      <c r="J56" s="370">
        <v>178.46499999999099</v>
      </c>
      <c r="K56" s="373">
        <v>0.52977130817499996</v>
      </c>
    </row>
    <row r="57" spans="1:11" ht="14.45" customHeight="1" thickBot="1" x14ac:dyDescent="0.25">
      <c r="A57" s="390" t="s">
        <v>258</v>
      </c>
      <c r="B57" s="374">
        <v>14.69</v>
      </c>
      <c r="C57" s="374">
        <v>11.182</v>
      </c>
      <c r="D57" s="375">
        <v>-3.5079999999989999</v>
      </c>
      <c r="E57" s="382">
        <v>0.76119809394100002</v>
      </c>
      <c r="F57" s="374">
        <v>14.85</v>
      </c>
      <c r="G57" s="375">
        <v>7.4249999999999998</v>
      </c>
      <c r="H57" s="377">
        <v>0</v>
      </c>
      <c r="I57" s="374">
        <v>0</v>
      </c>
      <c r="J57" s="375">
        <v>-7.4249999999999998</v>
      </c>
      <c r="K57" s="378">
        <v>0</v>
      </c>
    </row>
    <row r="58" spans="1:11" ht="14.45" customHeight="1" thickBot="1" x14ac:dyDescent="0.25">
      <c r="A58" s="391" t="s">
        <v>259</v>
      </c>
      <c r="B58" s="369">
        <v>14.69</v>
      </c>
      <c r="C58" s="369">
        <v>11.182</v>
      </c>
      <c r="D58" s="370">
        <v>-3.5079999999989999</v>
      </c>
      <c r="E58" s="371">
        <v>0.76119809394100002</v>
      </c>
      <c r="F58" s="369">
        <v>14.85</v>
      </c>
      <c r="G58" s="370">
        <v>7.4249999999999998</v>
      </c>
      <c r="H58" s="372">
        <v>0</v>
      </c>
      <c r="I58" s="369">
        <v>0</v>
      </c>
      <c r="J58" s="370">
        <v>-7.4249999999999998</v>
      </c>
      <c r="K58" s="373">
        <v>0</v>
      </c>
    </row>
    <row r="59" spans="1:11" ht="14.45" customHeight="1" thickBot="1" x14ac:dyDescent="0.25">
      <c r="A59" s="393" t="s">
        <v>260</v>
      </c>
      <c r="B59" s="369">
        <v>0</v>
      </c>
      <c r="C59" s="369">
        <v>6.5</v>
      </c>
      <c r="D59" s="370">
        <v>6.5</v>
      </c>
      <c r="E59" s="379" t="s">
        <v>209</v>
      </c>
      <c r="F59" s="369">
        <v>6.72</v>
      </c>
      <c r="G59" s="370">
        <v>3.36</v>
      </c>
      <c r="H59" s="372">
        <v>0</v>
      </c>
      <c r="I59" s="369">
        <v>0.74999999999900002</v>
      </c>
      <c r="J59" s="370">
        <v>-2.61</v>
      </c>
      <c r="K59" s="373">
        <v>0.11160714285700001</v>
      </c>
    </row>
    <row r="60" spans="1:11" ht="14.45" customHeight="1" thickBot="1" x14ac:dyDescent="0.25">
      <c r="A60" s="391" t="s">
        <v>261</v>
      </c>
      <c r="B60" s="369">
        <v>0</v>
      </c>
      <c r="C60" s="369">
        <v>6.5</v>
      </c>
      <c r="D60" s="370">
        <v>6.5</v>
      </c>
      <c r="E60" s="379" t="s">
        <v>209</v>
      </c>
      <c r="F60" s="369">
        <v>6.72</v>
      </c>
      <c r="G60" s="370">
        <v>3.36</v>
      </c>
      <c r="H60" s="372">
        <v>0</v>
      </c>
      <c r="I60" s="369">
        <v>0.74999999999900002</v>
      </c>
      <c r="J60" s="370">
        <v>-2.61</v>
      </c>
      <c r="K60" s="373">
        <v>0.11160714285700001</v>
      </c>
    </row>
    <row r="61" spans="1:11" ht="14.45" customHeight="1" thickBot="1" x14ac:dyDescent="0.25">
      <c r="A61" s="389" t="s">
        <v>262</v>
      </c>
      <c r="B61" s="369">
        <v>2095.7600000000002</v>
      </c>
      <c r="C61" s="369">
        <v>2152.4799699999999</v>
      </c>
      <c r="D61" s="370">
        <v>56.719970000003997</v>
      </c>
      <c r="E61" s="371">
        <v>1.0270641533380001</v>
      </c>
      <c r="F61" s="369">
        <v>2182.37</v>
      </c>
      <c r="G61" s="370">
        <v>1091.1849999999999</v>
      </c>
      <c r="H61" s="372">
        <v>169.86991999999901</v>
      </c>
      <c r="I61" s="369">
        <v>1080.0040300000001</v>
      </c>
      <c r="J61" s="370">
        <v>-11.18097</v>
      </c>
      <c r="K61" s="373">
        <v>0.49487668452099998</v>
      </c>
    </row>
    <row r="62" spans="1:11" ht="14.45" customHeight="1" thickBot="1" x14ac:dyDescent="0.25">
      <c r="A62" s="390" t="s">
        <v>263</v>
      </c>
      <c r="B62" s="374">
        <v>554.76000000000101</v>
      </c>
      <c r="C62" s="374">
        <v>569.76922000000104</v>
      </c>
      <c r="D62" s="375">
        <v>15.009219999999001</v>
      </c>
      <c r="E62" s="382">
        <v>1.0270553392449999</v>
      </c>
      <c r="F62" s="374">
        <v>577.68999999999903</v>
      </c>
      <c r="G62" s="375">
        <v>288.84500000000003</v>
      </c>
      <c r="H62" s="377">
        <v>44.965169999998999</v>
      </c>
      <c r="I62" s="374">
        <v>285.88403</v>
      </c>
      <c r="J62" s="375">
        <v>-2.960969999999</v>
      </c>
      <c r="K62" s="378">
        <v>0.49487446554300002</v>
      </c>
    </row>
    <row r="63" spans="1:11" ht="14.45" customHeight="1" thickBot="1" x14ac:dyDescent="0.25">
      <c r="A63" s="391" t="s">
        <v>264</v>
      </c>
      <c r="B63" s="369">
        <v>554.76000000000101</v>
      </c>
      <c r="C63" s="369">
        <v>569.76922000000104</v>
      </c>
      <c r="D63" s="370">
        <v>15.009219999999001</v>
      </c>
      <c r="E63" s="371">
        <v>1.0270553392449999</v>
      </c>
      <c r="F63" s="369">
        <v>577.68999999999903</v>
      </c>
      <c r="G63" s="370">
        <v>288.84500000000003</v>
      </c>
      <c r="H63" s="372">
        <v>44.965169999998999</v>
      </c>
      <c r="I63" s="369">
        <v>285.88403</v>
      </c>
      <c r="J63" s="370">
        <v>-2.960969999999</v>
      </c>
      <c r="K63" s="373">
        <v>0.49487446554300002</v>
      </c>
    </row>
    <row r="64" spans="1:11" ht="14.45" customHeight="1" thickBot="1" x14ac:dyDescent="0.25">
      <c r="A64" s="390" t="s">
        <v>265</v>
      </c>
      <c r="B64" s="374">
        <v>1541</v>
      </c>
      <c r="C64" s="374">
        <v>1582.71075</v>
      </c>
      <c r="D64" s="375">
        <v>41.710750000003998</v>
      </c>
      <c r="E64" s="382">
        <v>1.027067326411</v>
      </c>
      <c r="F64" s="374">
        <v>1604.68</v>
      </c>
      <c r="G64" s="375">
        <v>802.33999999999901</v>
      </c>
      <c r="H64" s="377">
        <v>124.90475000000001</v>
      </c>
      <c r="I64" s="374">
        <v>794.11999999999898</v>
      </c>
      <c r="J64" s="375">
        <v>-8.2200000000000006</v>
      </c>
      <c r="K64" s="378">
        <v>0.49487748336100001</v>
      </c>
    </row>
    <row r="65" spans="1:11" ht="14.45" customHeight="1" thickBot="1" x14ac:dyDescent="0.25">
      <c r="A65" s="391" t="s">
        <v>266</v>
      </c>
      <c r="B65" s="369">
        <v>1541</v>
      </c>
      <c r="C65" s="369">
        <v>1582.71075</v>
      </c>
      <c r="D65" s="370">
        <v>41.710750000003998</v>
      </c>
      <c r="E65" s="371">
        <v>1.027067326411</v>
      </c>
      <c r="F65" s="369">
        <v>1604.68</v>
      </c>
      <c r="G65" s="370">
        <v>802.33999999999901</v>
      </c>
      <c r="H65" s="372">
        <v>124.90475000000001</v>
      </c>
      <c r="I65" s="369">
        <v>794.11999999999898</v>
      </c>
      <c r="J65" s="370">
        <v>-8.2200000000000006</v>
      </c>
      <c r="K65" s="373">
        <v>0.49487748336100001</v>
      </c>
    </row>
    <row r="66" spans="1:11" ht="14.45" customHeight="1" thickBot="1" x14ac:dyDescent="0.25">
      <c r="A66" s="389" t="s">
        <v>267</v>
      </c>
      <c r="B66" s="369">
        <v>0</v>
      </c>
      <c r="C66" s="369">
        <v>0</v>
      </c>
      <c r="D66" s="370">
        <v>0</v>
      </c>
      <c r="E66" s="371">
        <v>1</v>
      </c>
      <c r="F66" s="369">
        <v>26.868492</v>
      </c>
      <c r="G66" s="370">
        <v>13.434246</v>
      </c>
      <c r="H66" s="372">
        <v>0</v>
      </c>
      <c r="I66" s="369">
        <v>0</v>
      </c>
      <c r="J66" s="370">
        <v>-13.434246</v>
      </c>
      <c r="K66" s="373">
        <v>0</v>
      </c>
    </row>
    <row r="67" spans="1:11" ht="14.45" customHeight="1" thickBot="1" x14ac:dyDescent="0.25">
      <c r="A67" s="390" t="s">
        <v>268</v>
      </c>
      <c r="B67" s="374">
        <v>0</v>
      </c>
      <c r="C67" s="374">
        <v>0</v>
      </c>
      <c r="D67" s="375">
        <v>0</v>
      </c>
      <c r="E67" s="382">
        <v>1</v>
      </c>
      <c r="F67" s="374">
        <v>26.868492</v>
      </c>
      <c r="G67" s="375">
        <v>13.434246</v>
      </c>
      <c r="H67" s="377">
        <v>0</v>
      </c>
      <c r="I67" s="374">
        <v>0</v>
      </c>
      <c r="J67" s="375">
        <v>-13.434246</v>
      </c>
      <c r="K67" s="378">
        <v>0</v>
      </c>
    </row>
    <row r="68" spans="1:11" ht="14.45" customHeight="1" thickBot="1" x14ac:dyDescent="0.25">
      <c r="A68" s="391" t="s">
        <v>269</v>
      </c>
      <c r="B68" s="369">
        <v>0</v>
      </c>
      <c r="C68" s="369">
        <v>0</v>
      </c>
      <c r="D68" s="370">
        <v>0</v>
      </c>
      <c r="E68" s="371">
        <v>1</v>
      </c>
      <c r="F68" s="369">
        <v>26.868492</v>
      </c>
      <c r="G68" s="370">
        <v>13.434246</v>
      </c>
      <c r="H68" s="372">
        <v>0</v>
      </c>
      <c r="I68" s="369">
        <v>0</v>
      </c>
      <c r="J68" s="370">
        <v>-13.434246</v>
      </c>
      <c r="K68" s="373">
        <v>0</v>
      </c>
    </row>
    <row r="69" spans="1:11" ht="14.45" customHeight="1" thickBot="1" x14ac:dyDescent="0.25">
      <c r="A69" s="389" t="s">
        <v>270</v>
      </c>
      <c r="B69" s="369">
        <v>123.28</v>
      </c>
      <c r="C69" s="369">
        <v>126.71415</v>
      </c>
      <c r="D69" s="370">
        <v>3.4341499999990002</v>
      </c>
      <c r="E69" s="371">
        <v>1.027856505515</v>
      </c>
      <c r="F69" s="369">
        <v>128.38</v>
      </c>
      <c r="G69" s="370">
        <v>64.189999999999003</v>
      </c>
      <c r="H69" s="372">
        <v>9.9915499999990001</v>
      </c>
      <c r="I69" s="369">
        <v>63.517359999999002</v>
      </c>
      <c r="J69" s="370">
        <v>-0.67264000000000002</v>
      </c>
      <c r="K69" s="373">
        <v>0.494760554603</v>
      </c>
    </row>
    <row r="70" spans="1:11" ht="14.45" customHeight="1" thickBot="1" x14ac:dyDescent="0.25">
      <c r="A70" s="390" t="s">
        <v>271</v>
      </c>
      <c r="B70" s="374">
        <v>123.28</v>
      </c>
      <c r="C70" s="374">
        <v>126.71415</v>
      </c>
      <c r="D70" s="375">
        <v>3.4341499999990002</v>
      </c>
      <c r="E70" s="382">
        <v>1.027856505515</v>
      </c>
      <c r="F70" s="374">
        <v>128.38</v>
      </c>
      <c r="G70" s="375">
        <v>64.189999999999003</v>
      </c>
      <c r="H70" s="377">
        <v>9.9915499999990001</v>
      </c>
      <c r="I70" s="374">
        <v>63.517359999999002</v>
      </c>
      <c r="J70" s="375">
        <v>-0.67264000000000002</v>
      </c>
      <c r="K70" s="378">
        <v>0.494760554603</v>
      </c>
    </row>
    <row r="71" spans="1:11" ht="14.45" customHeight="1" thickBot="1" x14ac:dyDescent="0.25">
      <c r="A71" s="391" t="s">
        <v>272</v>
      </c>
      <c r="B71" s="369">
        <v>123.28</v>
      </c>
      <c r="C71" s="369">
        <v>126.71415</v>
      </c>
      <c r="D71" s="370">
        <v>3.4341499999990002</v>
      </c>
      <c r="E71" s="371">
        <v>1.027856505515</v>
      </c>
      <c r="F71" s="369">
        <v>128.38</v>
      </c>
      <c r="G71" s="370">
        <v>64.189999999999003</v>
      </c>
      <c r="H71" s="372">
        <v>9.9915499999990001</v>
      </c>
      <c r="I71" s="369">
        <v>63.517359999999002</v>
      </c>
      <c r="J71" s="370">
        <v>-0.67264000000000002</v>
      </c>
      <c r="K71" s="373">
        <v>0.494760554603</v>
      </c>
    </row>
    <row r="72" spans="1:11" ht="14.45" customHeight="1" thickBot="1" x14ac:dyDescent="0.25">
      <c r="A72" s="388" t="s">
        <v>273</v>
      </c>
      <c r="B72" s="369">
        <v>4.741059715964</v>
      </c>
      <c r="C72" s="369">
        <v>104.03075</v>
      </c>
      <c r="D72" s="370">
        <v>99.289690284035999</v>
      </c>
      <c r="E72" s="371">
        <v>21.942509951879</v>
      </c>
      <c r="F72" s="369">
        <v>0</v>
      </c>
      <c r="G72" s="370">
        <v>0</v>
      </c>
      <c r="H72" s="372">
        <v>13.639999999999</v>
      </c>
      <c r="I72" s="369">
        <v>70.599999999999</v>
      </c>
      <c r="J72" s="370">
        <v>70.599999999999</v>
      </c>
      <c r="K72" s="381" t="s">
        <v>209</v>
      </c>
    </row>
    <row r="73" spans="1:11" ht="14.45" customHeight="1" thickBot="1" x14ac:dyDescent="0.25">
      <c r="A73" s="389" t="s">
        <v>274</v>
      </c>
      <c r="B73" s="369">
        <v>4.741059715964</v>
      </c>
      <c r="C73" s="369">
        <v>104.03075</v>
      </c>
      <c r="D73" s="370">
        <v>99.289690284035999</v>
      </c>
      <c r="E73" s="371">
        <v>21.942509951879</v>
      </c>
      <c r="F73" s="369">
        <v>0</v>
      </c>
      <c r="G73" s="370">
        <v>0</v>
      </c>
      <c r="H73" s="372">
        <v>13.639999999999</v>
      </c>
      <c r="I73" s="369">
        <v>70.599999999999</v>
      </c>
      <c r="J73" s="370">
        <v>70.599999999999</v>
      </c>
      <c r="K73" s="381" t="s">
        <v>209</v>
      </c>
    </row>
    <row r="74" spans="1:11" ht="14.45" customHeight="1" thickBot="1" x14ac:dyDescent="0.25">
      <c r="A74" s="390" t="s">
        <v>275</v>
      </c>
      <c r="B74" s="374">
        <v>0</v>
      </c>
      <c r="C74" s="374">
        <v>30.05875</v>
      </c>
      <c r="D74" s="375">
        <v>30.05875</v>
      </c>
      <c r="E74" s="376" t="s">
        <v>209</v>
      </c>
      <c r="F74" s="374">
        <v>0</v>
      </c>
      <c r="G74" s="375">
        <v>0</v>
      </c>
      <c r="H74" s="377">
        <v>0</v>
      </c>
      <c r="I74" s="374">
        <v>14.69</v>
      </c>
      <c r="J74" s="375">
        <v>14.69</v>
      </c>
      <c r="K74" s="380" t="s">
        <v>209</v>
      </c>
    </row>
    <row r="75" spans="1:11" ht="14.45" customHeight="1" thickBot="1" x14ac:dyDescent="0.25">
      <c r="A75" s="391" t="s">
        <v>276</v>
      </c>
      <c r="B75" s="369">
        <v>0</v>
      </c>
      <c r="C75" s="369">
        <v>0.31874999999999998</v>
      </c>
      <c r="D75" s="370">
        <v>0.31874999999999998</v>
      </c>
      <c r="E75" s="379" t="s">
        <v>209</v>
      </c>
      <c r="F75" s="369">
        <v>0</v>
      </c>
      <c r="G75" s="370">
        <v>0</v>
      </c>
      <c r="H75" s="372">
        <v>0</v>
      </c>
      <c r="I75" s="369">
        <v>0</v>
      </c>
      <c r="J75" s="370">
        <v>0</v>
      </c>
      <c r="K75" s="381" t="s">
        <v>209</v>
      </c>
    </row>
    <row r="76" spans="1:11" ht="14.45" customHeight="1" thickBot="1" x14ac:dyDescent="0.25">
      <c r="A76" s="391" t="s">
        <v>277</v>
      </c>
      <c r="B76" s="369">
        <v>0</v>
      </c>
      <c r="C76" s="369">
        <v>29.74</v>
      </c>
      <c r="D76" s="370">
        <v>29.74</v>
      </c>
      <c r="E76" s="379" t="s">
        <v>209</v>
      </c>
      <c r="F76" s="369">
        <v>0</v>
      </c>
      <c r="G76" s="370">
        <v>0</v>
      </c>
      <c r="H76" s="372">
        <v>0</v>
      </c>
      <c r="I76" s="369">
        <v>14.69</v>
      </c>
      <c r="J76" s="370">
        <v>14.69</v>
      </c>
      <c r="K76" s="381" t="s">
        <v>209</v>
      </c>
    </row>
    <row r="77" spans="1:11" ht="14.45" customHeight="1" thickBot="1" x14ac:dyDescent="0.25">
      <c r="A77" s="393" t="s">
        <v>278</v>
      </c>
      <c r="B77" s="369">
        <v>4.741059715964</v>
      </c>
      <c r="C77" s="369">
        <v>0.622</v>
      </c>
      <c r="D77" s="370">
        <v>-4.1190597159640001</v>
      </c>
      <c r="E77" s="371">
        <v>0.13119429774399999</v>
      </c>
      <c r="F77" s="369">
        <v>0</v>
      </c>
      <c r="G77" s="370">
        <v>0</v>
      </c>
      <c r="H77" s="372">
        <v>0</v>
      </c>
      <c r="I77" s="369">
        <v>0</v>
      </c>
      <c r="J77" s="370">
        <v>0</v>
      </c>
      <c r="K77" s="381" t="s">
        <v>209</v>
      </c>
    </row>
    <row r="78" spans="1:11" ht="14.45" customHeight="1" thickBot="1" x14ac:dyDescent="0.25">
      <c r="A78" s="391" t="s">
        <v>279</v>
      </c>
      <c r="B78" s="369">
        <v>4.741059715964</v>
      </c>
      <c r="C78" s="369">
        <v>0.622</v>
      </c>
      <c r="D78" s="370">
        <v>-4.1190597159640001</v>
      </c>
      <c r="E78" s="371">
        <v>0.13119429774399999</v>
      </c>
      <c r="F78" s="369">
        <v>0</v>
      </c>
      <c r="G78" s="370">
        <v>0</v>
      </c>
      <c r="H78" s="372">
        <v>0</v>
      </c>
      <c r="I78" s="369">
        <v>0</v>
      </c>
      <c r="J78" s="370">
        <v>0</v>
      </c>
      <c r="K78" s="381" t="s">
        <v>209</v>
      </c>
    </row>
    <row r="79" spans="1:11" ht="14.45" customHeight="1" thickBot="1" x14ac:dyDescent="0.25">
      <c r="A79" s="393" t="s">
        <v>280</v>
      </c>
      <c r="B79" s="369">
        <v>0</v>
      </c>
      <c r="C79" s="369">
        <v>73.349999999999994</v>
      </c>
      <c r="D79" s="370">
        <v>73.349999999999994</v>
      </c>
      <c r="E79" s="379" t="s">
        <v>209</v>
      </c>
      <c r="F79" s="369">
        <v>0</v>
      </c>
      <c r="G79" s="370">
        <v>0</v>
      </c>
      <c r="H79" s="372">
        <v>13.639999999999</v>
      </c>
      <c r="I79" s="369">
        <v>55.909999999999002</v>
      </c>
      <c r="J79" s="370">
        <v>55.909999999999002</v>
      </c>
      <c r="K79" s="381" t="s">
        <v>209</v>
      </c>
    </row>
    <row r="80" spans="1:11" ht="14.45" customHeight="1" thickBot="1" x14ac:dyDescent="0.25">
      <c r="A80" s="391" t="s">
        <v>281</v>
      </c>
      <c r="B80" s="369">
        <v>0</v>
      </c>
      <c r="C80" s="369">
        <v>73.349999999999994</v>
      </c>
      <c r="D80" s="370">
        <v>73.349999999999994</v>
      </c>
      <c r="E80" s="379" t="s">
        <v>209</v>
      </c>
      <c r="F80" s="369">
        <v>0</v>
      </c>
      <c r="G80" s="370">
        <v>0</v>
      </c>
      <c r="H80" s="372">
        <v>13.639999999999</v>
      </c>
      <c r="I80" s="369">
        <v>55.909999999999002</v>
      </c>
      <c r="J80" s="370">
        <v>55.909999999999002</v>
      </c>
      <c r="K80" s="381" t="s">
        <v>209</v>
      </c>
    </row>
    <row r="81" spans="1:11" ht="14.45" customHeight="1" thickBot="1" x14ac:dyDescent="0.25">
      <c r="A81" s="388" t="s">
        <v>282</v>
      </c>
      <c r="B81" s="369">
        <v>47.845275356393998</v>
      </c>
      <c r="C81" s="369">
        <v>46.484000000000002</v>
      </c>
      <c r="D81" s="370">
        <v>-1.3612753563940001</v>
      </c>
      <c r="E81" s="371">
        <v>0.97154838494999995</v>
      </c>
      <c r="F81" s="369">
        <v>45.999999999998998</v>
      </c>
      <c r="G81" s="370">
        <v>22.999999999999002</v>
      </c>
      <c r="H81" s="372">
        <v>3.7896499999989999</v>
      </c>
      <c r="I81" s="369">
        <v>31.774059999999</v>
      </c>
      <c r="J81" s="370">
        <v>8.7740600000000004</v>
      </c>
      <c r="K81" s="373">
        <v>0.69074043478199998</v>
      </c>
    </row>
    <row r="82" spans="1:11" ht="14.45" customHeight="1" thickBot="1" x14ac:dyDescent="0.25">
      <c r="A82" s="389" t="s">
        <v>283</v>
      </c>
      <c r="B82" s="369">
        <v>47.845275356393998</v>
      </c>
      <c r="C82" s="369">
        <v>46.484000000000002</v>
      </c>
      <c r="D82" s="370">
        <v>-1.3612753563940001</v>
      </c>
      <c r="E82" s="371">
        <v>0.97154838494999995</v>
      </c>
      <c r="F82" s="369">
        <v>45.999999999998998</v>
      </c>
      <c r="G82" s="370">
        <v>22.999999999999002</v>
      </c>
      <c r="H82" s="372">
        <v>3.7896499999989999</v>
      </c>
      <c r="I82" s="369">
        <v>23.062059999999999</v>
      </c>
      <c r="J82" s="370">
        <v>6.2059999999999997E-2</v>
      </c>
      <c r="K82" s="373">
        <v>0.50134913043399998</v>
      </c>
    </row>
    <row r="83" spans="1:11" ht="14.45" customHeight="1" thickBot="1" x14ac:dyDescent="0.25">
      <c r="A83" s="390" t="s">
        <v>284</v>
      </c>
      <c r="B83" s="374">
        <v>47.845275356393998</v>
      </c>
      <c r="C83" s="374">
        <v>46.484000000000002</v>
      </c>
      <c r="D83" s="375">
        <v>-1.3612753563940001</v>
      </c>
      <c r="E83" s="382">
        <v>0.97154838494999995</v>
      </c>
      <c r="F83" s="374">
        <v>45.999999999998998</v>
      </c>
      <c r="G83" s="375">
        <v>22.999999999999002</v>
      </c>
      <c r="H83" s="377">
        <v>3.7896499999989999</v>
      </c>
      <c r="I83" s="374">
        <v>23.062059999999999</v>
      </c>
      <c r="J83" s="375">
        <v>6.2059999999999997E-2</v>
      </c>
      <c r="K83" s="378">
        <v>0.50134913043399998</v>
      </c>
    </row>
    <row r="84" spans="1:11" ht="14.45" customHeight="1" thickBot="1" x14ac:dyDescent="0.25">
      <c r="A84" s="391" t="s">
        <v>285</v>
      </c>
      <c r="B84" s="369">
        <v>28.849574518539999</v>
      </c>
      <c r="C84" s="369">
        <v>28.164000000000001</v>
      </c>
      <c r="D84" s="370">
        <v>-0.68557451853999996</v>
      </c>
      <c r="E84" s="371">
        <v>0.97623623467599996</v>
      </c>
      <c r="F84" s="369">
        <v>27.999999999999002</v>
      </c>
      <c r="G84" s="370">
        <v>13.999999999999</v>
      </c>
      <c r="H84" s="372">
        <v>2.3021699999990002</v>
      </c>
      <c r="I84" s="369">
        <v>14.064349999999999</v>
      </c>
      <c r="J84" s="370">
        <v>6.4350000000000004E-2</v>
      </c>
      <c r="K84" s="373">
        <v>0.50229821428499999</v>
      </c>
    </row>
    <row r="85" spans="1:11" ht="14.45" customHeight="1" thickBot="1" x14ac:dyDescent="0.25">
      <c r="A85" s="391" t="s">
        <v>286</v>
      </c>
      <c r="B85" s="369">
        <v>10.534037524045999</v>
      </c>
      <c r="C85" s="369">
        <v>9.9120000000000008</v>
      </c>
      <c r="D85" s="370">
        <v>-0.62203752404599999</v>
      </c>
      <c r="E85" s="371">
        <v>0.94094975239699996</v>
      </c>
      <c r="F85" s="369">
        <v>9.9999999999989999</v>
      </c>
      <c r="G85" s="370">
        <v>4.9999999999989999</v>
      </c>
      <c r="H85" s="372">
        <v>0.82599999999899998</v>
      </c>
      <c r="I85" s="369">
        <v>4.9560000000000004</v>
      </c>
      <c r="J85" s="370">
        <v>-4.3999999998999999E-2</v>
      </c>
      <c r="K85" s="373">
        <v>0.49559999999999998</v>
      </c>
    </row>
    <row r="86" spans="1:11" ht="14.45" customHeight="1" thickBot="1" x14ac:dyDescent="0.25">
      <c r="A86" s="391" t="s">
        <v>287</v>
      </c>
      <c r="B86" s="369">
        <v>8.4616633138069997</v>
      </c>
      <c r="C86" s="369">
        <v>8.4079999999999995</v>
      </c>
      <c r="D86" s="370">
        <v>-5.3663313806999999E-2</v>
      </c>
      <c r="E86" s="371">
        <v>0.99365806558100001</v>
      </c>
      <c r="F86" s="369">
        <v>7.9999999999989999</v>
      </c>
      <c r="G86" s="370">
        <v>3.9999999999989999</v>
      </c>
      <c r="H86" s="372">
        <v>0.66147999999899998</v>
      </c>
      <c r="I86" s="369">
        <v>4.0417100000000001</v>
      </c>
      <c r="J86" s="370">
        <v>4.1709999999999997E-2</v>
      </c>
      <c r="K86" s="373">
        <v>0.50521375000000002</v>
      </c>
    </row>
    <row r="87" spans="1:11" ht="14.45" customHeight="1" thickBot="1" x14ac:dyDescent="0.25">
      <c r="A87" s="389" t="s">
        <v>288</v>
      </c>
      <c r="B87" s="369">
        <v>0</v>
      </c>
      <c r="C87" s="369">
        <v>0</v>
      </c>
      <c r="D87" s="370">
        <v>0</v>
      </c>
      <c r="E87" s="371">
        <v>1</v>
      </c>
      <c r="F87" s="369">
        <v>0</v>
      </c>
      <c r="G87" s="370">
        <v>0</v>
      </c>
      <c r="H87" s="372">
        <v>0</v>
      </c>
      <c r="I87" s="369">
        <v>8.7119999999989997</v>
      </c>
      <c r="J87" s="370">
        <v>8.7119999999989997</v>
      </c>
      <c r="K87" s="381" t="s">
        <v>209</v>
      </c>
    </row>
    <row r="88" spans="1:11" ht="14.45" customHeight="1" thickBot="1" x14ac:dyDescent="0.25">
      <c r="A88" s="390" t="s">
        <v>289</v>
      </c>
      <c r="B88" s="374">
        <v>0</v>
      </c>
      <c r="C88" s="374">
        <v>0</v>
      </c>
      <c r="D88" s="375">
        <v>0</v>
      </c>
      <c r="E88" s="382">
        <v>1</v>
      </c>
      <c r="F88" s="374">
        <v>0</v>
      </c>
      <c r="G88" s="375">
        <v>0</v>
      </c>
      <c r="H88" s="377">
        <v>0</v>
      </c>
      <c r="I88" s="374">
        <v>8.7119999999989997</v>
      </c>
      <c r="J88" s="375">
        <v>8.7119999999989997</v>
      </c>
      <c r="K88" s="380" t="s">
        <v>215</v>
      </c>
    </row>
    <row r="89" spans="1:11" ht="14.45" customHeight="1" thickBot="1" x14ac:dyDescent="0.25">
      <c r="A89" s="391" t="s">
        <v>290</v>
      </c>
      <c r="B89" s="369">
        <v>0</v>
      </c>
      <c r="C89" s="369">
        <v>0</v>
      </c>
      <c r="D89" s="370">
        <v>0</v>
      </c>
      <c r="E89" s="371">
        <v>1</v>
      </c>
      <c r="F89" s="369">
        <v>0</v>
      </c>
      <c r="G89" s="370">
        <v>0</v>
      </c>
      <c r="H89" s="372">
        <v>0</v>
      </c>
      <c r="I89" s="369">
        <v>8.7119999999989997</v>
      </c>
      <c r="J89" s="370">
        <v>8.7119999999989997</v>
      </c>
      <c r="K89" s="381" t="s">
        <v>215</v>
      </c>
    </row>
    <row r="90" spans="1:11" ht="14.45" customHeight="1" thickBot="1" x14ac:dyDescent="0.25">
      <c r="A90" s="387" t="s">
        <v>291</v>
      </c>
      <c r="B90" s="369">
        <v>9961.0150164060706</v>
      </c>
      <c r="C90" s="369">
        <v>11898.167729999999</v>
      </c>
      <c r="D90" s="370">
        <v>1937.15271359394</v>
      </c>
      <c r="E90" s="371">
        <v>1.19447342569</v>
      </c>
      <c r="F90" s="369">
        <v>15489.249329602901</v>
      </c>
      <c r="G90" s="370">
        <v>7744.6246648014603</v>
      </c>
      <c r="H90" s="372">
        <v>895.91985000000102</v>
      </c>
      <c r="I90" s="369">
        <v>6154.8415000000005</v>
      </c>
      <c r="J90" s="370">
        <v>-1589.7831648014601</v>
      </c>
      <c r="K90" s="373">
        <v>0.39736215545499998</v>
      </c>
    </row>
    <row r="91" spans="1:11" ht="14.45" customHeight="1" thickBot="1" x14ac:dyDescent="0.25">
      <c r="A91" s="388" t="s">
        <v>292</v>
      </c>
      <c r="B91" s="369">
        <v>9903.0358056514197</v>
      </c>
      <c r="C91" s="369">
        <v>11865.92354</v>
      </c>
      <c r="D91" s="370">
        <v>1962.8877343485799</v>
      </c>
      <c r="E91" s="371">
        <v>1.1982107075920001</v>
      </c>
      <c r="F91" s="369">
        <v>15489.249329602901</v>
      </c>
      <c r="G91" s="370">
        <v>7744.6246648014603</v>
      </c>
      <c r="H91" s="372">
        <v>894.28355000000101</v>
      </c>
      <c r="I91" s="369">
        <v>6144.2736800000002</v>
      </c>
      <c r="J91" s="370">
        <v>-1600.3509848014601</v>
      </c>
      <c r="K91" s="373">
        <v>0.39667988740100002</v>
      </c>
    </row>
    <row r="92" spans="1:11" ht="14.45" customHeight="1" thickBot="1" x14ac:dyDescent="0.25">
      <c r="A92" s="389" t="s">
        <v>293</v>
      </c>
      <c r="B92" s="369">
        <v>9903.0358056514197</v>
      </c>
      <c r="C92" s="369">
        <v>11865.92354</v>
      </c>
      <c r="D92" s="370">
        <v>1962.8877343485799</v>
      </c>
      <c r="E92" s="371">
        <v>1.1982107075920001</v>
      </c>
      <c r="F92" s="369">
        <v>15489.249329602901</v>
      </c>
      <c r="G92" s="370">
        <v>7744.6246648014603</v>
      </c>
      <c r="H92" s="372">
        <v>894.28355000000101</v>
      </c>
      <c r="I92" s="369">
        <v>6144.2736800000002</v>
      </c>
      <c r="J92" s="370">
        <v>-1600.3509848014601</v>
      </c>
      <c r="K92" s="373">
        <v>0.39667988740100002</v>
      </c>
    </row>
    <row r="93" spans="1:11" ht="14.45" customHeight="1" thickBot="1" x14ac:dyDescent="0.25">
      <c r="A93" s="390" t="s">
        <v>294</v>
      </c>
      <c r="B93" s="374">
        <v>61.461561239787002</v>
      </c>
      <c r="C93" s="374">
        <v>29.8111</v>
      </c>
      <c r="D93" s="375">
        <v>-31.650461239786999</v>
      </c>
      <c r="E93" s="382">
        <v>0.48503649107899999</v>
      </c>
      <c r="F93" s="374">
        <v>31.103853884953999</v>
      </c>
      <c r="G93" s="375">
        <v>15.551926942476999</v>
      </c>
      <c r="H93" s="377">
        <v>0</v>
      </c>
      <c r="I93" s="374">
        <v>0.27500000000000002</v>
      </c>
      <c r="J93" s="375">
        <v>-15.276926942476999</v>
      </c>
      <c r="K93" s="378">
        <v>8.8413481170000006E-3</v>
      </c>
    </row>
    <row r="94" spans="1:11" ht="14.45" customHeight="1" thickBot="1" x14ac:dyDescent="0.25">
      <c r="A94" s="391" t="s">
        <v>295</v>
      </c>
      <c r="B94" s="369">
        <v>61.461561239787002</v>
      </c>
      <c r="C94" s="369">
        <v>26.843399999999999</v>
      </c>
      <c r="D94" s="370">
        <v>-34.618161239787</v>
      </c>
      <c r="E94" s="371">
        <v>0.43675102712199998</v>
      </c>
      <c r="F94" s="369">
        <v>28.064811304188002</v>
      </c>
      <c r="G94" s="370">
        <v>14.032405652094001</v>
      </c>
      <c r="H94" s="372">
        <v>0</v>
      </c>
      <c r="I94" s="369">
        <v>0.27500000000000002</v>
      </c>
      <c r="J94" s="370">
        <v>-13.757405652094</v>
      </c>
      <c r="K94" s="373">
        <v>9.7987475140000006E-3</v>
      </c>
    </row>
    <row r="95" spans="1:11" ht="14.45" customHeight="1" thickBot="1" x14ac:dyDescent="0.25">
      <c r="A95" s="391" t="s">
        <v>296</v>
      </c>
      <c r="B95" s="369">
        <v>0</v>
      </c>
      <c r="C95" s="369">
        <v>2.9148000000000001</v>
      </c>
      <c r="D95" s="370">
        <v>2.9148000000000001</v>
      </c>
      <c r="E95" s="379" t="s">
        <v>215</v>
      </c>
      <c r="F95" s="369">
        <v>2.988733883798</v>
      </c>
      <c r="G95" s="370">
        <v>1.494366941899</v>
      </c>
      <c r="H95" s="372">
        <v>0</v>
      </c>
      <c r="I95" s="369">
        <v>0</v>
      </c>
      <c r="J95" s="370">
        <v>-1.494366941899</v>
      </c>
      <c r="K95" s="373">
        <v>0</v>
      </c>
    </row>
    <row r="96" spans="1:11" ht="14.45" customHeight="1" thickBot="1" x14ac:dyDescent="0.25">
      <c r="A96" s="391" t="s">
        <v>297</v>
      </c>
      <c r="B96" s="369">
        <v>0</v>
      </c>
      <c r="C96" s="369">
        <v>5.2900000000000003E-2</v>
      </c>
      <c r="D96" s="370">
        <v>5.2900000000000003E-2</v>
      </c>
      <c r="E96" s="379" t="s">
        <v>215</v>
      </c>
      <c r="F96" s="369">
        <v>5.0308696967000001E-2</v>
      </c>
      <c r="G96" s="370">
        <v>2.5154348483000001E-2</v>
      </c>
      <c r="H96" s="372">
        <v>0</v>
      </c>
      <c r="I96" s="369">
        <v>0</v>
      </c>
      <c r="J96" s="370">
        <v>-2.5154348483000001E-2</v>
      </c>
      <c r="K96" s="373">
        <v>0</v>
      </c>
    </row>
    <row r="97" spans="1:11" ht="14.45" customHeight="1" thickBot="1" x14ac:dyDescent="0.25">
      <c r="A97" s="390" t="s">
        <v>298</v>
      </c>
      <c r="B97" s="374">
        <v>0</v>
      </c>
      <c r="C97" s="374">
        <v>0.59745000000000004</v>
      </c>
      <c r="D97" s="375">
        <v>0.59745000000000004</v>
      </c>
      <c r="E97" s="376" t="s">
        <v>209</v>
      </c>
      <c r="F97" s="374">
        <v>0</v>
      </c>
      <c r="G97" s="375">
        <v>0</v>
      </c>
      <c r="H97" s="377">
        <v>0</v>
      </c>
      <c r="I97" s="374">
        <v>0</v>
      </c>
      <c r="J97" s="375">
        <v>0</v>
      </c>
      <c r="K97" s="380" t="s">
        <v>209</v>
      </c>
    </row>
    <row r="98" spans="1:11" ht="14.45" customHeight="1" thickBot="1" x14ac:dyDescent="0.25">
      <c r="A98" s="391" t="s">
        <v>299</v>
      </c>
      <c r="B98" s="369">
        <v>0</v>
      </c>
      <c r="C98" s="369">
        <v>0.59745000000000004</v>
      </c>
      <c r="D98" s="370">
        <v>0.59745000000000004</v>
      </c>
      <c r="E98" s="379" t="s">
        <v>209</v>
      </c>
      <c r="F98" s="369">
        <v>0</v>
      </c>
      <c r="G98" s="370">
        <v>0</v>
      </c>
      <c r="H98" s="372">
        <v>0</v>
      </c>
      <c r="I98" s="369">
        <v>0</v>
      </c>
      <c r="J98" s="370">
        <v>0</v>
      </c>
      <c r="K98" s="381" t="s">
        <v>209</v>
      </c>
    </row>
    <row r="99" spans="1:11" ht="14.45" customHeight="1" thickBot="1" x14ac:dyDescent="0.25">
      <c r="A99" s="393" t="s">
        <v>300</v>
      </c>
      <c r="B99" s="369">
        <v>2.4112980502369998</v>
      </c>
      <c r="C99" s="369">
        <v>7.8660300000000003</v>
      </c>
      <c r="D99" s="370">
        <v>5.4547319497620004</v>
      </c>
      <c r="E99" s="371">
        <v>3.26215583313</v>
      </c>
      <c r="F99" s="369">
        <v>5.6768981282090003</v>
      </c>
      <c r="G99" s="370">
        <v>2.8384490641040001</v>
      </c>
      <c r="H99" s="372">
        <v>0</v>
      </c>
      <c r="I99" s="369">
        <v>2.4694799999999999</v>
      </c>
      <c r="J99" s="370">
        <v>-0.36896906410399999</v>
      </c>
      <c r="K99" s="373">
        <v>0.43500516377499998</v>
      </c>
    </row>
    <row r="100" spans="1:11" ht="14.45" customHeight="1" thickBot="1" x14ac:dyDescent="0.25">
      <c r="A100" s="391" t="s">
        <v>301</v>
      </c>
      <c r="B100" s="369">
        <v>0</v>
      </c>
      <c r="C100" s="369">
        <v>0</v>
      </c>
      <c r="D100" s="370">
        <v>0</v>
      </c>
      <c r="E100" s="371">
        <v>1</v>
      </c>
      <c r="F100" s="369">
        <v>5.6768981282090003</v>
      </c>
      <c r="G100" s="370">
        <v>2.8384490641040001</v>
      </c>
      <c r="H100" s="372">
        <v>0</v>
      </c>
      <c r="I100" s="369">
        <v>2.4694799999999999</v>
      </c>
      <c r="J100" s="370">
        <v>-0.36896906410399999</v>
      </c>
      <c r="K100" s="373">
        <v>0.43500516377499998</v>
      </c>
    </row>
    <row r="101" spans="1:11" ht="14.45" customHeight="1" thickBot="1" x14ac:dyDescent="0.25">
      <c r="A101" s="391" t="s">
        <v>302</v>
      </c>
      <c r="B101" s="369">
        <v>2.4112980502369998</v>
      </c>
      <c r="C101" s="369">
        <v>7.8660300000000003</v>
      </c>
      <c r="D101" s="370">
        <v>5.4547319497620004</v>
      </c>
      <c r="E101" s="371">
        <v>3.26215583313</v>
      </c>
      <c r="F101" s="369">
        <v>0</v>
      </c>
      <c r="G101" s="370">
        <v>0</v>
      </c>
      <c r="H101" s="372">
        <v>0</v>
      </c>
      <c r="I101" s="369">
        <v>0</v>
      </c>
      <c r="J101" s="370">
        <v>0</v>
      </c>
      <c r="K101" s="381" t="s">
        <v>209</v>
      </c>
    </row>
    <row r="102" spans="1:11" ht="14.45" customHeight="1" thickBot="1" x14ac:dyDescent="0.25">
      <c r="A102" s="390" t="s">
        <v>303</v>
      </c>
      <c r="B102" s="374">
        <v>9839.1629463614008</v>
      </c>
      <c r="C102" s="374">
        <v>11208.37111</v>
      </c>
      <c r="D102" s="375">
        <v>1369.2081636385999</v>
      </c>
      <c r="E102" s="382">
        <v>1.139159008861</v>
      </c>
      <c r="F102" s="374">
        <v>15452.4685775898</v>
      </c>
      <c r="G102" s="375">
        <v>7726.2342887948798</v>
      </c>
      <c r="H102" s="377">
        <v>884.28102000000104</v>
      </c>
      <c r="I102" s="374">
        <v>5846.1017400000001</v>
      </c>
      <c r="J102" s="375">
        <v>-1880.13254879488</v>
      </c>
      <c r="K102" s="378">
        <v>0.37832801345900002</v>
      </c>
    </row>
    <row r="103" spans="1:11" ht="14.45" customHeight="1" thickBot="1" x14ac:dyDescent="0.25">
      <c r="A103" s="391" t="s">
        <v>304</v>
      </c>
      <c r="B103" s="369">
        <v>3515.4525986119202</v>
      </c>
      <c r="C103" s="369">
        <v>3754.9680499999999</v>
      </c>
      <c r="D103" s="370">
        <v>239.51545138807899</v>
      </c>
      <c r="E103" s="371">
        <v>1.068132180613</v>
      </c>
      <c r="F103" s="369">
        <v>0</v>
      </c>
      <c r="G103" s="370">
        <v>0</v>
      </c>
      <c r="H103" s="372">
        <v>0</v>
      </c>
      <c r="I103" s="369">
        <v>0</v>
      </c>
      <c r="J103" s="370">
        <v>0</v>
      </c>
      <c r="K103" s="381" t="s">
        <v>209</v>
      </c>
    </row>
    <row r="104" spans="1:11" ht="14.45" customHeight="1" thickBot="1" x14ac:dyDescent="0.25">
      <c r="A104" s="391" t="s">
        <v>305</v>
      </c>
      <c r="B104" s="369">
        <v>6323.7103477494702</v>
      </c>
      <c r="C104" s="369">
        <v>7453.4030599999996</v>
      </c>
      <c r="D104" s="370">
        <v>1129.6927122505299</v>
      </c>
      <c r="E104" s="371">
        <v>1.1786439685129999</v>
      </c>
      <c r="F104" s="369">
        <v>15452.4685775898</v>
      </c>
      <c r="G104" s="370">
        <v>7726.2342887948798</v>
      </c>
      <c r="H104" s="372">
        <v>884.28102000000104</v>
      </c>
      <c r="I104" s="369">
        <v>5846.1017400000001</v>
      </c>
      <c r="J104" s="370">
        <v>-1880.13254879488</v>
      </c>
      <c r="K104" s="373">
        <v>0.37832801345900002</v>
      </c>
    </row>
    <row r="105" spans="1:11" ht="14.45" customHeight="1" thickBot="1" x14ac:dyDescent="0.25">
      <c r="A105" s="390" t="s">
        <v>306</v>
      </c>
      <c r="B105" s="374">
        <v>0</v>
      </c>
      <c r="C105" s="374">
        <v>619.27784999999994</v>
      </c>
      <c r="D105" s="375">
        <v>619.27784999999994</v>
      </c>
      <c r="E105" s="376" t="s">
        <v>209</v>
      </c>
      <c r="F105" s="374">
        <v>0</v>
      </c>
      <c r="G105" s="375">
        <v>0</v>
      </c>
      <c r="H105" s="377">
        <v>10.00253</v>
      </c>
      <c r="I105" s="374">
        <v>295.42746</v>
      </c>
      <c r="J105" s="375">
        <v>295.42746</v>
      </c>
      <c r="K105" s="380" t="s">
        <v>209</v>
      </c>
    </row>
    <row r="106" spans="1:11" ht="14.45" customHeight="1" thickBot="1" x14ac:dyDescent="0.25">
      <c r="A106" s="391" t="s">
        <v>307</v>
      </c>
      <c r="B106" s="369">
        <v>0</v>
      </c>
      <c r="C106" s="369">
        <v>185.78094999999999</v>
      </c>
      <c r="D106" s="370">
        <v>185.78094999999999</v>
      </c>
      <c r="E106" s="379" t="s">
        <v>209</v>
      </c>
      <c r="F106" s="369">
        <v>0</v>
      </c>
      <c r="G106" s="370">
        <v>0</v>
      </c>
      <c r="H106" s="372">
        <v>0</v>
      </c>
      <c r="I106" s="369">
        <v>0</v>
      </c>
      <c r="J106" s="370">
        <v>0</v>
      </c>
      <c r="K106" s="381" t="s">
        <v>209</v>
      </c>
    </row>
    <row r="107" spans="1:11" ht="14.45" customHeight="1" thickBot="1" x14ac:dyDescent="0.25">
      <c r="A107" s="391" t="s">
        <v>308</v>
      </c>
      <c r="B107" s="369">
        <v>0</v>
      </c>
      <c r="C107" s="369">
        <v>433.49689999999998</v>
      </c>
      <c r="D107" s="370">
        <v>433.49689999999998</v>
      </c>
      <c r="E107" s="379" t="s">
        <v>209</v>
      </c>
      <c r="F107" s="369">
        <v>0</v>
      </c>
      <c r="G107" s="370">
        <v>0</v>
      </c>
      <c r="H107" s="372">
        <v>10.00253</v>
      </c>
      <c r="I107" s="369">
        <v>295.42746</v>
      </c>
      <c r="J107" s="370">
        <v>295.42746</v>
      </c>
      <c r="K107" s="381" t="s">
        <v>209</v>
      </c>
    </row>
    <row r="108" spans="1:11" ht="14.45" customHeight="1" thickBot="1" x14ac:dyDescent="0.25">
      <c r="A108" s="388" t="s">
        <v>309</v>
      </c>
      <c r="B108" s="369">
        <v>57.979210754644001</v>
      </c>
      <c r="C108" s="369">
        <v>32.244190000000003</v>
      </c>
      <c r="D108" s="370">
        <v>-25.735020754644001</v>
      </c>
      <c r="E108" s="371">
        <v>0.55613364825599998</v>
      </c>
      <c r="F108" s="369">
        <v>0</v>
      </c>
      <c r="G108" s="370">
        <v>0</v>
      </c>
      <c r="H108" s="372">
        <v>1.6363000000000001</v>
      </c>
      <c r="I108" s="369">
        <v>10.567819999999999</v>
      </c>
      <c r="J108" s="370">
        <v>10.567819999999999</v>
      </c>
      <c r="K108" s="381" t="s">
        <v>209</v>
      </c>
    </row>
    <row r="109" spans="1:11" ht="14.45" customHeight="1" thickBot="1" x14ac:dyDescent="0.25">
      <c r="A109" s="389" t="s">
        <v>310</v>
      </c>
      <c r="B109" s="369">
        <v>0</v>
      </c>
      <c r="C109" s="369">
        <v>6.5</v>
      </c>
      <c r="D109" s="370">
        <v>6.5</v>
      </c>
      <c r="E109" s="379" t="s">
        <v>209</v>
      </c>
      <c r="F109" s="369">
        <v>0</v>
      </c>
      <c r="G109" s="370">
        <v>0</v>
      </c>
      <c r="H109" s="372">
        <v>0</v>
      </c>
      <c r="I109" s="369">
        <v>0.75</v>
      </c>
      <c r="J109" s="370">
        <v>0.75</v>
      </c>
      <c r="K109" s="381" t="s">
        <v>209</v>
      </c>
    </row>
    <row r="110" spans="1:11" ht="14.45" customHeight="1" thickBot="1" x14ac:dyDescent="0.25">
      <c r="A110" s="390" t="s">
        <v>311</v>
      </c>
      <c r="B110" s="374">
        <v>0</v>
      </c>
      <c r="C110" s="374">
        <v>6.5</v>
      </c>
      <c r="D110" s="375">
        <v>6.5</v>
      </c>
      <c r="E110" s="376" t="s">
        <v>209</v>
      </c>
      <c r="F110" s="374">
        <v>0</v>
      </c>
      <c r="G110" s="375">
        <v>0</v>
      </c>
      <c r="H110" s="377">
        <v>0</v>
      </c>
      <c r="I110" s="374">
        <v>0.75</v>
      </c>
      <c r="J110" s="375">
        <v>0.75</v>
      </c>
      <c r="K110" s="380" t="s">
        <v>209</v>
      </c>
    </row>
    <row r="111" spans="1:11" ht="14.45" customHeight="1" thickBot="1" x14ac:dyDescent="0.25">
      <c r="A111" s="391" t="s">
        <v>312</v>
      </c>
      <c r="B111" s="369">
        <v>0</v>
      </c>
      <c r="C111" s="369">
        <v>6.5</v>
      </c>
      <c r="D111" s="370">
        <v>6.5</v>
      </c>
      <c r="E111" s="379" t="s">
        <v>209</v>
      </c>
      <c r="F111" s="369">
        <v>0</v>
      </c>
      <c r="G111" s="370">
        <v>0</v>
      </c>
      <c r="H111" s="372">
        <v>0</v>
      </c>
      <c r="I111" s="369">
        <v>0.75</v>
      </c>
      <c r="J111" s="370">
        <v>0.75</v>
      </c>
      <c r="K111" s="381" t="s">
        <v>209</v>
      </c>
    </row>
    <row r="112" spans="1:11" ht="14.45" customHeight="1" thickBot="1" x14ac:dyDescent="0.25">
      <c r="A112" s="394" t="s">
        <v>313</v>
      </c>
      <c r="B112" s="374">
        <v>57.979210754644001</v>
      </c>
      <c r="C112" s="374">
        <v>25.74419</v>
      </c>
      <c r="D112" s="375">
        <v>-32.235020754643998</v>
      </c>
      <c r="E112" s="382">
        <v>0.44402449886599998</v>
      </c>
      <c r="F112" s="374">
        <v>0</v>
      </c>
      <c r="G112" s="375">
        <v>0</v>
      </c>
      <c r="H112" s="377">
        <v>1.6363000000000001</v>
      </c>
      <c r="I112" s="374">
        <v>9.8178199999999993</v>
      </c>
      <c r="J112" s="375">
        <v>9.8178199999999993</v>
      </c>
      <c r="K112" s="380" t="s">
        <v>209</v>
      </c>
    </row>
    <row r="113" spans="1:11" ht="14.45" customHeight="1" thickBot="1" x14ac:dyDescent="0.25">
      <c r="A113" s="390" t="s">
        <v>314</v>
      </c>
      <c r="B113" s="374">
        <v>0</v>
      </c>
      <c r="C113" s="374">
        <v>1.0000000000000001E-5</v>
      </c>
      <c r="D113" s="375">
        <v>1.0000000000000001E-5</v>
      </c>
      <c r="E113" s="376" t="s">
        <v>209</v>
      </c>
      <c r="F113" s="374">
        <v>0</v>
      </c>
      <c r="G113" s="375">
        <v>0</v>
      </c>
      <c r="H113" s="377">
        <v>0</v>
      </c>
      <c r="I113" s="374">
        <v>0</v>
      </c>
      <c r="J113" s="375">
        <v>0</v>
      </c>
      <c r="K113" s="380" t="s">
        <v>209</v>
      </c>
    </row>
    <row r="114" spans="1:11" ht="14.45" customHeight="1" thickBot="1" x14ac:dyDescent="0.25">
      <c r="A114" s="391" t="s">
        <v>315</v>
      </c>
      <c r="B114" s="369">
        <v>0</v>
      </c>
      <c r="C114" s="369">
        <v>1.0000000000000001E-5</v>
      </c>
      <c r="D114" s="370">
        <v>1.0000000000000001E-5</v>
      </c>
      <c r="E114" s="379" t="s">
        <v>209</v>
      </c>
      <c r="F114" s="369">
        <v>0</v>
      </c>
      <c r="G114" s="370">
        <v>0</v>
      </c>
      <c r="H114" s="372">
        <v>0</v>
      </c>
      <c r="I114" s="369">
        <v>0</v>
      </c>
      <c r="J114" s="370">
        <v>0</v>
      </c>
      <c r="K114" s="381" t="s">
        <v>209</v>
      </c>
    </row>
    <row r="115" spans="1:11" ht="14.45" customHeight="1" thickBot="1" x14ac:dyDescent="0.25">
      <c r="A115" s="390" t="s">
        <v>316</v>
      </c>
      <c r="B115" s="374">
        <v>57.979210754644001</v>
      </c>
      <c r="C115" s="374">
        <v>25.74418</v>
      </c>
      <c r="D115" s="375">
        <v>-32.235030754644001</v>
      </c>
      <c r="E115" s="382">
        <v>0.44402432639</v>
      </c>
      <c r="F115" s="374">
        <v>0</v>
      </c>
      <c r="G115" s="375">
        <v>0</v>
      </c>
      <c r="H115" s="377">
        <v>1.6363000000000001</v>
      </c>
      <c r="I115" s="374">
        <v>9.8178199999999993</v>
      </c>
      <c r="J115" s="375">
        <v>9.8178199999999993</v>
      </c>
      <c r="K115" s="380" t="s">
        <v>209</v>
      </c>
    </row>
    <row r="116" spans="1:11" ht="14.45" customHeight="1" thickBot="1" x14ac:dyDescent="0.25">
      <c r="A116" s="391" t="s">
        <v>317</v>
      </c>
      <c r="B116" s="369">
        <v>0</v>
      </c>
      <c r="C116" s="369">
        <v>9.4999999999999998E-3</v>
      </c>
      <c r="D116" s="370">
        <v>9.4999999999999998E-3</v>
      </c>
      <c r="E116" s="379" t="s">
        <v>215</v>
      </c>
      <c r="F116" s="369">
        <v>0</v>
      </c>
      <c r="G116" s="370">
        <v>0</v>
      </c>
      <c r="H116" s="372">
        <v>0</v>
      </c>
      <c r="I116" s="369">
        <v>0</v>
      </c>
      <c r="J116" s="370">
        <v>0</v>
      </c>
      <c r="K116" s="381" t="s">
        <v>209</v>
      </c>
    </row>
    <row r="117" spans="1:11" ht="14.45" customHeight="1" thickBot="1" x14ac:dyDescent="0.25">
      <c r="A117" s="391" t="s">
        <v>318</v>
      </c>
      <c r="B117" s="369">
        <v>57.979210754644001</v>
      </c>
      <c r="C117" s="369">
        <v>25.734680000000001</v>
      </c>
      <c r="D117" s="370">
        <v>-32.244530754644003</v>
      </c>
      <c r="E117" s="371">
        <v>0.44386047455700001</v>
      </c>
      <c r="F117" s="369">
        <v>0</v>
      </c>
      <c r="G117" s="370">
        <v>0</v>
      </c>
      <c r="H117" s="372">
        <v>1.6363000000000001</v>
      </c>
      <c r="I117" s="369">
        <v>9.8178199999999993</v>
      </c>
      <c r="J117" s="370">
        <v>9.8178199999999993</v>
      </c>
      <c r="K117" s="381" t="s">
        <v>209</v>
      </c>
    </row>
    <row r="118" spans="1:11" ht="14.45" customHeight="1" thickBot="1" x14ac:dyDescent="0.25">
      <c r="A118" s="387" t="s">
        <v>319</v>
      </c>
      <c r="B118" s="369">
        <v>1050.06826315077</v>
      </c>
      <c r="C118" s="369">
        <v>1096.7466099999999</v>
      </c>
      <c r="D118" s="370">
        <v>46.678346849232</v>
      </c>
      <c r="E118" s="371">
        <v>1.044452678446</v>
      </c>
      <c r="F118" s="369">
        <v>1101.8477241421599</v>
      </c>
      <c r="G118" s="370">
        <v>550.92386207108098</v>
      </c>
      <c r="H118" s="372">
        <v>123.44385</v>
      </c>
      <c r="I118" s="369">
        <v>605.68311000000006</v>
      </c>
      <c r="J118" s="370">
        <v>54.759247928919002</v>
      </c>
      <c r="K118" s="373">
        <v>0.54969765488300004</v>
      </c>
    </row>
    <row r="119" spans="1:11" ht="14.45" customHeight="1" thickBot="1" x14ac:dyDescent="0.25">
      <c r="A119" s="392" t="s">
        <v>320</v>
      </c>
      <c r="B119" s="374">
        <v>1050.06826315077</v>
      </c>
      <c r="C119" s="374">
        <v>1096.7466099999999</v>
      </c>
      <c r="D119" s="375">
        <v>46.678346849232</v>
      </c>
      <c r="E119" s="382">
        <v>1.044452678446</v>
      </c>
      <c r="F119" s="374">
        <v>1101.8477241421599</v>
      </c>
      <c r="G119" s="375">
        <v>550.92386207108098</v>
      </c>
      <c r="H119" s="377">
        <v>123.44385</v>
      </c>
      <c r="I119" s="374">
        <v>605.68311000000006</v>
      </c>
      <c r="J119" s="375">
        <v>54.759247928919002</v>
      </c>
      <c r="K119" s="378">
        <v>0.54969765488300004</v>
      </c>
    </row>
    <row r="120" spans="1:11" ht="14.45" customHeight="1" thickBot="1" x14ac:dyDescent="0.25">
      <c r="A120" s="394" t="s">
        <v>30</v>
      </c>
      <c r="B120" s="374">
        <v>1050.06826315077</v>
      </c>
      <c r="C120" s="374">
        <v>1096.7466099999999</v>
      </c>
      <c r="D120" s="375">
        <v>46.678346849232</v>
      </c>
      <c r="E120" s="382">
        <v>1.044452678446</v>
      </c>
      <c r="F120" s="374">
        <v>1101.8477241421599</v>
      </c>
      <c r="G120" s="375">
        <v>550.92386207108098</v>
      </c>
      <c r="H120" s="377">
        <v>123.44385</v>
      </c>
      <c r="I120" s="374">
        <v>605.68311000000006</v>
      </c>
      <c r="J120" s="375">
        <v>54.759247928919002</v>
      </c>
      <c r="K120" s="378">
        <v>0.54969765488300004</v>
      </c>
    </row>
    <row r="121" spans="1:11" ht="14.45" customHeight="1" thickBot="1" x14ac:dyDescent="0.25">
      <c r="A121" s="393" t="s">
        <v>321</v>
      </c>
      <c r="B121" s="369">
        <v>0</v>
      </c>
      <c r="C121" s="369">
        <v>6.7000000000000002E-3</v>
      </c>
      <c r="D121" s="370">
        <v>6.7000000000000002E-3</v>
      </c>
      <c r="E121" s="379" t="s">
        <v>215</v>
      </c>
      <c r="F121" s="369">
        <v>0</v>
      </c>
      <c r="G121" s="370">
        <v>0</v>
      </c>
      <c r="H121" s="372">
        <v>0</v>
      </c>
      <c r="I121" s="369">
        <v>0</v>
      </c>
      <c r="J121" s="370">
        <v>0</v>
      </c>
      <c r="K121" s="373">
        <v>0</v>
      </c>
    </row>
    <row r="122" spans="1:11" ht="14.45" customHeight="1" thickBot="1" x14ac:dyDescent="0.25">
      <c r="A122" s="391" t="s">
        <v>322</v>
      </c>
      <c r="B122" s="369">
        <v>0</v>
      </c>
      <c r="C122" s="369">
        <v>6.7000000000000002E-3</v>
      </c>
      <c r="D122" s="370">
        <v>6.7000000000000002E-3</v>
      </c>
      <c r="E122" s="379" t="s">
        <v>215</v>
      </c>
      <c r="F122" s="369">
        <v>0</v>
      </c>
      <c r="G122" s="370">
        <v>0</v>
      </c>
      <c r="H122" s="372">
        <v>0</v>
      </c>
      <c r="I122" s="369">
        <v>0</v>
      </c>
      <c r="J122" s="370">
        <v>0</v>
      </c>
      <c r="K122" s="373">
        <v>0</v>
      </c>
    </row>
    <row r="123" spans="1:11" ht="14.45" customHeight="1" thickBot="1" x14ac:dyDescent="0.25">
      <c r="A123" s="390" t="s">
        <v>323</v>
      </c>
      <c r="B123" s="374">
        <v>2.8997982971259999</v>
      </c>
      <c r="C123" s="374">
        <v>2.37</v>
      </c>
      <c r="D123" s="375">
        <v>-0.52979829712600002</v>
      </c>
      <c r="E123" s="382">
        <v>0.81729822462000001</v>
      </c>
      <c r="F123" s="374">
        <v>0</v>
      </c>
      <c r="G123" s="375">
        <v>0</v>
      </c>
      <c r="H123" s="377">
        <v>0</v>
      </c>
      <c r="I123" s="374">
        <v>1.32</v>
      </c>
      <c r="J123" s="375">
        <v>1.32</v>
      </c>
      <c r="K123" s="380" t="s">
        <v>215</v>
      </c>
    </row>
    <row r="124" spans="1:11" ht="14.45" customHeight="1" thickBot="1" x14ac:dyDescent="0.25">
      <c r="A124" s="391" t="s">
        <v>324</v>
      </c>
      <c r="B124" s="369">
        <v>2.8997982971259999</v>
      </c>
      <c r="C124" s="369">
        <v>2.37</v>
      </c>
      <c r="D124" s="370">
        <v>-0.52979829712600002</v>
      </c>
      <c r="E124" s="371">
        <v>0.81729822462000001</v>
      </c>
      <c r="F124" s="369">
        <v>0</v>
      </c>
      <c r="G124" s="370">
        <v>0</v>
      </c>
      <c r="H124" s="372">
        <v>0</v>
      </c>
      <c r="I124" s="369">
        <v>1.32</v>
      </c>
      <c r="J124" s="370">
        <v>1.32</v>
      </c>
      <c r="K124" s="381" t="s">
        <v>215</v>
      </c>
    </row>
    <row r="125" spans="1:11" ht="14.45" customHeight="1" thickBot="1" x14ac:dyDescent="0.25">
      <c r="A125" s="390" t="s">
        <v>325</v>
      </c>
      <c r="B125" s="374">
        <v>0.68415123552599999</v>
      </c>
      <c r="C125" s="374">
        <v>0.73499999999999999</v>
      </c>
      <c r="D125" s="375">
        <v>5.0848764472999998E-2</v>
      </c>
      <c r="E125" s="382">
        <v>1.0743238655909999</v>
      </c>
      <c r="F125" s="374">
        <v>0</v>
      </c>
      <c r="G125" s="375">
        <v>0</v>
      </c>
      <c r="H125" s="377">
        <v>0</v>
      </c>
      <c r="I125" s="374">
        <v>0</v>
      </c>
      <c r="J125" s="375">
        <v>0</v>
      </c>
      <c r="K125" s="378">
        <v>0</v>
      </c>
    </row>
    <row r="126" spans="1:11" ht="14.45" customHeight="1" thickBot="1" x14ac:dyDescent="0.25">
      <c r="A126" s="391" t="s">
        <v>326</v>
      </c>
      <c r="B126" s="369">
        <v>0.68415123552599999</v>
      </c>
      <c r="C126" s="369">
        <v>0.73499999999999999</v>
      </c>
      <c r="D126" s="370">
        <v>5.0848764472999998E-2</v>
      </c>
      <c r="E126" s="371">
        <v>1.0743238655909999</v>
      </c>
      <c r="F126" s="369">
        <v>0</v>
      </c>
      <c r="G126" s="370">
        <v>0</v>
      </c>
      <c r="H126" s="372">
        <v>0</v>
      </c>
      <c r="I126" s="369">
        <v>0</v>
      </c>
      <c r="J126" s="370">
        <v>0</v>
      </c>
      <c r="K126" s="373">
        <v>0</v>
      </c>
    </row>
    <row r="127" spans="1:11" ht="14.45" customHeight="1" thickBot="1" x14ac:dyDescent="0.25">
      <c r="A127" s="393" t="s">
        <v>327</v>
      </c>
      <c r="B127" s="369">
        <v>0</v>
      </c>
      <c r="C127" s="369">
        <v>0</v>
      </c>
      <c r="D127" s="370">
        <v>0</v>
      </c>
      <c r="E127" s="371">
        <v>1</v>
      </c>
      <c r="F127" s="369">
        <v>0</v>
      </c>
      <c r="G127" s="370">
        <v>0</v>
      </c>
      <c r="H127" s="372">
        <v>3.3300000000000001E-3</v>
      </c>
      <c r="I127" s="369">
        <v>5.9800000000000001E-3</v>
      </c>
      <c r="J127" s="370">
        <v>5.9800000000000001E-3</v>
      </c>
      <c r="K127" s="381" t="s">
        <v>215</v>
      </c>
    </row>
    <row r="128" spans="1:11" ht="14.45" customHeight="1" thickBot="1" x14ac:dyDescent="0.25">
      <c r="A128" s="391" t="s">
        <v>328</v>
      </c>
      <c r="B128" s="369">
        <v>0</v>
      </c>
      <c r="C128" s="369">
        <v>0</v>
      </c>
      <c r="D128" s="370">
        <v>0</v>
      </c>
      <c r="E128" s="371">
        <v>1</v>
      </c>
      <c r="F128" s="369">
        <v>0</v>
      </c>
      <c r="G128" s="370">
        <v>0</v>
      </c>
      <c r="H128" s="372">
        <v>3.3300000000000001E-3</v>
      </c>
      <c r="I128" s="369">
        <v>5.9800000000000001E-3</v>
      </c>
      <c r="J128" s="370">
        <v>5.9800000000000001E-3</v>
      </c>
      <c r="K128" s="381" t="s">
        <v>215</v>
      </c>
    </row>
    <row r="129" spans="1:11" ht="14.45" customHeight="1" thickBot="1" x14ac:dyDescent="0.25">
      <c r="A129" s="390" t="s">
        <v>329</v>
      </c>
      <c r="B129" s="374">
        <v>0</v>
      </c>
      <c r="C129" s="374">
        <v>0.16800000000000001</v>
      </c>
      <c r="D129" s="375">
        <v>0.16800000000000001</v>
      </c>
      <c r="E129" s="376" t="s">
        <v>215</v>
      </c>
      <c r="F129" s="374">
        <v>0</v>
      </c>
      <c r="G129" s="375">
        <v>0</v>
      </c>
      <c r="H129" s="377">
        <v>0</v>
      </c>
      <c r="I129" s="374">
        <v>0</v>
      </c>
      <c r="J129" s="375">
        <v>0</v>
      </c>
      <c r="K129" s="378">
        <v>0</v>
      </c>
    </row>
    <row r="130" spans="1:11" ht="14.45" customHeight="1" thickBot="1" x14ac:dyDescent="0.25">
      <c r="A130" s="391" t="s">
        <v>330</v>
      </c>
      <c r="B130" s="369">
        <v>0</v>
      </c>
      <c r="C130" s="369">
        <v>0.16800000000000001</v>
      </c>
      <c r="D130" s="370">
        <v>0.16800000000000001</v>
      </c>
      <c r="E130" s="379" t="s">
        <v>215</v>
      </c>
      <c r="F130" s="369">
        <v>0</v>
      </c>
      <c r="G130" s="370">
        <v>0</v>
      </c>
      <c r="H130" s="372">
        <v>0</v>
      </c>
      <c r="I130" s="369">
        <v>0</v>
      </c>
      <c r="J130" s="370">
        <v>0</v>
      </c>
      <c r="K130" s="373">
        <v>0</v>
      </c>
    </row>
    <row r="131" spans="1:11" ht="14.45" customHeight="1" thickBot="1" x14ac:dyDescent="0.25">
      <c r="A131" s="390" t="s">
        <v>331</v>
      </c>
      <c r="B131" s="374">
        <v>242.67492875270901</v>
      </c>
      <c r="C131" s="374">
        <v>203.25269</v>
      </c>
      <c r="D131" s="375">
        <v>-39.422238752707997</v>
      </c>
      <c r="E131" s="382">
        <v>0.83755125032699995</v>
      </c>
      <c r="F131" s="374">
        <v>272.907352826188</v>
      </c>
      <c r="G131" s="375">
        <v>136.453676413094</v>
      </c>
      <c r="H131" s="377">
        <v>40.659880000000001</v>
      </c>
      <c r="I131" s="374">
        <v>131.29593</v>
      </c>
      <c r="J131" s="375">
        <v>-5.1577464130940003</v>
      </c>
      <c r="K131" s="378">
        <v>0.481100742212</v>
      </c>
    </row>
    <row r="132" spans="1:11" ht="14.45" customHeight="1" thickBot="1" x14ac:dyDescent="0.25">
      <c r="A132" s="391" t="s">
        <v>332</v>
      </c>
      <c r="B132" s="369">
        <v>242.67492875270901</v>
      </c>
      <c r="C132" s="369">
        <v>203.25269</v>
      </c>
      <c r="D132" s="370">
        <v>-39.422238752707997</v>
      </c>
      <c r="E132" s="371">
        <v>0.83755125032699995</v>
      </c>
      <c r="F132" s="369">
        <v>272.907352826188</v>
      </c>
      <c r="G132" s="370">
        <v>136.453676413094</v>
      </c>
      <c r="H132" s="372">
        <v>40.659880000000001</v>
      </c>
      <c r="I132" s="369">
        <v>131.29593</v>
      </c>
      <c r="J132" s="370">
        <v>-5.1577464130940003</v>
      </c>
      <c r="K132" s="373">
        <v>0.481100742212</v>
      </c>
    </row>
    <row r="133" spans="1:11" ht="14.45" customHeight="1" thickBot="1" x14ac:dyDescent="0.25">
      <c r="A133" s="390" t="s">
        <v>333</v>
      </c>
      <c r="B133" s="374">
        <v>803.80938486540595</v>
      </c>
      <c r="C133" s="374">
        <v>890.21421999999995</v>
      </c>
      <c r="D133" s="375">
        <v>86.404835134593</v>
      </c>
      <c r="E133" s="382">
        <v>1.1074941855130001</v>
      </c>
      <c r="F133" s="374">
        <v>828.94037131597395</v>
      </c>
      <c r="G133" s="375">
        <v>414.47018565798697</v>
      </c>
      <c r="H133" s="377">
        <v>82.780640000000005</v>
      </c>
      <c r="I133" s="374">
        <v>473.06119999999999</v>
      </c>
      <c r="J133" s="375">
        <v>58.591014342012997</v>
      </c>
      <c r="K133" s="378">
        <v>0.57068182027199998</v>
      </c>
    </row>
    <row r="134" spans="1:11" ht="14.45" customHeight="1" thickBot="1" x14ac:dyDescent="0.25">
      <c r="A134" s="391" t="s">
        <v>334</v>
      </c>
      <c r="B134" s="369">
        <v>803.80938486540595</v>
      </c>
      <c r="C134" s="369">
        <v>890.21421999999995</v>
      </c>
      <c r="D134" s="370">
        <v>86.404835134593</v>
      </c>
      <c r="E134" s="371">
        <v>1.1074941855130001</v>
      </c>
      <c r="F134" s="369">
        <v>828.94037131597395</v>
      </c>
      <c r="G134" s="370">
        <v>414.47018565798697</v>
      </c>
      <c r="H134" s="372">
        <v>82.780640000000005</v>
      </c>
      <c r="I134" s="369">
        <v>473.06119999999999</v>
      </c>
      <c r="J134" s="370">
        <v>58.591014342012997</v>
      </c>
      <c r="K134" s="373">
        <v>0.57068182027199998</v>
      </c>
    </row>
    <row r="135" spans="1:11" ht="14.45" customHeight="1" thickBot="1" x14ac:dyDescent="0.25">
      <c r="A135" s="395"/>
      <c r="B135" s="369">
        <v>227.302132897246</v>
      </c>
      <c r="C135" s="369">
        <v>1763.4132299999901</v>
      </c>
      <c r="D135" s="370">
        <v>1536.1110971027399</v>
      </c>
      <c r="E135" s="371">
        <v>7.7580144432570002</v>
      </c>
      <c r="F135" s="369">
        <v>5756.8494849376102</v>
      </c>
      <c r="G135" s="370">
        <v>2878.4247424688101</v>
      </c>
      <c r="H135" s="372">
        <v>52.334520000003003</v>
      </c>
      <c r="I135" s="369">
        <v>1009.20688</v>
      </c>
      <c r="J135" s="370">
        <v>-1869.2178624687999</v>
      </c>
      <c r="K135" s="373">
        <v>0.17530541360099999</v>
      </c>
    </row>
    <row r="136" spans="1:11" ht="14.45" customHeight="1" thickBot="1" x14ac:dyDescent="0.25">
      <c r="A136" s="396" t="s">
        <v>42</v>
      </c>
      <c r="B136" s="383">
        <v>227.302132897246</v>
      </c>
      <c r="C136" s="383">
        <v>1763.4132299999901</v>
      </c>
      <c r="D136" s="384">
        <v>1536.1110971027399</v>
      </c>
      <c r="E136" s="385">
        <v>-0.89078737942800001</v>
      </c>
      <c r="F136" s="383">
        <v>5756.8494849376102</v>
      </c>
      <c r="G136" s="384">
        <v>2878.4247424688101</v>
      </c>
      <c r="H136" s="383">
        <v>52.334520000003003</v>
      </c>
      <c r="I136" s="383">
        <v>1009.20688</v>
      </c>
      <c r="J136" s="384">
        <v>-1869.2178624687999</v>
      </c>
      <c r="K136" s="386">
        <v>0.17530541360099999</v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 xr:uid="{056F8514-EDAC-4C2F-806E-B0FCDDF8970F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77" customWidth="1"/>
    <col min="2" max="2" width="61.140625" style="177" customWidth="1"/>
    <col min="3" max="3" width="9.5703125" style="101" hidden="1" customWidth="1" outlineLevel="1"/>
    <col min="4" max="4" width="9.5703125" style="178" customWidth="1" collapsed="1"/>
    <col min="5" max="5" width="2.28515625" style="178" customWidth="1"/>
    <col min="6" max="6" width="9.5703125" style="179" customWidth="1"/>
    <col min="7" max="7" width="9.5703125" style="176" customWidth="1"/>
    <col min="8" max="9" width="9.5703125" style="101" customWidth="1"/>
    <col min="10" max="10" width="0" style="101" hidden="1" customWidth="1"/>
    <col min="11" max="16384" width="8.85546875" style="101"/>
  </cols>
  <sheetData>
    <row r="1" spans="1:10" ht="18.600000000000001" customHeight="1" thickBot="1" x14ac:dyDescent="0.35">
      <c r="A1" s="306" t="s">
        <v>102</v>
      </c>
      <c r="B1" s="307"/>
      <c r="C1" s="307"/>
      <c r="D1" s="307"/>
      <c r="E1" s="307"/>
      <c r="F1" s="307"/>
      <c r="G1" s="277"/>
      <c r="H1" s="308"/>
      <c r="I1" s="308"/>
    </row>
    <row r="2" spans="1:10" ht="14.45" customHeight="1" thickBot="1" x14ac:dyDescent="0.25">
      <c r="A2" s="192" t="s">
        <v>208</v>
      </c>
      <c r="B2" s="175"/>
      <c r="C2" s="175"/>
      <c r="D2" s="175"/>
      <c r="E2" s="175"/>
      <c r="F2" s="175"/>
    </row>
    <row r="3" spans="1:10" ht="14.45" customHeight="1" thickBot="1" x14ac:dyDescent="0.25">
      <c r="A3" s="192"/>
      <c r="B3" s="220"/>
      <c r="C3" s="219">
        <v>2015</v>
      </c>
      <c r="D3" s="199">
        <v>2018</v>
      </c>
      <c r="E3" s="7"/>
      <c r="F3" s="285">
        <v>2019</v>
      </c>
      <c r="G3" s="303"/>
      <c r="H3" s="303"/>
      <c r="I3" s="286"/>
    </row>
    <row r="4" spans="1:10" ht="14.45" customHeight="1" thickBot="1" x14ac:dyDescent="0.25">
      <c r="A4" s="203" t="s">
        <v>0</v>
      </c>
      <c r="B4" s="204" t="s">
        <v>145</v>
      </c>
      <c r="C4" s="304" t="s">
        <v>48</v>
      </c>
      <c r="D4" s="305"/>
      <c r="E4" s="205"/>
      <c r="F4" s="200" t="s">
        <v>48</v>
      </c>
      <c r="G4" s="201" t="s">
        <v>49</v>
      </c>
      <c r="H4" s="201" t="s">
        <v>43</v>
      </c>
      <c r="I4" s="202" t="s">
        <v>50</v>
      </c>
    </row>
    <row r="5" spans="1:10" ht="14.45" customHeight="1" x14ac:dyDescent="0.2">
      <c r="A5" s="397" t="s">
        <v>335</v>
      </c>
      <c r="B5" s="398" t="s">
        <v>336</v>
      </c>
      <c r="C5" s="399" t="s">
        <v>337</v>
      </c>
      <c r="D5" s="399" t="s">
        <v>337</v>
      </c>
      <c r="E5" s="399"/>
      <c r="F5" s="399" t="s">
        <v>337</v>
      </c>
      <c r="G5" s="399" t="s">
        <v>337</v>
      </c>
      <c r="H5" s="399" t="s">
        <v>337</v>
      </c>
      <c r="I5" s="400" t="s">
        <v>337</v>
      </c>
      <c r="J5" s="401" t="s">
        <v>44</v>
      </c>
    </row>
    <row r="6" spans="1:10" ht="14.45" customHeight="1" x14ac:dyDescent="0.2">
      <c r="A6" s="397" t="s">
        <v>335</v>
      </c>
      <c r="B6" s="398" t="s">
        <v>338</v>
      </c>
      <c r="C6" s="399">
        <v>0</v>
      </c>
      <c r="D6" s="399">
        <v>0.96404000000000001</v>
      </c>
      <c r="E6" s="399"/>
      <c r="F6" s="399">
        <v>0</v>
      </c>
      <c r="G6" s="399">
        <v>0.5</v>
      </c>
      <c r="H6" s="399">
        <v>-0.5</v>
      </c>
      <c r="I6" s="400">
        <v>0</v>
      </c>
      <c r="J6" s="401" t="s">
        <v>1</v>
      </c>
    </row>
    <row r="7" spans="1:10" ht="14.45" customHeight="1" x14ac:dyDescent="0.2">
      <c r="A7" s="397" t="s">
        <v>335</v>
      </c>
      <c r="B7" s="398" t="s">
        <v>339</v>
      </c>
      <c r="C7" s="399">
        <v>0</v>
      </c>
      <c r="D7" s="399">
        <v>0.96404000000000001</v>
      </c>
      <c r="E7" s="399"/>
      <c r="F7" s="399">
        <v>0</v>
      </c>
      <c r="G7" s="399">
        <v>0.5</v>
      </c>
      <c r="H7" s="399">
        <v>-0.5</v>
      </c>
      <c r="I7" s="400">
        <v>0</v>
      </c>
      <c r="J7" s="401" t="s">
        <v>340</v>
      </c>
    </row>
    <row r="9" spans="1:10" ht="14.45" customHeight="1" x14ac:dyDescent="0.2">
      <c r="A9" s="397" t="s">
        <v>335</v>
      </c>
      <c r="B9" s="398" t="s">
        <v>336</v>
      </c>
      <c r="C9" s="399" t="s">
        <v>337</v>
      </c>
      <c r="D9" s="399" t="s">
        <v>337</v>
      </c>
      <c r="E9" s="399"/>
      <c r="F9" s="399" t="s">
        <v>337</v>
      </c>
      <c r="G9" s="399" t="s">
        <v>337</v>
      </c>
      <c r="H9" s="399" t="s">
        <v>337</v>
      </c>
      <c r="I9" s="400" t="s">
        <v>337</v>
      </c>
      <c r="J9" s="401" t="s">
        <v>44</v>
      </c>
    </row>
    <row r="10" spans="1:10" ht="14.45" customHeight="1" x14ac:dyDescent="0.2">
      <c r="A10" s="397" t="s">
        <v>341</v>
      </c>
      <c r="B10" s="398" t="s">
        <v>342</v>
      </c>
      <c r="C10" s="399" t="s">
        <v>337</v>
      </c>
      <c r="D10" s="399" t="s">
        <v>337</v>
      </c>
      <c r="E10" s="399"/>
      <c r="F10" s="399" t="s">
        <v>337</v>
      </c>
      <c r="G10" s="399" t="s">
        <v>337</v>
      </c>
      <c r="H10" s="399" t="s">
        <v>337</v>
      </c>
      <c r="I10" s="400" t="s">
        <v>337</v>
      </c>
      <c r="J10" s="401" t="s">
        <v>0</v>
      </c>
    </row>
    <row r="11" spans="1:10" ht="14.45" customHeight="1" x14ac:dyDescent="0.2">
      <c r="A11" s="397" t="s">
        <v>341</v>
      </c>
      <c r="B11" s="398" t="s">
        <v>338</v>
      </c>
      <c r="C11" s="399">
        <v>0</v>
      </c>
      <c r="D11" s="399">
        <v>0.96404000000000001</v>
      </c>
      <c r="E11" s="399"/>
      <c r="F11" s="399">
        <v>0</v>
      </c>
      <c r="G11" s="399">
        <v>1</v>
      </c>
      <c r="H11" s="399">
        <v>-1</v>
      </c>
      <c r="I11" s="400">
        <v>0</v>
      </c>
      <c r="J11" s="401" t="s">
        <v>1</v>
      </c>
    </row>
    <row r="12" spans="1:10" ht="14.45" customHeight="1" x14ac:dyDescent="0.2">
      <c r="A12" s="397" t="s">
        <v>341</v>
      </c>
      <c r="B12" s="398" t="s">
        <v>343</v>
      </c>
      <c r="C12" s="399">
        <v>0</v>
      </c>
      <c r="D12" s="399">
        <v>0.96404000000000001</v>
      </c>
      <c r="E12" s="399"/>
      <c r="F12" s="399">
        <v>0</v>
      </c>
      <c r="G12" s="399">
        <v>1</v>
      </c>
      <c r="H12" s="399">
        <v>-1</v>
      </c>
      <c r="I12" s="400">
        <v>0</v>
      </c>
      <c r="J12" s="401" t="s">
        <v>344</v>
      </c>
    </row>
    <row r="13" spans="1:10" ht="14.45" customHeight="1" x14ac:dyDescent="0.2">
      <c r="A13" s="397" t="s">
        <v>337</v>
      </c>
      <c r="B13" s="398" t="s">
        <v>337</v>
      </c>
      <c r="C13" s="399" t="s">
        <v>337</v>
      </c>
      <c r="D13" s="399" t="s">
        <v>337</v>
      </c>
      <c r="E13" s="399"/>
      <c r="F13" s="399" t="s">
        <v>337</v>
      </c>
      <c r="G13" s="399" t="s">
        <v>337</v>
      </c>
      <c r="H13" s="399" t="s">
        <v>337</v>
      </c>
      <c r="I13" s="400" t="s">
        <v>337</v>
      </c>
      <c r="J13" s="401" t="s">
        <v>345</v>
      </c>
    </row>
    <row r="14" spans="1:10" ht="14.45" customHeight="1" x14ac:dyDescent="0.2">
      <c r="A14" s="397" t="s">
        <v>335</v>
      </c>
      <c r="B14" s="398" t="s">
        <v>339</v>
      </c>
      <c r="C14" s="399">
        <v>0</v>
      </c>
      <c r="D14" s="399">
        <v>0.96404000000000001</v>
      </c>
      <c r="E14" s="399"/>
      <c r="F14" s="399">
        <v>0</v>
      </c>
      <c r="G14" s="399">
        <v>1</v>
      </c>
      <c r="H14" s="399">
        <v>-1</v>
      </c>
      <c r="I14" s="400">
        <v>0</v>
      </c>
      <c r="J14" s="401" t="s">
        <v>340</v>
      </c>
    </row>
  </sheetData>
  <mergeCells count="3">
    <mergeCell ref="F3:I3"/>
    <mergeCell ref="C4:D4"/>
    <mergeCell ref="A1:I1"/>
  </mergeCells>
  <conditionalFormatting sqref="F8 F15:F65537">
    <cfRule type="cellIs" dxfId="36" priority="18" stopIfTrue="1" operator="greaterThan">
      <formula>1</formula>
    </cfRule>
  </conditionalFormatting>
  <conditionalFormatting sqref="H5:H7">
    <cfRule type="expression" dxfId="35" priority="14">
      <formula>$H5&gt;0</formula>
    </cfRule>
  </conditionalFormatting>
  <conditionalFormatting sqref="I5:I7">
    <cfRule type="expression" dxfId="34" priority="15">
      <formula>$I5&gt;1</formula>
    </cfRule>
  </conditionalFormatting>
  <conditionalFormatting sqref="B5:B7">
    <cfRule type="expression" dxfId="33" priority="11">
      <formula>OR($J5="NS",$J5="SumaNS",$J5="Účet")</formula>
    </cfRule>
  </conditionalFormatting>
  <conditionalFormatting sqref="B5:D7 F5:I7">
    <cfRule type="expression" dxfId="32" priority="17">
      <formula>AND($J5&lt;&gt;"",$J5&lt;&gt;"mezeraKL")</formula>
    </cfRule>
  </conditionalFormatting>
  <conditionalFormatting sqref="B5:D7 F5:I7">
    <cfRule type="expression" dxfId="31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0" priority="13">
      <formula>OR($J5="SumaNS",$J5="NS")</formula>
    </cfRule>
  </conditionalFormatting>
  <conditionalFormatting sqref="A5:A7">
    <cfRule type="expression" dxfId="29" priority="9">
      <formula>AND($J5&lt;&gt;"mezeraKL",$J5&lt;&gt;"")</formula>
    </cfRule>
  </conditionalFormatting>
  <conditionalFormatting sqref="A5:A7">
    <cfRule type="expression" dxfId="28" priority="10">
      <formula>AND($J5&lt;&gt;"",$J5&lt;&gt;"mezeraKL")</formula>
    </cfRule>
  </conditionalFormatting>
  <conditionalFormatting sqref="H9:H14">
    <cfRule type="expression" dxfId="27" priority="5">
      <formula>$H9&gt;0</formula>
    </cfRule>
  </conditionalFormatting>
  <conditionalFormatting sqref="A9:A14">
    <cfRule type="expression" dxfId="26" priority="2">
      <formula>AND($J9&lt;&gt;"mezeraKL",$J9&lt;&gt;"")</formula>
    </cfRule>
  </conditionalFormatting>
  <conditionalFormatting sqref="I9:I14">
    <cfRule type="expression" dxfId="25" priority="6">
      <formula>$I9&gt;1</formula>
    </cfRule>
  </conditionalFormatting>
  <conditionalFormatting sqref="B9:B14">
    <cfRule type="expression" dxfId="24" priority="1">
      <formula>OR($J9="NS",$J9="SumaNS",$J9="Účet")</formula>
    </cfRule>
  </conditionalFormatting>
  <conditionalFormatting sqref="A9:D14 F9:I14">
    <cfRule type="expression" dxfId="23" priority="8">
      <formula>AND($J9&lt;&gt;"",$J9&lt;&gt;"mezeraKL")</formula>
    </cfRule>
  </conditionalFormatting>
  <conditionalFormatting sqref="B9:D14 F9:I14">
    <cfRule type="expression" dxfId="22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21" priority="4">
      <formula>OR($J9="SumaNS",$J9="NS")</formula>
    </cfRule>
  </conditionalFormatting>
  <hyperlinks>
    <hyperlink ref="A2" location="Obsah!A1" display="Zpět na Obsah  KL 01  1.-4.měsíc" xr:uid="{D98ACDCF-CA77-4D25-A822-9D758CBC371C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77" customWidth="1"/>
    <col min="2" max="2" width="61.140625" style="177" customWidth="1"/>
    <col min="3" max="3" width="9.5703125" style="101" hidden="1" customWidth="1" outlineLevel="1"/>
    <col min="4" max="4" width="9.5703125" style="178" customWidth="1" collapsed="1"/>
    <col min="5" max="5" width="2.28515625" style="178" customWidth="1"/>
    <col min="6" max="6" width="9.5703125" style="179" customWidth="1"/>
    <col min="7" max="7" width="9.5703125" style="176" customWidth="1"/>
    <col min="8" max="9" width="9.5703125" style="101" customWidth="1"/>
    <col min="10" max="10" width="0" style="101" hidden="1" customWidth="1"/>
    <col min="11" max="16384" width="8.85546875" style="101"/>
  </cols>
  <sheetData>
    <row r="1" spans="1:10" ht="18.600000000000001" customHeight="1" thickBot="1" x14ac:dyDescent="0.35">
      <c r="A1" s="306" t="s">
        <v>103</v>
      </c>
      <c r="B1" s="307"/>
      <c r="C1" s="307"/>
      <c r="D1" s="307"/>
      <c r="E1" s="307"/>
      <c r="F1" s="307"/>
      <c r="G1" s="277"/>
      <c r="H1" s="308"/>
      <c r="I1" s="308"/>
    </row>
    <row r="2" spans="1:10" ht="14.45" customHeight="1" thickBot="1" x14ac:dyDescent="0.25">
      <c r="A2" s="192" t="s">
        <v>208</v>
      </c>
      <c r="B2" s="175"/>
      <c r="C2" s="175"/>
      <c r="D2" s="175"/>
      <c r="E2" s="175"/>
      <c r="F2" s="175"/>
    </row>
    <row r="3" spans="1:10" ht="14.45" customHeight="1" thickBot="1" x14ac:dyDescent="0.25">
      <c r="A3" s="192"/>
      <c r="B3" s="220"/>
      <c r="C3" s="198">
        <v>2015</v>
      </c>
      <c r="D3" s="199">
        <v>2018</v>
      </c>
      <c r="E3" s="7"/>
      <c r="F3" s="285">
        <v>2019</v>
      </c>
      <c r="G3" s="303"/>
      <c r="H3" s="303"/>
      <c r="I3" s="286"/>
    </row>
    <row r="4" spans="1:10" ht="14.45" customHeight="1" thickBot="1" x14ac:dyDescent="0.25">
      <c r="A4" s="203" t="s">
        <v>0</v>
      </c>
      <c r="B4" s="204" t="s">
        <v>145</v>
      </c>
      <c r="C4" s="304" t="s">
        <v>48</v>
      </c>
      <c r="D4" s="305"/>
      <c r="E4" s="205"/>
      <c r="F4" s="200" t="s">
        <v>48</v>
      </c>
      <c r="G4" s="201" t="s">
        <v>49</v>
      </c>
      <c r="H4" s="201" t="s">
        <v>43</v>
      </c>
      <c r="I4" s="202" t="s">
        <v>50</v>
      </c>
    </row>
    <row r="5" spans="1:10" ht="14.45" customHeight="1" x14ac:dyDescent="0.2">
      <c r="A5" s="397" t="s">
        <v>335</v>
      </c>
      <c r="B5" s="398" t="s">
        <v>336</v>
      </c>
      <c r="C5" s="399" t="s">
        <v>337</v>
      </c>
      <c r="D5" s="399" t="s">
        <v>337</v>
      </c>
      <c r="E5" s="399"/>
      <c r="F5" s="399" t="s">
        <v>337</v>
      </c>
      <c r="G5" s="399" t="s">
        <v>337</v>
      </c>
      <c r="H5" s="399" t="s">
        <v>337</v>
      </c>
      <c r="I5" s="400" t="s">
        <v>337</v>
      </c>
      <c r="J5" s="401" t="s">
        <v>44</v>
      </c>
    </row>
    <row r="6" spans="1:10" ht="14.45" customHeight="1" x14ac:dyDescent="0.2">
      <c r="A6" s="397" t="s">
        <v>335</v>
      </c>
      <c r="B6" s="398" t="s">
        <v>346</v>
      </c>
      <c r="C6" s="399">
        <v>0</v>
      </c>
      <c r="D6" s="399">
        <v>4.7939999999999997E-2</v>
      </c>
      <c r="E6" s="399"/>
      <c r="F6" s="399">
        <v>0</v>
      </c>
      <c r="G6" s="399">
        <v>0</v>
      </c>
      <c r="H6" s="399">
        <v>0</v>
      </c>
      <c r="I6" s="400" t="s">
        <v>337</v>
      </c>
      <c r="J6" s="401" t="s">
        <v>1</v>
      </c>
    </row>
    <row r="7" spans="1:10" ht="14.45" customHeight="1" x14ac:dyDescent="0.2">
      <c r="A7" s="397" t="s">
        <v>335</v>
      </c>
      <c r="B7" s="398" t="s">
        <v>339</v>
      </c>
      <c r="C7" s="399">
        <v>0</v>
      </c>
      <c r="D7" s="399">
        <v>4.7939999999999997E-2</v>
      </c>
      <c r="E7" s="399"/>
      <c r="F7" s="399">
        <v>0</v>
      </c>
      <c r="G7" s="399">
        <v>0</v>
      </c>
      <c r="H7" s="399">
        <v>0</v>
      </c>
      <c r="I7" s="400" t="s">
        <v>337</v>
      </c>
      <c r="J7" s="401" t="s">
        <v>340</v>
      </c>
    </row>
    <row r="9" spans="1:10" ht="14.45" customHeight="1" x14ac:dyDescent="0.2">
      <c r="A9" s="397" t="s">
        <v>335</v>
      </c>
      <c r="B9" s="398" t="s">
        <v>336</v>
      </c>
      <c r="C9" s="399" t="s">
        <v>337</v>
      </c>
      <c r="D9" s="399" t="s">
        <v>337</v>
      </c>
      <c r="E9" s="399"/>
      <c r="F9" s="399" t="s">
        <v>337</v>
      </c>
      <c r="G9" s="399" t="s">
        <v>337</v>
      </c>
      <c r="H9" s="399" t="s">
        <v>337</v>
      </c>
      <c r="I9" s="400" t="s">
        <v>337</v>
      </c>
      <c r="J9" s="401" t="s">
        <v>44</v>
      </c>
    </row>
    <row r="10" spans="1:10" ht="14.45" customHeight="1" x14ac:dyDescent="0.2">
      <c r="A10" s="397" t="s">
        <v>341</v>
      </c>
      <c r="B10" s="398" t="s">
        <v>342</v>
      </c>
      <c r="C10" s="399" t="s">
        <v>337</v>
      </c>
      <c r="D10" s="399" t="s">
        <v>337</v>
      </c>
      <c r="E10" s="399"/>
      <c r="F10" s="399" t="s">
        <v>337</v>
      </c>
      <c r="G10" s="399" t="s">
        <v>337</v>
      </c>
      <c r="H10" s="399" t="s">
        <v>337</v>
      </c>
      <c r="I10" s="400" t="s">
        <v>337</v>
      </c>
      <c r="J10" s="401" t="s">
        <v>0</v>
      </c>
    </row>
    <row r="11" spans="1:10" ht="14.45" customHeight="1" x14ac:dyDescent="0.2">
      <c r="A11" s="397" t="s">
        <v>341</v>
      </c>
      <c r="B11" s="398" t="s">
        <v>346</v>
      </c>
      <c r="C11" s="399">
        <v>0</v>
      </c>
      <c r="D11" s="399">
        <v>4.7939999999999997E-2</v>
      </c>
      <c r="E11" s="399"/>
      <c r="F11" s="399">
        <v>0</v>
      </c>
      <c r="G11" s="399">
        <v>0</v>
      </c>
      <c r="H11" s="399">
        <v>0</v>
      </c>
      <c r="I11" s="400" t="s">
        <v>337</v>
      </c>
      <c r="J11" s="401" t="s">
        <v>1</v>
      </c>
    </row>
    <row r="12" spans="1:10" ht="14.45" customHeight="1" x14ac:dyDescent="0.2">
      <c r="A12" s="397" t="s">
        <v>341</v>
      </c>
      <c r="B12" s="398" t="s">
        <v>343</v>
      </c>
      <c r="C12" s="399">
        <v>0</v>
      </c>
      <c r="D12" s="399">
        <v>4.7939999999999997E-2</v>
      </c>
      <c r="E12" s="399"/>
      <c r="F12" s="399">
        <v>0</v>
      </c>
      <c r="G12" s="399">
        <v>0</v>
      </c>
      <c r="H12" s="399">
        <v>0</v>
      </c>
      <c r="I12" s="400" t="s">
        <v>337</v>
      </c>
      <c r="J12" s="401" t="s">
        <v>344</v>
      </c>
    </row>
    <row r="13" spans="1:10" ht="14.45" customHeight="1" x14ac:dyDescent="0.2">
      <c r="A13" s="397" t="s">
        <v>337</v>
      </c>
      <c r="B13" s="398" t="s">
        <v>337</v>
      </c>
      <c r="C13" s="399" t="s">
        <v>337</v>
      </c>
      <c r="D13" s="399" t="s">
        <v>337</v>
      </c>
      <c r="E13" s="399"/>
      <c r="F13" s="399" t="s">
        <v>337</v>
      </c>
      <c r="G13" s="399" t="s">
        <v>337</v>
      </c>
      <c r="H13" s="399" t="s">
        <v>337</v>
      </c>
      <c r="I13" s="400" t="s">
        <v>337</v>
      </c>
      <c r="J13" s="401" t="s">
        <v>345</v>
      </c>
    </row>
    <row r="14" spans="1:10" ht="14.45" customHeight="1" x14ac:dyDescent="0.2">
      <c r="A14" s="397" t="s">
        <v>335</v>
      </c>
      <c r="B14" s="398" t="s">
        <v>339</v>
      </c>
      <c r="C14" s="399">
        <v>0</v>
      </c>
      <c r="D14" s="399">
        <v>4.7939999999999997E-2</v>
      </c>
      <c r="E14" s="399"/>
      <c r="F14" s="399">
        <v>0</v>
      </c>
      <c r="G14" s="399">
        <v>0</v>
      </c>
      <c r="H14" s="399">
        <v>0</v>
      </c>
      <c r="I14" s="400" t="s">
        <v>337</v>
      </c>
      <c r="J14" s="401" t="s">
        <v>340</v>
      </c>
    </row>
  </sheetData>
  <mergeCells count="3">
    <mergeCell ref="A1:I1"/>
    <mergeCell ref="F3:I3"/>
    <mergeCell ref="C4:D4"/>
  </mergeCells>
  <conditionalFormatting sqref="F8 F15:F65537">
    <cfRule type="cellIs" dxfId="20" priority="18" stopIfTrue="1" operator="greaterThan">
      <formula>1</formula>
    </cfRule>
  </conditionalFormatting>
  <conditionalFormatting sqref="H5:H7">
    <cfRule type="expression" dxfId="19" priority="14">
      <formula>$H5&gt;0</formula>
    </cfRule>
  </conditionalFormatting>
  <conditionalFormatting sqref="I5:I7">
    <cfRule type="expression" dxfId="18" priority="15">
      <formula>$I5&gt;1</formula>
    </cfRule>
  </conditionalFormatting>
  <conditionalFormatting sqref="B5:B7">
    <cfRule type="expression" dxfId="17" priority="11">
      <formula>OR($J5="NS",$J5="SumaNS",$J5="Účet")</formula>
    </cfRule>
  </conditionalFormatting>
  <conditionalFormatting sqref="F5:I7 B5:D7">
    <cfRule type="expression" dxfId="16" priority="17">
      <formula>AND($J5&lt;&gt;"",$J5&lt;&gt;"mezeraKL")</formula>
    </cfRule>
  </conditionalFormatting>
  <conditionalFormatting sqref="B5:D7 F5:I7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7 F5:I7">
    <cfRule type="expression" dxfId="14" priority="13">
      <formula>OR($J5="SumaNS",$J5="NS")</formula>
    </cfRule>
  </conditionalFormatting>
  <conditionalFormatting sqref="A5:A7">
    <cfRule type="expression" dxfId="13" priority="9">
      <formula>AND($J5&lt;&gt;"mezeraKL",$J5&lt;&gt;"")</formula>
    </cfRule>
  </conditionalFormatting>
  <conditionalFormatting sqref="A5:A7">
    <cfRule type="expression" dxfId="12" priority="10">
      <formula>AND($J5&lt;&gt;"",$J5&lt;&gt;"mezeraKL")</formula>
    </cfRule>
  </conditionalFormatting>
  <conditionalFormatting sqref="H9:H14">
    <cfRule type="expression" dxfId="11" priority="6">
      <formula>$H9&gt;0</formula>
    </cfRule>
  </conditionalFormatting>
  <conditionalFormatting sqref="A9:A14">
    <cfRule type="expression" dxfId="10" priority="5">
      <formula>AND($J9&lt;&gt;"mezeraKL",$J9&lt;&gt;"")</formula>
    </cfRule>
  </conditionalFormatting>
  <conditionalFormatting sqref="I9:I14">
    <cfRule type="expression" dxfId="9" priority="7">
      <formula>$I9&gt;1</formula>
    </cfRule>
  </conditionalFormatting>
  <conditionalFormatting sqref="B9:B14">
    <cfRule type="expression" dxfId="8" priority="4">
      <formula>OR($J9="NS",$J9="SumaNS",$J9="Účet")</formula>
    </cfRule>
  </conditionalFormatting>
  <conditionalFormatting sqref="A9:D14 F9:I14">
    <cfRule type="expression" dxfId="7" priority="8">
      <formula>AND($J9&lt;&gt;"",$J9&lt;&gt;"mezeraKL")</formula>
    </cfRule>
  </conditionalFormatting>
  <conditionalFormatting sqref="B9:D14 F9:I14">
    <cfRule type="expression" dxfId="6" priority="1">
      <formula>OR($J9="KL",$J9="SumaKL")</formula>
    </cfRule>
    <cfRule type="expression" priority="3" stopIfTrue="1">
      <formula>OR($J9="mezeraNS",$J9="mezeraKL")</formula>
    </cfRule>
  </conditionalFormatting>
  <conditionalFormatting sqref="B9:D14 F9:I14">
    <cfRule type="expression" dxfId="5" priority="2">
      <formula>OR($J9="SumaNS",$J9="NS")</formula>
    </cfRule>
  </conditionalFormatting>
  <hyperlinks>
    <hyperlink ref="A2" location="Obsah!A1" display="Zpět na Obsah  KL 01  1.-4.měsíc" xr:uid="{49581F9F-AC05-4FFE-90E0-542605116F2B}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2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24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191" customWidth="1"/>
    <col min="18" max="18" width="7.28515625" style="223" customWidth="1"/>
    <col min="19" max="19" width="8" style="191" customWidth="1"/>
    <col min="21" max="21" width="11.28515625" bestFit="1" customWidth="1"/>
  </cols>
  <sheetData>
    <row r="1" spans="1:19" ht="19.5" thickBot="1" x14ac:dyDescent="0.35">
      <c r="A1" s="325" t="s">
        <v>81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</row>
    <row r="2" spans="1:19" ht="15.75" thickBot="1" x14ac:dyDescent="0.3">
      <c r="A2" s="192" t="s">
        <v>208</v>
      </c>
      <c r="B2" s="193"/>
    </row>
    <row r="3" spans="1:19" x14ac:dyDescent="0.25">
      <c r="A3" s="337" t="s">
        <v>141</v>
      </c>
      <c r="B3" s="338"/>
      <c r="C3" s="339" t="s">
        <v>130</v>
      </c>
      <c r="D3" s="340"/>
      <c r="E3" s="340"/>
      <c r="F3" s="341"/>
      <c r="G3" s="342" t="s">
        <v>131</v>
      </c>
      <c r="H3" s="343"/>
      <c r="I3" s="343"/>
      <c r="J3" s="344"/>
      <c r="K3" s="345" t="s">
        <v>140</v>
      </c>
      <c r="L3" s="346"/>
      <c r="M3" s="346"/>
      <c r="N3" s="346"/>
      <c r="O3" s="347"/>
      <c r="P3" s="343" t="s">
        <v>183</v>
      </c>
      <c r="Q3" s="343"/>
      <c r="R3" s="343"/>
      <c r="S3" s="344"/>
    </row>
    <row r="4" spans="1:19" ht="15.75" thickBot="1" x14ac:dyDescent="0.3">
      <c r="A4" s="317">
        <v>2019</v>
      </c>
      <c r="B4" s="318"/>
      <c r="C4" s="319" t="s">
        <v>182</v>
      </c>
      <c r="D4" s="321" t="s">
        <v>82</v>
      </c>
      <c r="E4" s="321" t="s">
        <v>50</v>
      </c>
      <c r="F4" s="323" t="s">
        <v>43</v>
      </c>
      <c r="G4" s="311" t="s">
        <v>132</v>
      </c>
      <c r="H4" s="313" t="s">
        <v>136</v>
      </c>
      <c r="I4" s="313" t="s">
        <v>181</v>
      </c>
      <c r="J4" s="315" t="s">
        <v>133</v>
      </c>
      <c r="K4" s="334" t="s">
        <v>180</v>
      </c>
      <c r="L4" s="335"/>
      <c r="M4" s="335"/>
      <c r="N4" s="336"/>
      <c r="O4" s="323" t="s">
        <v>179</v>
      </c>
      <c r="P4" s="326" t="s">
        <v>178</v>
      </c>
      <c r="Q4" s="326" t="s">
        <v>143</v>
      </c>
      <c r="R4" s="328" t="s">
        <v>50</v>
      </c>
      <c r="S4" s="330" t="s">
        <v>142</v>
      </c>
    </row>
    <row r="5" spans="1:19" s="258" customFormat="1" ht="19.149999999999999" customHeight="1" x14ac:dyDescent="0.25">
      <c r="A5" s="332" t="s">
        <v>177</v>
      </c>
      <c r="B5" s="333"/>
      <c r="C5" s="320"/>
      <c r="D5" s="322"/>
      <c r="E5" s="322"/>
      <c r="F5" s="324"/>
      <c r="G5" s="312"/>
      <c r="H5" s="314"/>
      <c r="I5" s="314"/>
      <c r="J5" s="316"/>
      <c r="K5" s="261" t="s">
        <v>134</v>
      </c>
      <c r="L5" s="260" t="s">
        <v>135</v>
      </c>
      <c r="M5" s="260" t="s">
        <v>176</v>
      </c>
      <c r="N5" s="259" t="s">
        <v>3</v>
      </c>
      <c r="O5" s="324"/>
      <c r="P5" s="327"/>
      <c r="Q5" s="327"/>
      <c r="R5" s="329"/>
      <c r="S5" s="331"/>
    </row>
    <row r="6" spans="1:19" ht="15.75" thickBot="1" x14ac:dyDescent="0.3">
      <c r="A6" s="309" t="s">
        <v>129</v>
      </c>
      <c r="B6" s="310"/>
      <c r="C6" s="257">
        <f ca="1">SUM(Tabulka[01 uv_sk])/2</f>
        <v>12.700000000000001</v>
      </c>
      <c r="D6" s="255"/>
      <c r="E6" s="255"/>
      <c r="F6" s="254"/>
      <c r="G6" s="256">
        <f ca="1">SUM(Tabulka[05 h_vram])/2</f>
        <v>12190.8</v>
      </c>
      <c r="H6" s="255">
        <f ca="1">SUM(Tabulka[06 h_naduv])/2</f>
        <v>0</v>
      </c>
      <c r="I6" s="255">
        <f ca="1">SUM(Tabulka[07 h_nadzk])/2</f>
        <v>0</v>
      </c>
      <c r="J6" s="254">
        <f ca="1">SUM(Tabulka[08 h_oon])/2</f>
        <v>0</v>
      </c>
      <c r="K6" s="256">
        <f ca="1">SUM(Tabulka[09 m_kl])/2</f>
        <v>0</v>
      </c>
      <c r="L6" s="255">
        <f ca="1">SUM(Tabulka[10 m_gr])/2</f>
        <v>0</v>
      </c>
      <c r="M6" s="255">
        <f ca="1">SUM(Tabulka[11 m_jo])/2</f>
        <v>750</v>
      </c>
      <c r="N6" s="255">
        <f ca="1">SUM(Tabulka[12 m_oc])/2</f>
        <v>750</v>
      </c>
      <c r="O6" s="254">
        <f ca="1">SUM(Tabulka[13 m_sk])/2</f>
        <v>3175730</v>
      </c>
      <c r="P6" s="253">
        <f ca="1">SUM(Tabulka[14_vzsk])/2</f>
        <v>63260</v>
      </c>
      <c r="Q6" s="253">
        <f ca="1">SUM(Tabulka[15_vzpl])/2</f>
        <v>42488.640014315679</v>
      </c>
      <c r="R6" s="252">
        <f ca="1">IF(Q6=0,0,P6/Q6)</f>
        <v>1.4888685535400954</v>
      </c>
      <c r="S6" s="251">
        <f ca="1">Q6-P6</f>
        <v>-20771.359985684321</v>
      </c>
    </row>
    <row r="7" spans="1:19" hidden="1" x14ac:dyDescent="0.25">
      <c r="A7" s="250" t="s">
        <v>175</v>
      </c>
      <c r="B7" s="249" t="s">
        <v>174</v>
      </c>
      <c r="C7" s="248" t="s">
        <v>173</v>
      </c>
      <c r="D7" s="247" t="s">
        <v>172</v>
      </c>
      <c r="E7" s="246" t="s">
        <v>171</v>
      </c>
      <c r="F7" s="245" t="s">
        <v>170</v>
      </c>
      <c r="G7" s="244" t="s">
        <v>169</v>
      </c>
      <c r="H7" s="242" t="s">
        <v>168</v>
      </c>
      <c r="I7" s="242" t="s">
        <v>167</v>
      </c>
      <c r="J7" s="241" t="s">
        <v>166</v>
      </c>
      <c r="K7" s="243" t="s">
        <v>165</v>
      </c>
      <c r="L7" s="242" t="s">
        <v>164</v>
      </c>
      <c r="M7" s="242" t="s">
        <v>163</v>
      </c>
      <c r="N7" s="241" t="s">
        <v>162</v>
      </c>
      <c r="O7" s="240" t="s">
        <v>161</v>
      </c>
      <c r="P7" s="239" t="s">
        <v>160</v>
      </c>
      <c r="Q7" s="238" t="s">
        <v>159</v>
      </c>
      <c r="R7" s="237" t="s">
        <v>158</v>
      </c>
      <c r="S7" s="236" t="s">
        <v>157</v>
      </c>
    </row>
    <row r="8" spans="1:19" x14ac:dyDescent="0.25">
      <c r="A8" s="233" t="s">
        <v>347</v>
      </c>
      <c r="B8" s="232"/>
      <c r="C8" s="22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11.700000000000001</v>
      </c>
      <c r="D8" s="23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3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3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3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11182.8</v>
      </c>
      <c r="H8" s="22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2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2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2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2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</v>
      </c>
      <c r="N8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</v>
      </c>
      <c r="O8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3029152</v>
      </c>
      <c r="P8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50470</v>
      </c>
      <c r="Q8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42488.640014315679</v>
      </c>
      <c r="R8" s="235">
        <f ca="1">IF(Tabulka[[#This Row],[15_vzpl]]=0,"",Tabulka[[#This Row],[14_vzsk]]/Tabulka[[#This Row],[15_vzpl]])</f>
        <v>1.1878469158578662</v>
      </c>
      <c r="S8" s="234">
        <f ca="1">IF(Tabulka[[#This Row],[15_vzpl]]-Tabulka[[#This Row],[14_vzsk]]=0,"",Tabulka[[#This Row],[15_vzpl]]-Tabulka[[#This Row],[14_vzsk]])</f>
        <v>-7981.3599856843211</v>
      </c>
    </row>
    <row r="9" spans="1:19" x14ac:dyDescent="0.25">
      <c r="A9" s="233">
        <v>520</v>
      </c>
      <c r="B9" s="232" t="s">
        <v>357</v>
      </c>
      <c r="C9" s="22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3.9333333333333336</v>
      </c>
      <c r="D9" s="23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3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3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3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3700.6</v>
      </c>
      <c r="H9" s="22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2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2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2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2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</v>
      </c>
      <c r="N9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</v>
      </c>
      <c r="O9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819000</v>
      </c>
      <c r="P9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9" s="235" t="str">
        <f ca="1">IF(Tabulka[[#This Row],[15_vzpl]]=0,"",Tabulka[[#This Row],[14_vzsk]]/Tabulka[[#This Row],[15_vzpl]])</f>
        <v/>
      </c>
      <c r="S9" s="234" t="str">
        <f ca="1">IF(Tabulka[[#This Row],[15_vzpl]]-Tabulka[[#This Row],[14_vzsk]]=0,"",Tabulka[[#This Row],[15_vzpl]]-Tabulka[[#This Row],[14_vzsk]])</f>
        <v/>
      </c>
    </row>
    <row r="10" spans="1:19" x14ac:dyDescent="0.25">
      <c r="A10" s="233">
        <v>521</v>
      </c>
      <c r="B10" s="232" t="s">
        <v>358</v>
      </c>
      <c r="C10" s="22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6.7666666666666666</v>
      </c>
      <c r="D10" s="23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3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3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3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6526.2</v>
      </c>
      <c r="H10" s="22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2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2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2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2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1780905</v>
      </c>
      <c r="P10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35" t="str">
        <f ca="1">IF(Tabulka[[#This Row],[15_vzpl]]=0,"",Tabulka[[#This Row],[14_vzsk]]/Tabulka[[#This Row],[15_vzpl]])</f>
        <v/>
      </c>
      <c r="S10" s="234" t="str">
        <f ca="1">IF(Tabulka[[#This Row],[15_vzpl]]-Tabulka[[#This Row],[14_vzsk]]=0,"",Tabulka[[#This Row],[15_vzpl]]-Tabulka[[#This Row],[14_vzsk]])</f>
        <v/>
      </c>
    </row>
    <row r="11" spans="1:19" x14ac:dyDescent="0.25">
      <c r="A11" s="233">
        <v>522</v>
      </c>
      <c r="B11" s="232" t="s">
        <v>359</v>
      </c>
      <c r="C11" s="22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1" s="23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3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3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3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956</v>
      </c>
      <c r="H11" s="22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2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2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2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2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1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1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429247</v>
      </c>
      <c r="P11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35" t="str">
        <f ca="1">IF(Tabulka[[#This Row],[15_vzpl]]=0,"",Tabulka[[#This Row],[14_vzsk]]/Tabulka[[#This Row],[15_vzpl]])</f>
        <v/>
      </c>
      <c r="S11" s="234" t="str">
        <f ca="1">IF(Tabulka[[#This Row],[15_vzpl]]-Tabulka[[#This Row],[14_vzsk]]=0,"",Tabulka[[#This Row],[15_vzpl]]-Tabulka[[#This Row],[14_vzsk]])</f>
        <v/>
      </c>
    </row>
    <row r="12" spans="1:19" x14ac:dyDescent="0.25">
      <c r="A12" s="233">
        <v>526</v>
      </c>
      <c r="B12" s="232" t="s">
        <v>360</v>
      </c>
      <c r="C12" s="22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2" s="23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3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3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3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2" s="22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2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2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2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2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2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50470</v>
      </c>
      <c r="Q12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42488.640014315679</v>
      </c>
      <c r="R12" s="235">
        <f ca="1">IF(Tabulka[[#This Row],[15_vzpl]]=0,"",Tabulka[[#This Row],[14_vzsk]]/Tabulka[[#This Row],[15_vzpl]])</f>
        <v>1.1878469158578662</v>
      </c>
      <c r="S12" s="234">
        <f ca="1">IF(Tabulka[[#This Row],[15_vzpl]]-Tabulka[[#This Row],[14_vzsk]]=0,"",Tabulka[[#This Row],[15_vzpl]]-Tabulka[[#This Row],[14_vzsk]])</f>
        <v>-7981.3599856843211</v>
      </c>
    </row>
    <row r="13" spans="1:19" x14ac:dyDescent="0.25">
      <c r="A13" s="233" t="s">
        <v>354</v>
      </c>
      <c r="B13" s="232"/>
      <c r="C13" s="22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3" s="23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3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3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3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3" s="22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2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2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2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2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3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12790</v>
      </c>
      <c r="Q13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35" t="str">
        <f ca="1">IF(Tabulka[[#This Row],[15_vzpl]]=0,"",Tabulka[[#This Row],[14_vzsk]]/Tabulka[[#This Row],[15_vzpl]])</f>
        <v/>
      </c>
      <c r="S13" s="234">
        <f ca="1">IF(Tabulka[[#This Row],[15_vzpl]]-Tabulka[[#This Row],[14_vzsk]]=0,"",Tabulka[[#This Row],[15_vzpl]]-Tabulka[[#This Row],[14_vzsk]])</f>
        <v>-12790</v>
      </c>
    </row>
    <row r="14" spans="1:19" x14ac:dyDescent="0.25">
      <c r="A14" s="233">
        <v>303</v>
      </c>
      <c r="B14" s="232" t="s">
        <v>361</v>
      </c>
      <c r="C14" s="22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4" s="23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3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3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3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4" s="22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2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2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2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2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4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12790</v>
      </c>
      <c r="Q14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35" t="str">
        <f ca="1">IF(Tabulka[[#This Row],[15_vzpl]]=0,"",Tabulka[[#This Row],[14_vzsk]]/Tabulka[[#This Row],[15_vzpl]])</f>
        <v/>
      </c>
      <c r="S14" s="234">
        <f ca="1">IF(Tabulka[[#This Row],[15_vzpl]]-Tabulka[[#This Row],[14_vzsk]]=0,"",Tabulka[[#This Row],[15_vzpl]]-Tabulka[[#This Row],[14_vzsk]])</f>
        <v>-12790</v>
      </c>
    </row>
    <row r="15" spans="1:19" x14ac:dyDescent="0.25">
      <c r="A15" s="233" t="s">
        <v>348</v>
      </c>
      <c r="B15" s="232"/>
      <c r="C15" s="22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5" s="23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3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3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3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1008</v>
      </c>
      <c r="H15" s="22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2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2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2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2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5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5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146578</v>
      </c>
      <c r="P15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35" t="str">
        <f ca="1">IF(Tabulka[[#This Row],[15_vzpl]]=0,"",Tabulka[[#This Row],[14_vzsk]]/Tabulka[[#This Row],[15_vzpl]])</f>
        <v/>
      </c>
      <c r="S15" s="234" t="str">
        <f ca="1">IF(Tabulka[[#This Row],[15_vzpl]]-Tabulka[[#This Row],[14_vzsk]]=0,"",Tabulka[[#This Row],[15_vzpl]]-Tabulka[[#This Row],[14_vzsk]])</f>
        <v/>
      </c>
    </row>
    <row r="16" spans="1:19" x14ac:dyDescent="0.25">
      <c r="A16" s="233">
        <v>30</v>
      </c>
      <c r="B16" s="232" t="s">
        <v>362</v>
      </c>
      <c r="C16" s="22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6" s="23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3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3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3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1008</v>
      </c>
      <c r="H16" s="22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2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2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2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2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146578</v>
      </c>
      <c r="P16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35" t="str">
        <f ca="1">IF(Tabulka[[#This Row],[15_vzpl]]=0,"",Tabulka[[#This Row],[14_vzsk]]/Tabulka[[#This Row],[15_vzpl]])</f>
        <v/>
      </c>
      <c r="S16" s="234" t="str">
        <f ca="1">IF(Tabulka[[#This Row],[15_vzpl]]-Tabulka[[#This Row],[14_vzsk]]=0,"",Tabulka[[#This Row],[15_vzpl]]-Tabulka[[#This Row],[14_vzsk]])</f>
        <v/>
      </c>
    </row>
    <row r="17" spans="1:1" x14ac:dyDescent="0.25">
      <c r="A17" t="s">
        <v>185</v>
      </c>
    </row>
    <row r="18" spans="1:1" x14ac:dyDescent="0.25">
      <c r="A18" s="85" t="s">
        <v>113</v>
      </c>
    </row>
    <row r="19" spans="1:1" x14ac:dyDescent="0.25">
      <c r="A19" s="86" t="s">
        <v>156</v>
      </c>
    </row>
    <row r="20" spans="1:1" x14ac:dyDescent="0.25">
      <c r="A20" s="225" t="s">
        <v>155</v>
      </c>
    </row>
    <row r="21" spans="1:1" x14ac:dyDescent="0.25">
      <c r="A21" s="195" t="s">
        <v>139</v>
      </c>
    </row>
    <row r="22" spans="1:1" x14ac:dyDescent="0.25">
      <c r="A22" s="197" t="s">
        <v>144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16">
    <cfRule type="cellIs" dxfId="4" priority="3" operator="lessThan">
      <formula>0</formula>
    </cfRule>
  </conditionalFormatting>
  <conditionalFormatting sqref="R6:R16">
    <cfRule type="cellIs" dxfId="3" priority="4" operator="greaterThan">
      <formula>1</formula>
    </cfRule>
  </conditionalFormatting>
  <conditionalFormatting sqref="A8:S16">
    <cfRule type="expression" dxfId="2" priority="2">
      <formula>$B8=""</formula>
    </cfRule>
  </conditionalFormatting>
  <conditionalFormatting sqref="P8:S16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4094D401-BF1C-4AED-84A4-C0325DA4D71B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16</vt:i4>
      </vt:variant>
      <vt:variant>
        <vt:lpstr>Pojmenované oblasti</vt:lpstr>
      </vt:variant>
      <vt:variant>
        <vt:i4>3</vt:i4>
      </vt:variant>
    </vt:vector>
  </HeadingPairs>
  <TitlesOfParts>
    <vt:vector size="19" baseType="lpstr">
      <vt:lpstr>Obsah</vt:lpstr>
      <vt:lpstr>Motivace</vt:lpstr>
      <vt:lpstr>HI</vt:lpstr>
      <vt:lpstr>HI Graf</vt:lpstr>
      <vt:lpstr>Man Tab</vt:lpstr>
      <vt:lpstr>HV</vt:lpstr>
      <vt:lpstr>Léky Žádanky</vt:lpstr>
      <vt:lpstr>Materiál Žádanky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2019-07-26T12:07:53Z</dcterms:modified>
</cp:coreProperties>
</file>