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Materiál Žádanky" sheetId="420" r:id="rId12"/>
    <sheet name="MŽ Detail" sheetId="403" r:id="rId13"/>
    <sheet name="Osobní náklady" sheetId="419" r:id="rId14"/>
    <sheet name="ON Data" sheetId="418" state="hidden" r:id="rId15"/>
    <sheet name="ZV Vykáz.-A" sheetId="344" r:id="rId16"/>
    <sheet name="ZV Vykáz.-A Lékaři" sheetId="429" r:id="rId17"/>
    <sheet name="ZV Vykáz.-A Detail" sheetId="345" r:id="rId18"/>
    <sheet name="ZV Vykáz.-H" sheetId="410" r:id="rId19"/>
    <sheet name="ZV Vykáz.-H Detail" sheetId="377" r:id="rId20"/>
  </sheets>
  <definedNames>
    <definedName name="_xlnm._FilterDatabase" localSheetId="5" hidden="1">HV!$A$5:$A$5</definedName>
    <definedName name="_xlnm._FilterDatabase" localSheetId="6" hidden="1">'Léky Žádanky'!$A$4:$I$4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1" hidden="1">'Materiál Žádanky'!$A$4:$I$4</definedName>
    <definedName name="_xlnm._FilterDatabase" localSheetId="12" hidden="1">'MŽ Detail'!$A$4:$K$4</definedName>
    <definedName name="_xlnm._FilterDatabase" localSheetId="17" hidden="1">'ZV Vykáz.-A Detail'!$A$5:$Q$5</definedName>
    <definedName name="_xlnm._FilterDatabase" localSheetId="16" hidden="1">'ZV Vykáz.-A Lékaři'!$A$4:$A$5</definedName>
    <definedName name="_xlnm._FilterDatabase" localSheetId="19" hidden="1">'ZV Vykáz.-H Detail'!$A$5:$Q$5</definedName>
    <definedName name="doměsíce">'HI Graf'!$C$11</definedName>
  </definedNames>
  <calcPr calcId="152511"/>
</workbook>
</file>

<file path=xl/calcChain.xml><?xml version="1.0" encoding="utf-8"?>
<calcChain xmlns="http://schemas.openxmlformats.org/spreadsheetml/2006/main">
  <c r="I26" i="419" l="1"/>
  <c r="I25" i="419"/>
  <c r="E26" i="419"/>
  <c r="I28" i="419" l="1"/>
  <c r="I27" i="419"/>
  <c r="E25" i="419"/>
  <c r="I20" i="419"/>
  <c r="H20" i="419"/>
  <c r="G20" i="419"/>
  <c r="I19" i="419"/>
  <c r="H19" i="419"/>
  <c r="G19" i="419"/>
  <c r="I17" i="419"/>
  <c r="H17" i="419"/>
  <c r="G17" i="419"/>
  <c r="I16" i="419"/>
  <c r="H16" i="419"/>
  <c r="G16" i="419"/>
  <c r="I14" i="419"/>
  <c r="H14" i="419"/>
  <c r="G14" i="419"/>
  <c r="I13" i="419"/>
  <c r="H13" i="419"/>
  <c r="G13" i="419"/>
  <c r="I12" i="419"/>
  <c r="H12" i="419"/>
  <c r="G12" i="419"/>
  <c r="I11" i="419"/>
  <c r="H11" i="419"/>
  <c r="G11" i="419"/>
  <c r="AW3" i="418"/>
  <c r="AV3" i="418"/>
  <c r="AU3" i="418"/>
  <c r="AT3" i="418"/>
  <c r="AS3" i="418"/>
  <c r="AR3" i="418"/>
  <c r="AQ3" i="418"/>
  <c r="AP3" i="418"/>
  <c r="G18" i="419" l="1"/>
  <c r="H18" i="419"/>
  <c r="I18" i="419"/>
  <c r="B25" i="419"/>
  <c r="E27" i="419" l="1"/>
  <c r="B26" i="419"/>
  <c r="B27" i="419" s="1"/>
  <c r="E28" i="419"/>
  <c r="A9" i="414"/>
  <c r="A8" i="414"/>
  <c r="A7" i="414"/>
  <c r="F3" i="344" l="1"/>
  <c r="D3" i="344"/>
  <c r="B3" i="344"/>
  <c r="F21" i="419" l="1"/>
  <c r="F22" i="419" s="1"/>
  <c r="E21" i="419"/>
  <c r="F20" i="419"/>
  <c r="E20" i="419"/>
  <c r="F19" i="419"/>
  <c r="E19" i="419"/>
  <c r="F17" i="419"/>
  <c r="E17" i="419"/>
  <c r="F16" i="419"/>
  <c r="E16" i="419"/>
  <c r="F14" i="419"/>
  <c r="E14" i="419"/>
  <c r="F13" i="419"/>
  <c r="E13" i="419"/>
  <c r="F12" i="419"/>
  <c r="E12" i="419"/>
  <c r="F11" i="419"/>
  <c r="E11" i="419"/>
  <c r="E18" i="419" l="1"/>
  <c r="E23" i="419"/>
  <c r="F18" i="419"/>
  <c r="F23" i="419"/>
  <c r="E22" i="419"/>
  <c r="M3" i="418"/>
  <c r="D21" i="419" l="1"/>
  <c r="D22" i="419" s="1"/>
  <c r="C21" i="419"/>
  <c r="D20" i="419"/>
  <c r="C20" i="419"/>
  <c r="D19" i="419"/>
  <c r="C19" i="419"/>
  <c r="D17" i="419"/>
  <c r="C17" i="419"/>
  <c r="D16" i="419"/>
  <c r="C16" i="419"/>
  <c r="D14" i="419"/>
  <c r="C14" i="419"/>
  <c r="D13" i="419"/>
  <c r="C13" i="419"/>
  <c r="D12" i="419"/>
  <c r="C12" i="419"/>
  <c r="D11" i="419"/>
  <c r="C11" i="419"/>
  <c r="C18" i="419" l="1"/>
  <c r="C23" i="419"/>
  <c r="D18" i="419"/>
  <c r="D23" i="419"/>
  <c r="C22" i="419"/>
  <c r="B21" i="419"/>
  <c r="B22" i="419" l="1"/>
  <c r="A22" i="383"/>
  <c r="G3" i="429"/>
  <c r="F3" i="429"/>
  <c r="E3" i="429"/>
  <c r="D3" i="429"/>
  <c r="C3" i="429"/>
  <c r="B3" i="429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C11" i="340" l="1"/>
  <c r="A16" i="383" l="1"/>
  <c r="A11" i="383"/>
  <c r="AO3" i="418" l="1"/>
  <c r="AN3" i="418"/>
  <c r="AM3" i="418"/>
  <c r="AL3" i="418"/>
  <c r="AK3" i="418"/>
  <c r="AJ3" i="418"/>
  <c r="AI3" i="418"/>
  <c r="AH3" i="418"/>
  <c r="AG3" i="418"/>
  <c r="AF3" i="418"/>
  <c r="AE3" i="418"/>
  <c r="AD3" i="418"/>
  <c r="AC3" i="418"/>
  <c r="AB3" i="418"/>
  <c r="AA3" i="418"/>
  <c r="Z3" i="418"/>
  <c r="Y3" i="418"/>
  <c r="X3" i="418"/>
  <c r="W3" i="418"/>
  <c r="V3" i="418"/>
  <c r="U3" i="418"/>
  <c r="T3" i="418"/>
  <c r="S3" i="418"/>
  <c r="B28" i="419" l="1"/>
  <c r="R3" i="418"/>
  <c r="Q3" i="418"/>
  <c r="P3" i="418"/>
  <c r="O3" i="418"/>
  <c r="N3" i="418"/>
  <c r="L3" i="418"/>
  <c r="K3" i="418"/>
  <c r="J3" i="418"/>
  <c r="I3" i="418"/>
  <c r="H3" i="418"/>
  <c r="G3" i="418"/>
  <c r="F3" i="418"/>
  <c r="A7" i="339" l="1"/>
  <c r="D3" i="418" l="1"/>
  <c r="G6" i="419" l="1"/>
  <c r="H6" i="419"/>
  <c r="I6" i="419"/>
  <c r="E6" i="419"/>
  <c r="F6" i="419"/>
  <c r="C6" i="419"/>
  <c r="D6" i="419"/>
  <c r="B6" i="419"/>
  <c r="B20" i="419"/>
  <c r="B23" i="419" s="1"/>
  <c r="B19" i="419"/>
  <c r="B17" i="419"/>
  <c r="B16" i="419"/>
  <c r="B14" i="419"/>
  <c r="B13" i="419"/>
  <c r="B12" i="419"/>
  <c r="B11" i="419"/>
  <c r="B18" i="41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3" i="414" l="1"/>
  <c r="D7" i="414"/>
  <c r="A16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0" i="414" l="1"/>
  <c r="A17" i="414"/>
  <c r="R3" i="410" l="1"/>
  <c r="Q3" i="410"/>
  <c r="P3" i="410"/>
  <c r="O3" i="410"/>
  <c r="N3" i="410"/>
  <c r="S3" i="410" s="1"/>
  <c r="L3" i="410"/>
  <c r="K3" i="410"/>
  <c r="J3" i="410"/>
  <c r="I3" i="410"/>
  <c r="H3" i="410"/>
  <c r="M3" i="410" s="1"/>
  <c r="F3" i="410"/>
  <c r="E3" i="410"/>
  <c r="D3" i="410"/>
  <c r="C3" i="410"/>
  <c r="B3" i="410"/>
  <c r="G3" i="410" s="1"/>
  <c r="D19" i="414" s="1"/>
  <c r="R3" i="344" l="1"/>
  <c r="Q3" i="344"/>
  <c r="P3" i="344"/>
  <c r="O3" i="344"/>
  <c r="N3" i="344"/>
  <c r="S3" i="344" s="1"/>
  <c r="L3" i="344"/>
  <c r="K3" i="344"/>
  <c r="J3" i="344"/>
  <c r="I3" i="344"/>
  <c r="H3" i="344"/>
  <c r="M3" i="344" s="1"/>
  <c r="E11" i="339"/>
  <c r="E3" i="344"/>
  <c r="C3" i="344"/>
  <c r="B11" i="339"/>
  <c r="F11" i="339" l="1"/>
  <c r="G3" i="344"/>
  <c r="D18" i="414" s="1"/>
  <c r="C11" i="339"/>
  <c r="H11" i="339" l="1"/>
  <c r="G11" i="339"/>
  <c r="A19" i="414"/>
  <c r="A18" i="414"/>
  <c r="A13" i="414"/>
  <c r="A14" i="414"/>
  <c r="A4" i="414"/>
  <c r="A6" i="339" l="1"/>
  <c r="A5" i="339"/>
  <c r="D4" i="414"/>
  <c r="C14" i="414"/>
  <c r="D17" i="414"/>
  <c r="D14" i="414"/>
  <c r="C17" i="414"/>
  <c r="D8" i="414" l="1"/>
  <c r="C13" i="414" l="1"/>
  <c r="C7" i="414"/>
  <c r="E19" i="414" l="1"/>
  <c r="E18" i="414"/>
  <c r="E13" i="414"/>
  <c r="E7" i="414"/>
  <c r="E8" i="414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E12" i="339" l="1"/>
  <c r="C12" i="339"/>
  <c r="B12" i="339"/>
  <c r="F12" i="339" s="1"/>
  <c r="O3" i="377"/>
  <c r="N3" i="377"/>
  <c r="Q3" i="377" s="1"/>
  <c r="K3" i="377"/>
  <c r="J3" i="377"/>
  <c r="G3" i="377"/>
  <c r="P3" i="377" s="1"/>
  <c r="F3" i="377"/>
  <c r="O3" i="345"/>
  <c r="N3" i="345"/>
  <c r="Q3" i="345" s="1"/>
  <c r="K3" i="345"/>
  <c r="J3" i="345"/>
  <c r="G3" i="345"/>
  <c r="P3" i="345" s="1"/>
  <c r="F3" i="345"/>
  <c r="M3" i="387"/>
  <c r="K3" i="387" s="1"/>
  <c r="L3" i="387"/>
  <c r="J3" i="387"/>
  <c r="I3" i="387"/>
  <c r="G3" i="387"/>
  <c r="H3" i="387" s="1"/>
  <c r="F3" i="387"/>
  <c r="N3" i="220"/>
  <c r="L3" i="220" s="1"/>
  <c r="D20" i="414"/>
  <c r="C20" i="414"/>
  <c r="F13" i="339" l="1"/>
  <c r="E13" i="339"/>
  <c r="E15" i="339" s="1"/>
  <c r="H12" i="339"/>
  <c r="G12" i="339"/>
  <c r="A4" i="383"/>
  <c r="A25" i="383"/>
  <c r="A24" i="383"/>
  <c r="A23" i="383"/>
  <c r="A21" i="383"/>
  <c r="A18" i="383"/>
  <c r="A17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B15" i="339" s="1"/>
  <c r="C4" i="414"/>
  <c r="D16" i="414"/>
  <c r="H13" i="339" l="1"/>
  <c r="F15" i="339"/>
  <c r="E14" i="414"/>
  <c r="E4" i="414"/>
  <c r="C6" i="340"/>
  <c r="D6" i="340" s="1"/>
  <c r="B4" i="340"/>
  <c r="G13" i="339"/>
  <c r="B13" i="340" l="1"/>
  <c r="B12" i="340"/>
  <c r="G15" i="339"/>
  <c r="H15" i="339"/>
  <c r="C4" i="340"/>
  <c r="E17" i="414"/>
  <c r="E20" i="414"/>
  <c r="D4" i="340"/>
  <c r="E6" i="340"/>
  <c r="C16" i="414"/>
  <c r="E16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<sst xmlns="http://schemas.openxmlformats.org/spreadsheetml/2006/main" count="6106" uniqueCount="1162">
  <si>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</si>
  <si>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</si>
  <si>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</si>
  <si>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</si>
  <si>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</si>
  <si>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</si>
  <si>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</si>
  <si>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</si>
  <si>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</si>
  <si>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</si>
  <si>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</si>
  <si>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</si>
  <si>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</si>
  <si>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</si>
  <si>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</si>
  <si>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</si>
  <si>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</si>
  <si>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</si>
  <si>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</si>
  <si>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</si>
  <si>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</si>
  <si>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</si>
  <si>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</si>
  <si>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</si>
  <si>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</si>
  <si>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</si>
  <si>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</si>
  <si>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</si>
  <si>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</si>
  <si>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</si>
  <si>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</si>
  <si>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</si>
  <si>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</si>
  <si>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</si>
  <si>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</si>
  <si>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</si>
  <si>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</si>
  <si>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</si>
  <si>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</si>
  <si>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</si>
  <si>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</si>
  <si>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</si>
  <si>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</si>
  <si>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</si>
  <si>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</si>
  <si>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</si>
  <si>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</si>
  <si>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</si>
  <si>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</si>
  <si>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</si>
  <si>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</si>
  <si>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</si>
  <si>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</si>
  <si>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</si>
  <si>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</si>
  <si>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</si>
  <si>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</si>
  <si>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</si>
  <si>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</si>
  <si>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</si>
  <si>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</si>
  <si>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</si>
  <si>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</si>
  <si>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</si>
  <si>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</si>
  <si>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</si>
  <si>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</si>
  <si>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</si>
  <si>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</si>
  <si>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</si>
  <si>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</si>
  <si>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</si>
  <si>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</si>
  <si>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</si>
  <si>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</si>
  <si>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</si>
  <si>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</si>
  <si>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</si>
  <si>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</si>
  <si>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</si>
  <si>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</si>
  <si>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</si>
  <si>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</si>
  <si>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</si>
  <si>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</si>
  <si>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</si>
  <si>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</si>
  <si>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</si>
  <si>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</si>
  <si>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</si>
  <si>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</si>
  <si>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</si>
  <si>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</si>
  <si>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</si>
  <si>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</si>
  <si>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</si>
  <si>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</si>
  <si>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</si>
  <si>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</si>
  <si>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</si>
  <si>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</si>
  <si>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</si>
  <si>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</si>
  <si>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</si>
  <si>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</si>
  <si>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</si>
  <si>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</si>
  <si>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</si>
  <si>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</si>
  <si>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</si>
  <si>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</si>
  <si>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</si>
  <si>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</si>
  <si>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</si>
  <si>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</si>
  <si>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</si>
  <si>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</si>
  <si>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</si>
  <si>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</si>
  <si>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</si>
  <si>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</si>
  <si>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Lékař</t>
  </si>
  <si>
    <t>Hospodaření zdravotnického pracoviště (v tisících)</t>
  </si>
  <si>
    <t>Spotřeba léčivých přípravků</t>
  </si>
  <si>
    <t>Spotřeba zdravotnického materiálu</t>
  </si>
  <si>
    <t>Přehledové sestavy</t>
  </si>
  <si>
    <t>Akt. měsíc</t>
  </si>
  <si>
    <t>Kč/ks</t>
  </si>
  <si>
    <t>NS / ATC</t>
  </si>
  <si>
    <t>LŽ PL</t>
  </si>
  <si>
    <t>LŽ PL Detail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</si>
  <si>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</si>
  <si>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</si>
  <si>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</si>
  <si>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</si>
  <si>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</si>
  <si>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</si>
  <si>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</si>
  <si>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</si>
  <si>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</si>
  <si>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</si>
  <si>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</si>
  <si>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</si>
  <si>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</si>
  <si>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Pol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</si>
  <si>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</si>
  <si>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</si>
  <si>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</si>
  <si>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</si>
  <si>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</si>
  <si>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</si>
  <si>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</si>
  <si>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</si>
  <si>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</si>
  <si>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</si>
  <si>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</si>
  <si>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</si>
  <si>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</si>
  <si>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</si>
  <si>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lékaři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</si>
  <si>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</si>
  <si>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</si>
  <si>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</si>
  <si>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</si>
  <si>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</si>
  <si>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</si>
  <si>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</si>
  <si>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</si>
  <si>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</si>
  <si>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</si>
  <si>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</si>
  <si>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</si>
  <si>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</si>
  <si>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</si>
  <si>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</si>
  <si>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</si>
  <si>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</si>
  <si>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</si>
  <si>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</si>
  <si>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</si>
  <si>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NLZP *</t>
  </si>
  <si>
    <t>THP *</t>
  </si>
  <si>
    <t>Rozpočet na vzdělávání je plánován na rok, měsíční plány jsou v tabulce dvanáctinou ročního rozpočtu</t>
  </si>
  <si>
    <t>zdravotní laboranti</t>
  </si>
  <si>
    <t>sanitáři</t>
  </si>
  <si>
    <t>abs. stud. oboru přirodověd. zaměření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</si>
  <si>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</si>
  <si>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</si>
  <si>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</si>
  <si>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</si>
  <si>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</si>
  <si>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</si>
  <si>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</si>
  <si>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</si>
  <si>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</si>
  <si>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</si>
  <si>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</si>
  <si>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</si>
  <si>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</si>
  <si>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</si>
  <si>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</si>
  <si>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ROZDÍL (Sk.do data - Rozp.do data 2015)</t>
  </si>
  <si>
    <t>Sml.odb./NS</t>
  </si>
  <si>
    <t>lékaři specialisti</t>
  </si>
  <si>
    <t>všeobecné sestry pod dohl.</t>
  </si>
  <si>
    <t>Lékaři, VŠ NLZP = kategorie 99-203, 520-523, 525-529, 743-747</t>
  </si>
  <si>
    <t>NLZP = kategorie 302-421, 524, 530-642, 748-749</t>
  </si>
  <si>
    <t>THP = kategorie 930</t>
  </si>
  <si>
    <t>01/2016</t>
  </si>
  <si>
    <t>02/2016</t>
  </si>
  <si>
    <t>03/2016</t>
  </si>
  <si>
    <t>04/2016</t>
  </si>
  <si>
    <t>05/2016</t>
  </si>
  <si>
    <t>06/2016</t>
  </si>
  <si>
    <t>07/2016</t>
  </si>
  <si>
    <t>08/2016</t>
  </si>
  <si>
    <t>09/2016</t>
  </si>
  <si>
    <t>10/2016</t>
  </si>
  <si>
    <t>11/2016</t>
  </si>
  <si>
    <t>12/2016</t>
  </si>
  <si>
    <t>POMĚROVÉ  PLNĚNÍ = Rozpočet na rok 2016 celkem a 1/12  ročního rozpočtu, skutečnost daných měsíců a % plnění načítané skutečnosti do data k poměrné části rozpočtu do data.</t>
  </si>
  <si>
    <t>Rozp. 2015            CELKEM</t>
  </si>
  <si>
    <t>Skut. 2015 CELKEM</t>
  </si>
  <si>
    <t>ROZDÍL  Skut. - Rozp. 2015</t>
  </si>
  <si>
    <t>% plnění rozp.2015</t>
  </si>
  <si>
    <t>Rozp.rok 2016</t>
  </si>
  <si>
    <t>Sk.v tis 2016</t>
  </si>
  <si>
    <t>% plnění (Skut.do data/Rozp.rok 2016)</t>
  </si>
  <si>
    <t>Rozpočet výnosů pro rok 2016 je stanoven jako 100% skutečnosti referenčního období (2014)</t>
  </si>
  <si>
    <r>
      <t>Zpět na Obsah</t>
    </r>
    <r>
      <rPr>
        <sz val="9"/>
        <rFont val="Calibri"/>
        <family val="2"/>
        <charset val="238"/>
        <scheme val="minor"/>
      </rPr>
      <t xml:space="preserve"> | 1.-2.měsíc | Ústav mikrobiologie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</si>
  <si>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</si>
  <si>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</si>
  <si>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</si>
  <si>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</si>
  <si>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</si>
  <si>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</si>
  <si>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</si>
  <si>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</si>
  <si>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 (LEK)</t>
  </si>
  <si>
    <t>50113013     léky - antibiotika (LEK)</t>
  </si>
  <si>
    <t>50113190     léky - medicinální plyny (sklad SVm.)</t>
  </si>
  <si>
    <t>50115     Zdravotnické prostředky</t>
  </si>
  <si>
    <t>50115020     laboratorní diagnostika-LEK (Z501)</t>
  </si>
  <si>
    <t>50115040     laboratorní materiál (Z505)</t>
  </si>
  <si>
    <t>50115050     obvazový materiál (Z502)</t>
  </si>
  <si>
    <t>50115060     ZPr - ostatní (Z503)</t>
  </si>
  <si>
    <t>50115065     ZPr - vpichovací materiál (Z530)</t>
  </si>
  <si>
    <t>50115067     ZPr - rukavice (Z532)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</si>
  <si>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</si>
  <si>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</si>
  <si>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</si>
  <si>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</si>
  <si>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</si>
  <si>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50117011     obalový mat. pro sterilizaci (sk.V20)</t>
  </si>
  <si>
    <t>50117015     IT - spotřební materiál (sk. P37, 48)</t>
  </si>
  <si>
    <t>50117024     všeob.mat. - ostatní-vyjímky (V44) od 0,01 do 999,99</t>
  </si>
  <si>
    <t>50117190     technické plyny</t>
  </si>
  <si>
    <t>50118     Náhradní díly</t>
  </si>
  <si>
    <t>--</t>
  </si>
  <si>
    <t>50118001     ND - ostatní (všeob.sklad) (sk.V38)</t>
  </si>
  <si>
    <t>50118005     ND - výpoč. techn.(sklad) (sk.P47)</t>
  </si>
  <si>
    <t>50119     DDHM a textil</t>
  </si>
  <si>
    <t>50119077     OOPP a prádlo pro zaměstnance (sk.T14)</t>
  </si>
  <si>
    <t>50119092     pokojový textil (sk. T15)</t>
  </si>
  <si>
    <t>50119100     jednorázové ochranné pomůcky (sk.T18A)</t>
  </si>
  <si>
    <t>50119101     jednorázový operační materiál (sk.T18B)</t>
  </si>
  <si>
    <t>50119102     jednorázové hygienické potřeby (sk.T18C)</t>
  </si>
  <si>
    <t>50180     Materiál z darů, FKSP</t>
  </si>
  <si>
    <t>50180000     spotř.nák.- z fin. darů</t>
  </si>
  <si>
    <t>51     Služby</t>
  </si>
  <si>
    <t>51102     Technika a stavby</t>
  </si>
  <si>
    <t>51102021     opravy zdravotnické techniky</t>
  </si>
  <si>
    <t>51102023     opravy ostatní techniky</t>
  </si>
  <si>
    <t>51102025     opravy - hl.energetik</t>
  </si>
  <si>
    <t>51201     Cestovné zaměstnanců-tuzemské</t>
  </si>
  <si>
    <t>51201000     cestovné z mezd</t>
  </si>
  <si>
    <t>51201001     cestovné tuzemské - OUC</t>
  </si>
  <si>
    <t>51801     Přepravné</t>
  </si>
  <si>
    <t>51801000     přepravné-lab. vzorky,...</t>
  </si>
  <si>
    <t>51802     Spoje</t>
  </si>
  <si>
    <t>51802001     poštovné</t>
  </si>
  <si>
    <t>51802003     telekom.styk</t>
  </si>
  <si>
    <t>51804     Nájemné</t>
  </si>
  <si>
    <t>51804005     náj. plynových lahví</t>
  </si>
  <si>
    <t>51806     Úklid, odpad, desinf., deratizace</t>
  </si>
  <si>
    <t>51806004     popl. za DDD a ostatní služby</t>
  </si>
  <si>
    <t>51806005     odpad (spalovna)</t>
  </si>
  <si>
    <t>51806006     odpad (ostatní)</t>
  </si>
  <si>
    <t>51808     Revize a smluvní servisy majetku</t>
  </si>
  <si>
    <t>51808008     revize, tech.kontroly, prev.prohl.- OHM</t>
  </si>
  <si>
    <t>51808013     revize - kalibrace - metrolog</t>
  </si>
  <si>
    <t>51808018     smluvní servis - OHM</t>
  </si>
  <si>
    <t>51809     Náklady za poplatky na bankovní služby</t>
  </si>
  <si>
    <t>51809001     ČS - poplatky za vedení účtu</t>
  </si>
  <si>
    <t>51874     Ostatní služby</t>
  </si>
  <si>
    <t>51874010     ostatní služby - zdravotní</t>
  </si>
  <si>
    <t>51874011     zkoušky kvality</t>
  </si>
  <si>
    <t>51874015     organ.rozvoj (certif., akred.)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</si>
  <si>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</si>
  <si>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</si>
  <si>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</si>
  <si>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</si>
  <si>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</si>
  <si>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</si>
  <si>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</si>
  <si>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</si>
  <si>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</si>
  <si>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</si>
  <si>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</si>
  <si>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</si>
  <si>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</si>
  <si>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</si>
  <si>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</si>
  <si>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53     Daně a poplatky</t>
  </si>
  <si>
    <t>538     Jiné daně a poplatky</t>
  </si>
  <si>
    <t>53801     Poplatky</t>
  </si>
  <si>
    <t>53801003     správní poplatky</t>
  </si>
  <si>
    <t>54     Jiné provozní náklady</t>
  </si>
  <si>
    <t>549     Ostatní náklady z činnosti</t>
  </si>
  <si>
    <t>54910     Ostatní náklady z činnosti</t>
  </si>
  <si>
    <t>54910008     školení, kongresové poplatky tuzemské - lékaři</t>
  </si>
  <si>
    <t>54910009     školení, kongresové poplatky tuzemské - ost.zdrav.pracov.</t>
  </si>
  <si>
    <t>54910010     školení - nezdrav.pracov.</t>
  </si>
  <si>
    <t>54972     Školení, kongres.popl.tuzemské - lékaři (pouze OPMČ)</t>
  </si>
  <si>
    <t>54972000     školení, kongres.popl.tuzemské - lékaři (pouze OPMČ)</t>
  </si>
  <si>
    <t>54973     Školení, kongres.popl.tuzemské - ostatní zdrav.prac.(pouze OPMČ)</t>
  </si>
  <si>
    <t>54973000     školení, kongres.popl.tuzemské - ostatní zdrav.prac.(pouze OPMČ)</t>
  </si>
  <si>
    <t>55     Odpisy, rezervy, komplexní náklady příštích období  a opravné položky provozních nákladů</t>
  </si>
  <si>
    <t>551     Odpisy DM</t>
  </si>
  <si>
    <t>55110     Odpisy DM</t>
  </si>
  <si>
    <t>55110002     odpisy DNM z odpisů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</si>
  <si>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</si>
  <si>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</si>
  <si>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</si>
  <si>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</si>
  <si>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55120     ZC vyřazeného DM</t>
  </si>
  <si>
    <t>55120004     ZC DHM - zdravot.techn. z odpisů</t>
  </si>
  <si>
    <t>558     Náklady z drobného dlouhodobého majetku</t>
  </si>
  <si>
    <t>55801     DDHM zdravotnický a laboratorní</t>
  </si>
  <si>
    <t>55801001     DDHM - zdravotnické přístroje (sk.N_525)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</si>
  <si>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</si>
  <si>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</si>
  <si>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</si>
  <si>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</si>
  <si>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</si>
  <si>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60210323     zdr.služby - státní orgány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</si>
  <si>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</si>
  <si>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</si>
  <si>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</si>
  <si>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</si>
  <si>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60228191     výkony za cizince (mimo EHS)</t>
  </si>
  <si>
    <t>60229     Zdr. výkony - ost. ZP sled.položky  OZPI</t>
  </si>
  <si>
    <t>60229208     výkony + mater. - ZP na výkon</t>
  </si>
  <si>
    <t>60229290     výkony pojištěncům EHS</t>
  </si>
  <si>
    <t>60244     Agregované výkony                   OZPI</t>
  </si>
  <si>
    <t>60244409     agreg. výk. ostat. nemocnic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</si>
  <si>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</si>
  <si>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</si>
  <si>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</si>
  <si>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</si>
  <si>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</si>
  <si>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</si>
  <si>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</si>
  <si>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648     Čerpání fondů</t>
  </si>
  <si>
    <t>64803     Čerpání RF - čerpání fin. darů</t>
  </si>
  <si>
    <t>64803000     čerpání RF - čerpání finančních darů</t>
  </si>
  <si>
    <t>649     Ostatní výnosy z činnosti</t>
  </si>
  <si>
    <t>64908     Ostatní výnosy z činnosti</t>
  </si>
  <si>
    <t>64908000     rozdíly v zaokrouhlení</t>
  </si>
  <si>
    <t>64908007     ostatní výnosy</t>
  </si>
  <si>
    <t>64924     Ostatní služby - mimo zdrav.výkony  FAKTURACE</t>
  </si>
  <si>
    <t>64924459     školení, stáže, odb. semináře, konference</t>
  </si>
  <si>
    <t>7     Účtová třída 7 - Vnitropodnikové účetnictví - náklady</t>
  </si>
  <si>
    <t>79     Vnitropodnikové náklady</t>
  </si>
  <si>
    <t>79903     VPN - doprava</t>
  </si>
  <si>
    <t>79903001     výkony dopravy - sanitní</t>
  </si>
  <si>
    <t>79903002     výkony dopravy - osobní</t>
  </si>
  <si>
    <t>79903003     výkony dopravy - nákladní</t>
  </si>
  <si>
    <t>79906     VPN - prádelna</t>
  </si>
  <si>
    <t>79906000     výkony prádelny - praní prádla</t>
  </si>
  <si>
    <t>79910     VPN - informační technologie</t>
  </si>
  <si>
    <t>79910001     výkony IT - fixní náklady (z 9086)</t>
  </si>
  <si>
    <t>79920     VPN - mezistřediskové převody</t>
  </si>
  <si>
    <t>79920000     mezistřediskové převody</t>
  </si>
  <si>
    <t>79950     VPN - správní režie</t>
  </si>
  <si>
    <t>79950001     režie HTS</t>
  </si>
  <si>
    <t>8     Vnútroorganizačné účtovníctvo</t>
  </si>
  <si>
    <t>89     Vnitropodnikové výnosy</t>
  </si>
  <si>
    <t>899     Vnitropodnikové výnosy</t>
  </si>
  <si>
    <t>89920     VPV - mezistřediskové převody</t>
  </si>
  <si>
    <t>89920000     mezistřediskové převody</t>
  </si>
  <si>
    <t>89920001     převody - agregované výkony laboratoří</t>
  </si>
  <si>
    <t>89920004     převody - klinické studie</t>
  </si>
  <si>
    <t>40</t>
  </si>
  <si>
    <t>Ústav mikrobiologie</t>
  </si>
  <si>
    <t/>
  </si>
  <si>
    <t>Ústav mikrobiologie Celkem</t>
  </si>
  <si>
    <t>SumaKL</t>
  </si>
  <si>
    <t>4041</t>
  </si>
  <si>
    <t>mikrobiologie - laboratoř</t>
  </si>
  <si>
    <t>mikrobiologie - laboratoř Celkem</t>
  </si>
  <si>
    <t>SumaNS</t>
  </si>
  <si>
    <t>mezeraNS</t>
  </si>
  <si>
    <t>50113001</t>
  </si>
  <si>
    <t>O</t>
  </si>
  <si>
    <t>51383</t>
  </si>
  <si>
    <t>CHLORID SODNÝ 0,9% BRAUN</t>
  </si>
  <si>
    <t>INF SOL 10X500MLPELAH</t>
  </si>
  <si>
    <t>847713</t>
  </si>
  <si>
    <t>125526</t>
  </si>
  <si>
    <t>APO-IBUPROFEN 400 MG</t>
  </si>
  <si>
    <t>POR TBL FLM 100X400MG</t>
  </si>
  <si>
    <t>189244</t>
  </si>
  <si>
    <t>89244</t>
  </si>
  <si>
    <t>AQUA PRO INJECTIONE ARDEAPHARMA</t>
  </si>
  <si>
    <t>INF 1X250ML</t>
  </si>
  <si>
    <t>102963</t>
  </si>
  <si>
    <t>2963</t>
  </si>
  <si>
    <t>PREDNISON 20 LECIVA</t>
  </si>
  <si>
    <t>TBL 20X20MG(BLISTR)</t>
  </si>
  <si>
    <t>900321</t>
  </si>
  <si>
    <t>0</t>
  </si>
  <si>
    <t>KL PRIPRAVEK</t>
  </si>
  <si>
    <t>155911</t>
  </si>
  <si>
    <t>55911</t>
  </si>
  <si>
    <t>PEROXID VODÍKU 3% COO</t>
  </si>
  <si>
    <t>DRM SOL 1X100ML 3%</t>
  </si>
  <si>
    <t>920056</t>
  </si>
  <si>
    <t>KL ETHANOLUM 70% 800 g</t>
  </si>
  <si>
    <t>921176</t>
  </si>
  <si>
    <t>KL Paraffinum perliq. 800g  HVLP</t>
  </si>
  <si>
    <t>841503</t>
  </si>
  <si>
    <t>MO BRALENKA  25ml</t>
  </si>
  <si>
    <t>921175</t>
  </si>
  <si>
    <t>KL Formol 4% 100 g MIK</t>
  </si>
  <si>
    <t>203954</t>
  </si>
  <si>
    <t>BISEPTOL 480</t>
  </si>
  <si>
    <t>POR TBL NOB 28X480MG</t>
  </si>
  <si>
    <t>148692</t>
  </si>
  <si>
    <t>CHLORAMPHENICOL VUAB 1 G</t>
  </si>
  <si>
    <t>INJ PLV SOL 1X1GM</t>
  </si>
  <si>
    <t>500866</t>
  </si>
  <si>
    <t>KL GLYCEROLUM 85% 12000g</t>
  </si>
  <si>
    <t>50113013</t>
  </si>
  <si>
    <t>118547</t>
  </si>
  <si>
    <t>18547</t>
  </si>
  <si>
    <t>XORIMAX 500 MG POTAH.TABLETY</t>
  </si>
  <si>
    <t>PORTBLFLM10X500MG</t>
  </si>
  <si>
    <t>155636</t>
  </si>
  <si>
    <t>55636</t>
  </si>
  <si>
    <t>OFLOXIN 200</t>
  </si>
  <si>
    <t>TBL OBD 10X200MG</t>
  </si>
  <si>
    <t>105114</t>
  </si>
  <si>
    <t>5114</t>
  </si>
  <si>
    <t>TARGOCID 200MG</t>
  </si>
  <si>
    <t>INJ SIC 1X200MG+SOL</t>
  </si>
  <si>
    <t>207280</t>
  </si>
  <si>
    <t>FUROLIN TABLETY</t>
  </si>
  <si>
    <t>POR TBL NOB 30X100MG</t>
  </si>
  <si>
    <t>P</t>
  </si>
  <si>
    <t>192359</t>
  </si>
  <si>
    <t>92359</t>
  </si>
  <si>
    <t>PROSTAPHLIN 1000MG</t>
  </si>
  <si>
    <t>INJ SIC 1X1000MG</t>
  </si>
  <si>
    <t>151458</t>
  </si>
  <si>
    <t>CEFUROXIM KABI 1500 MG</t>
  </si>
  <si>
    <t>INJ+INF PLV SOL 10X1.5GM</t>
  </si>
  <si>
    <t>Ústav mikrobiologie, mikrobiologie - laboratoř</t>
  </si>
  <si>
    <t>Lékárna - léčiva</t>
  </si>
  <si>
    <t>Lékárna - antibiotika</t>
  </si>
  <si>
    <t>4041 - Ústav mikrobiologie, mikrobiologie - laboratoř</t>
  </si>
  <si>
    <t>J01DC02 - Cefuroxim</t>
  </si>
  <si>
    <t>J01CF04 - Oxacilin</t>
  </si>
  <si>
    <t>J01CF04</t>
  </si>
  <si>
    <t>PROSTAPHLIN 1000 MG</t>
  </si>
  <si>
    <t>IVN INJ PLV SOL 1X1GM</t>
  </si>
  <si>
    <t>J01DC02</t>
  </si>
  <si>
    <t>IMS+IVN INJ+INF PLV SOL 10X1.5</t>
  </si>
  <si>
    <t>XORIMAX 500 MG POTAHOVANÉ TABLETY</t>
  </si>
  <si>
    <t>POR TBL FLM 10X500MG</t>
  </si>
  <si>
    <t>Přehled plnění pozitivního listu - spotřeba léčivých přípravků - orientační přehled</t>
  </si>
  <si>
    <t>40 - Ústav mikrobiologie</t>
  </si>
  <si>
    <t>4041 - mikrobiologie - laboratoř</t>
  </si>
  <si>
    <t>ZA446</t>
  </si>
  <si>
    <t>Vata buničitá přířezy 20 x 30 cm 1230200129</t>
  </si>
  <si>
    <t>ZA450</t>
  </si>
  <si>
    <t>Náplast omniplast 1,25 cm x 9,1 m 9004520</t>
  </si>
  <si>
    <t>ZB404</t>
  </si>
  <si>
    <t>Náplast cosmos 8 cm x 1 m 5403353</t>
  </si>
  <si>
    <t>ZL789</t>
  </si>
  <si>
    <t>Obvaz sterilní hotový č. 2 A4091360</t>
  </si>
  <si>
    <t>ZL790</t>
  </si>
  <si>
    <t>Obvaz sterilní hotový č. 3 A4101144</t>
  </si>
  <si>
    <t>ZL996</t>
  </si>
  <si>
    <t>Obinadlo hyrofilní sterilní  8 cm x 5 m  004310182</t>
  </si>
  <si>
    <t>ZL997</t>
  </si>
  <si>
    <t>Obinadlo hyrofilní sterilní 10 cm x 5 m  004310174</t>
  </si>
  <si>
    <t>ZL995</t>
  </si>
  <si>
    <t>Obinadlo hyrofilní sterilní  6 cm x 5 m  004310190</t>
  </si>
  <si>
    <t>ZA751</t>
  </si>
  <si>
    <t>Papír filtrační archy 50 x 50 cm bal. 12,5 kg PPER2R/80G/50X50</t>
  </si>
  <si>
    <t>ZA789</t>
  </si>
  <si>
    <t>Stříkačka injekční 2-dílná 2 ml L Inject Solo 4606027V</t>
  </si>
  <si>
    <t>ZB370</t>
  </si>
  <si>
    <t>Pipeta pasteurova 1 ml nesterilní bal. á 500 ks 1501</t>
  </si>
  <si>
    <t>ZB863</t>
  </si>
  <si>
    <t>Klička inokulační 10 ml modrá bal. á 20 ks 1682</t>
  </si>
  <si>
    <t>ZF159</t>
  </si>
  <si>
    <t>Nádoba na kontaminovaný odpad 1 l 15-0002</t>
  </si>
  <si>
    <t>ZC774</t>
  </si>
  <si>
    <t>Sklo podložní řezané, čiré 76 x 26 mm VTRA635901000076</t>
  </si>
  <si>
    <t>ZI560</t>
  </si>
  <si>
    <t>Špička žlutá dlouhá manžeta gilson 1 - 200 ul FLME28063</t>
  </si>
  <si>
    <t>ZL822</t>
  </si>
  <si>
    <t>Pipeta pasteurova 1 ml jednotlivě balená bal. á 500 ks FLME27040</t>
  </si>
  <si>
    <t>ZD868</t>
  </si>
  <si>
    <t>Mikrozkumavka eppendorf 1,5 ml FLME23053</t>
  </si>
  <si>
    <t>ZB828</t>
  </si>
  <si>
    <t>Klička bakteriologická 3,0 mm Mir.05</t>
  </si>
  <si>
    <t>ZM667</t>
  </si>
  <si>
    <t>Špička pipetovací s filtrem 1000ul ULTRAFINE bal. á 576 ks (732-0534) VWRI732-0534</t>
  </si>
  <si>
    <t>ZM992</t>
  </si>
  <si>
    <t>Špička pipetovací s filtrem 100ul bal. á 960 ks (732-0523) VWRI732-0523</t>
  </si>
  <si>
    <t>ZM986</t>
  </si>
  <si>
    <t>Zkumavka falcon sterilní do přístroje LIAISON (734-0442) BDAA352052</t>
  </si>
  <si>
    <t>ZE002</t>
  </si>
  <si>
    <t>Kulička skleněná tvrzená pr. 4 mm bal. á 1 kg VTRABALL4</t>
  </si>
  <si>
    <t>ZB829</t>
  </si>
  <si>
    <t>Klička bakteriologická 1,5 mm Mir.03</t>
  </si>
  <si>
    <t>ZC055</t>
  </si>
  <si>
    <t>Zkumavka močová sklo bal. á 100 ks 16/17 x 160 mm sklo 9991.7958</t>
  </si>
  <si>
    <t>ZA832</t>
  </si>
  <si>
    <t>Jehla injekční 0,9 x 40 mm žlutá 4657519</t>
  </si>
  <si>
    <t>ZB556</t>
  </si>
  <si>
    <t>Jehla injekční 1,2 x 40 mm růžová 4665120</t>
  </si>
  <si>
    <t>ZM292</t>
  </si>
  <si>
    <t>Rukavice nitril sempercare bez p. M bal. á 200 ks 30803</t>
  </si>
  <si>
    <t>ZM291</t>
  </si>
  <si>
    <t>Rukavice nitril sempercare bez p. S bal. á 200 ks 30802</t>
  </si>
  <si>
    <t>804536</t>
  </si>
  <si>
    <t xml:space="preserve">-Diagnostikum připr. </t>
  </si>
  <si>
    <t>804197</t>
  </si>
  <si>
    <t>-Pufr na sputa (MIK) 1000 ml</t>
  </si>
  <si>
    <t>DC862</t>
  </si>
  <si>
    <t>VAJECNA PUDA L-J</t>
  </si>
  <si>
    <t>DD598</t>
  </si>
  <si>
    <t>Anaerobní krevní agar(základ BHI)</t>
  </si>
  <si>
    <t>DG277</t>
  </si>
  <si>
    <t>Mueller-Hinton agar s koňskou krví</t>
  </si>
  <si>
    <t>DF859</t>
  </si>
  <si>
    <t>Játrový bujon (WASP)</t>
  </si>
  <si>
    <t>DC859</t>
  </si>
  <si>
    <t>COLUMBIA AGAR</t>
  </si>
  <si>
    <t>DC860</t>
  </si>
  <si>
    <t>GO AGAR</t>
  </si>
  <si>
    <t>DC923</t>
  </si>
  <si>
    <t>COLOREX MRSA</t>
  </si>
  <si>
    <t>DD671</t>
  </si>
  <si>
    <t>VL bujon (10ml)</t>
  </si>
  <si>
    <t>DE706</t>
  </si>
  <si>
    <t>Simons citrát</t>
  </si>
  <si>
    <t>DG145</t>
  </si>
  <si>
    <t>kyselina CHLOROVODÍKOVÁ 35% P.A.</t>
  </si>
  <si>
    <t>DB488</t>
  </si>
  <si>
    <t>Sabourad bujon</t>
  </si>
  <si>
    <t>DD600</t>
  </si>
  <si>
    <t>Selenitový bujon (5ml)</t>
  </si>
  <si>
    <t>DF572</t>
  </si>
  <si>
    <t>MacConkey agar</t>
  </si>
  <si>
    <t>DE743</t>
  </si>
  <si>
    <t>Hajn (2 ml/zk.12x85 mm)(rovně)</t>
  </si>
  <si>
    <t>DC930</t>
  </si>
  <si>
    <t>BACTEC MGIT 960 SUPPLEMENT</t>
  </si>
  <si>
    <t>DC929</t>
  </si>
  <si>
    <t>BBL MGIT 7 ML</t>
  </si>
  <si>
    <t>DD347</t>
  </si>
  <si>
    <t>Legionella BCYE</t>
  </si>
  <si>
    <t>DC017</t>
  </si>
  <si>
    <t>Thioglykolátový bujon</t>
  </si>
  <si>
    <t>DE708</t>
  </si>
  <si>
    <t>MIU</t>
  </si>
  <si>
    <t>DA229</t>
  </si>
  <si>
    <t>Columbia /MacConkey agar 1/2p</t>
  </si>
  <si>
    <t>DD596</t>
  </si>
  <si>
    <t>Sabouraud agar s CMP</t>
  </si>
  <si>
    <t>DD599</t>
  </si>
  <si>
    <t>Játrový bujon (5ml)</t>
  </si>
  <si>
    <t>DB129</t>
  </si>
  <si>
    <t>MacConkey/DC agar 1/2p</t>
  </si>
  <si>
    <t>DC931</t>
  </si>
  <si>
    <t>CIN agar</t>
  </si>
  <si>
    <t>DC863</t>
  </si>
  <si>
    <t>VAJECNA PUDA OGAWA</t>
  </si>
  <si>
    <t>DF860</t>
  </si>
  <si>
    <t>Selenitový bujon (WASP)</t>
  </si>
  <si>
    <t>DD554</t>
  </si>
  <si>
    <t>Agar pro C.jejuni</t>
  </si>
  <si>
    <t>DC992</t>
  </si>
  <si>
    <t>Legionella GVPC agar</t>
  </si>
  <si>
    <t>DG388</t>
  </si>
  <si>
    <t>Játrový bujon (10ml)</t>
  </si>
  <si>
    <t>DA112</t>
  </si>
  <si>
    <t>Liaison XL-Control CMV IgG</t>
  </si>
  <si>
    <t>DA147</t>
  </si>
  <si>
    <t>Liaison XL-HAV IgM</t>
  </si>
  <si>
    <t>DB172</t>
  </si>
  <si>
    <t>Set MIC PS rod Pseudomonas</t>
  </si>
  <si>
    <t>DB171</t>
  </si>
  <si>
    <t>Set MIC ST rod Staphylococcus</t>
  </si>
  <si>
    <t>DB169</t>
  </si>
  <si>
    <t>Set MIC MO Gram- bakterie</t>
  </si>
  <si>
    <t>DB170</t>
  </si>
  <si>
    <t>Set MIC GP Gram+ bakterie</t>
  </si>
  <si>
    <t>DB167</t>
  </si>
  <si>
    <t>Set MIC G1 Gram- bakterie</t>
  </si>
  <si>
    <t>DB168</t>
  </si>
  <si>
    <t>Set MIC G2 Gram- bakterie</t>
  </si>
  <si>
    <t>DC074</t>
  </si>
  <si>
    <t>Liaison VZV IgG</t>
  </si>
  <si>
    <t>DG223</t>
  </si>
  <si>
    <t>ACETON CISTY</t>
  </si>
  <si>
    <t>DA184</t>
  </si>
  <si>
    <t>Liaison XL-HBc IgM (50test)</t>
  </si>
  <si>
    <t>DA153</t>
  </si>
  <si>
    <t>Liaison XL-HBeAg</t>
  </si>
  <si>
    <t>DA185</t>
  </si>
  <si>
    <t>Liaison XL-control anti HBc</t>
  </si>
  <si>
    <t>DC053</t>
  </si>
  <si>
    <t>SACKY 160X200 200KS</t>
  </si>
  <si>
    <t>DD597</t>
  </si>
  <si>
    <t>DC agar</t>
  </si>
  <si>
    <t>DB746</t>
  </si>
  <si>
    <t>CHLAMYDIEN  ELISA IGG</t>
  </si>
  <si>
    <t>DB748</t>
  </si>
  <si>
    <t>CHLAMYDIEN  ELISA IGA</t>
  </si>
  <si>
    <t>DB747</t>
  </si>
  <si>
    <t>CHLAMYDIEN  ELISA IGM</t>
  </si>
  <si>
    <t>DB456</t>
  </si>
  <si>
    <t>Borrelia IgM Eco Line</t>
  </si>
  <si>
    <t>DA082</t>
  </si>
  <si>
    <t>Liaison XL-HCV Ab</t>
  </si>
  <si>
    <t>DG224</t>
  </si>
  <si>
    <t>XYLEN CISTY</t>
  </si>
  <si>
    <t>DE703</t>
  </si>
  <si>
    <t>Rýžový agar</t>
  </si>
  <si>
    <t>DD457</t>
  </si>
  <si>
    <t>Liaison VZV IgM</t>
  </si>
  <si>
    <t>DE499</t>
  </si>
  <si>
    <t>Liaison a-Borrelia IgM QUANT</t>
  </si>
  <si>
    <t>DA088</t>
  </si>
  <si>
    <t>Liaison MCP-IgM</t>
  </si>
  <si>
    <t>DB008</t>
  </si>
  <si>
    <t>Yersinia Serokit</t>
  </si>
  <si>
    <t>DB952</t>
  </si>
  <si>
    <t>Borrelia IgG Eco Line</t>
  </si>
  <si>
    <t>DC843</t>
  </si>
  <si>
    <t>Liaison HBsAg</t>
  </si>
  <si>
    <t>DB194</t>
  </si>
  <si>
    <t>Cefotaxim 5ug</t>
  </si>
  <si>
    <t>DA124</t>
  </si>
  <si>
    <t>Clostridium diff. select. agar (10 ploten)</t>
  </si>
  <si>
    <t>DD112</t>
  </si>
  <si>
    <t>Liaison Borrelia IgG</t>
  </si>
  <si>
    <t>DA087</t>
  </si>
  <si>
    <t>Liaison MCP-IgG</t>
  </si>
  <si>
    <t>DB087</t>
  </si>
  <si>
    <t>Liaison XL-EBV IgM</t>
  </si>
  <si>
    <t>DG393</t>
  </si>
  <si>
    <t>Ethanol 96%</t>
  </si>
  <si>
    <t>DB310</t>
  </si>
  <si>
    <t>Ethanolum benzino den. 4kg</t>
  </si>
  <si>
    <t>DD367</t>
  </si>
  <si>
    <t>Mueller Hinton Broth</t>
  </si>
  <si>
    <t>DE353</t>
  </si>
  <si>
    <t>Amplified IDEIA Hp STAR</t>
  </si>
  <si>
    <t>DA110</t>
  </si>
  <si>
    <t>Liaison XL-CMV IgG</t>
  </si>
  <si>
    <t>DA079</t>
  </si>
  <si>
    <t>Liaison XL-HBsAg Quant</t>
  </si>
  <si>
    <t>DB088</t>
  </si>
  <si>
    <t>Liaison XL-VCA IgG</t>
  </si>
  <si>
    <t>DA427</t>
  </si>
  <si>
    <t>PathoDxtra Strep Grouping Kit, 60 tests</t>
  </si>
  <si>
    <t>DA111</t>
  </si>
  <si>
    <t>Liaison XL-CMV IgM</t>
  </si>
  <si>
    <t>DE263</t>
  </si>
  <si>
    <t>Mueller Hinton  Broth 500 g</t>
  </si>
  <si>
    <t>DB303</t>
  </si>
  <si>
    <t>Anyplex II. RB5 Detection (50 reakcí)</t>
  </si>
  <si>
    <t>DB086</t>
  </si>
  <si>
    <t>Liaison XL-EBNA IgG</t>
  </si>
  <si>
    <t>DC236</t>
  </si>
  <si>
    <t>DIETHYLETER P.A. NESTAB.</t>
  </si>
  <si>
    <t>DA116</t>
  </si>
  <si>
    <t>Liaison control Bor.liquor IgM</t>
  </si>
  <si>
    <t>DA083</t>
  </si>
  <si>
    <t>Liaison XL-HIV Ag/Ab</t>
  </si>
  <si>
    <t>DA080</t>
  </si>
  <si>
    <t>Liaison XL-WASH SYSTEM</t>
  </si>
  <si>
    <t>DA084</t>
  </si>
  <si>
    <t>Liaison XL-Control HCV Ab</t>
  </si>
  <si>
    <t>DA252</t>
  </si>
  <si>
    <t>EIA TBE Virus IgG</t>
  </si>
  <si>
    <t>DB508</t>
  </si>
  <si>
    <t>ITEST X+V-FAKTOR</t>
  </si>
  <si>
    <t>DD601</t>
  </si>
  <si>
    <t>Mueller Hinton</t>
  </si>
  <si>
    <t>DB734</t>
  </si>
  <si>
    <t>ITEST ASO</t>
  </si>
  <si>
    <t>DG307</t>
  </si>
  <si>
    <t>EI Varicella zoster virus IgG</t>
  </si>
  <si>
    <t>DB096</t>
  </si>
  <si>
    <t>Liaison XL-anti-HBs II</t>
  </si>
  <si>
    <t>DA154</t>
  </si>
  <si>
    <t>Liaison XL-anti-HBe</t>
  </si>
  <si>
    <t>DD145</t>
  </si>
  <si>
    <t>MYCOPLASMA IST II</t>
  </si>
  <si>
    <t>DG304</t>
  </si>
  <si>
    <t>EI Measles virus IgG</t>
  </si>
  <si>
    <t>DD646</t>
  </si>
  <si>
    <t>S.typhi-antigen 0 susp.(TO)</t>
  </si>
  <si>
    <t>DG305</t>
  </si>
  <si>
    <t>EI Mumps virus IgG</t>
  </si>
  <si>
    <t>DG272</t>
  </si>
  <si>
    <t>Liaison Chlamidia trachomatis IgA</t>
  </si>
  <si>
    <t>DC340</t>
  </si>
  <si>
    <t>EIA TOXOCARA CANIS IGG</t>
  </si>
  <si>
    <t>DA172</t>
  </si>
  <si>
    <t>Liaison XL cuvettes</t>
  </si>
  <si>
    <t>DD595</t>
  </si>
  <si>
    <t>Sabouraud</t>
  </si>
  <si>
    <t>DG302</t>
  </si>
  <si>
    <t>EI Epstein-Barr virus -capsid</t>
  </si>
  <si>
    <t>DA183</t>
  </si>
  <si>
    <t>Liaison XL-anti-HBc celkově</t>
  </si>
  <si>
    <t>DB624</t>
  </si>
  <si>
    <t>Liaison HSV 1+2 IgM</t>
  </si>
  <si>
    <t>DA253</t>
  </si>
  <si>
    <t>EIA TBE Virus IgM</t>
  </si>
  <si>
    <t>DC787</t>
  </si>
  <si>
    <t>AMIKACIN</t>
  </si>
  <si>
    <t>DD704</t>
  </si>
  <si>
    <t>S.enteritidis- antigen H susp.(ENH)</t>
  </si>
  <si>
    <t>DD703</t>
  </si>
  <si>
    <t>S.paratyphi-antigen 0 susp.(BO)</t>
  </si>
  <si>
    <t>DE805</t>
  </si>
  <si>
    <t>COLOREX Candida</t>
  </si>
  <si>
    <t>DD990</t>
  </si>
  <si>
    <t>S.typhimurium antigen H (TMH)</t>
  </si>
  <si>
    <t>DC066</t>
  </si>
  <si>
    <t>CEFUROXIME ,200 ks</t>
  </si>
  <si>
    <t>DE650</t>
  </si>
  <si>
    <t>COKOLADOVY AGAR (bez ATB)</t>
  </si>
  <si>
    <t>DD782</t>
  </si>
  <si>
    <t>SALMO.PARA-B.SUSP.H (BH)</t>
  </si>
  <si>
    <t>DA976</t>
  </si>
  <si>
    <t>OXI test  diagnostics</t>
  </si>
  <si>
    <t>DB162</t>
  </si>
  <si>
    <t>Liaison XL Cleaning Tool</t>
  </si>
  <si>
    <t>DE066</t>
  </si>
  <si>
    <t>Monolisa HCV Ag-Ab Ultra (96 tests)</t>
  </si>
  <si>
    <t>DG273</t>
  </si>
  <si>
    <t>Liaison Chlamidia trachomatis IgG</t>
  </si>
  <si>
    <t>DA146</t>
  </si>
  <si>
    <t>Liaison XL-anti-HAV</t>
  </si>
  <si>
    <t>DG303</t>
  </si>
  <si>
    <t>EI Herpes simplex virus IgG</t>
  </si>
  <si>
    <t>DG306</t>
  </si>
  <si>
    <t>EI Rubella virus IgG</t>
  </si>
  <si>
    <t>DD705</t>
  </si>
  <si>
    <t>S.typhi-antigen H susp.(TH)</t>
  </si>
  <si>
    <t>DC900</t>
  </si>
  <si>
    <t>OXACILLIN /1MCG/, 4x50 ks</t>
  </si>
  <si>
    <t>DC441</t>
  </si>
  <si>
    <t>Reaction Modules for Liaison</t>
  </si>
  <si>
    <t>DG301</t>
  </si>
  <si>
    <t>EI Cytomegalovirus IgG</t>
  </si>
  <si>
    <t>DA086</t>
  </si>
  <si>
    <t>Liaison XL-Control HBsAg Quant</t>
  </si>
  <si>
    <t>DB610</t>
  </si>
  <si>
    <t>ITEST BACITRACIN H</t>
  </si>
  <si>
    <t>DC505</t>
  </si>
  <si>
    <t>Rapid Innova Nitrate A Reagent</t>
  </si>
  <si>
    <t>DC022</t>
  </si>
  <si>
    <t>EIA TOXOPLASMA IGG</t>
  </si>
  <si>
    <t>DB697</t>
  </si>
  <si>
    <t>EIA TOXOPLASMA IGA</t>
  </si>
  <si>
    <t>DG340</t>
  </si>
  <si>
    <t>Bordetella pertussis toxin IgA</t>
  </si>
  <si>
    <t>DC061</t>
  </si>
  <si>
    <t>AMOX+CLAVULINIC ACID 200 ks</t>
  </si>
  <si>
    <t>DC067</t>
  </si>
  <si>
    <t>CHLORAMPHENICOL</t>
  </si>
  <si>
    <t>DC071</t>
  </si>
  <si>
    <t>ERYTHROMYCIN</t>
  </si>
  <si>
    <t>DB698</t>
  </si>
  <si>
    <t>EIA TOXOPLASMA IGM</t>
  </si>
  <si>
    <t>DA800</t>
  </si>
  <si>
    <t>Penicilin 0,6ug</t>
  </si>
  <si>
    <t>DC081</t>
  </si>
  <si>
    <t>TETRACYCLIN  (30IU)</t>
  </si>
  <si>
    <t>DG600</t>
  </si>
  <si>
    <t>Brilliance™ ESBL Agar</t>
  </si>
  <si>
    <t>DE793</t>
  </si>
  <si>
    <t>Želatina-Tween (PM)</t>
  </si>
  <si>
    <t>DG341</t>
  </si>
  <si>
    <t>Bordetella pertussis toxin IgG</t>
  </si>
  <si>
    <t>DG608</t>
  </si>
  <si>
    <t>Legionella Urine Antigen</t>
  </si>
  <si>
    <t>DB535</t>
  </si>
  <si>
    <t>N-ACETYL-L-CYSTEIN 100g</t>
  </si>
  <si>
    <t>DG614</t>
  </si>
  <si>
    <t>GeneProof Mycobacterium tbc PCR KIT</t>
  </si>
  <si>
    <t>DA113</t>
  </si>
  <si>
    <t>Liaison XL-Control CMV IgM</t>
  </si>
  <si>
    <t>DB085</t>
  </si>
  <si>
    <t>Liaison XL-EA-G</t>
  </si>
  <si>
    <t>DG594</t>
  </si>
  <si>
    <t>DEFIBR.KREV KRALICI V ALS. 20 ml</t>
  </si>
  <si>
    <t>DD660</t>
  </si>
  <si>
    <t>Anaerobní krevní agar (Schadler agar)</t>
  </si>
  <si>
    <t>DC161</t>
  </si>
  <si>
    <t>IDEIA CHLAMYDIA BLOCK REAGENTS</t>
  </si>
  <si>
    <t>DC614</t>
  </si>
  <si>
    <t>Krevni agar B.pertussis</t>
  </si>
  <si>
    <t>DA312</t>
  </si>
  <si>
    <t>GO AGAR/GO agar s ATB(biplate)</t>
  </si>
  <si>
    <t>DG071</t>
  </si>
  <si>
    <t>GeneProof PathogenFree RNA Isolation Kit</t>
  </si>
  <si>
    <t>DB585</t>
  </si>
  <si>
    <t>Liaison HSV 1+2 IgG</t>
  </si>
  <si>
    <t>DG602</t>
  </si>
  <si>
    <t>C.difficile toxin A+B Card</t>
  </si>
  <si>
    <t>DA186</t>
  </si>
  <si>
    <t>Liaison XL-Control HBc IgM</t>
  </si>
  <si>
    <t>DD300</t>
  </si>
  <si>
    <t>STAPHAUREX PLUS</t>
  </si>
  <si>
    <t>DE765</t>
  </si>
  <si>
    <t>Malachitová zeleň - parazitologie</t>
  </si>
  <si>
    <t>DB608</t>
  </si>
  <si>
    <t>ITEST OPTOCHIN 100 ks</t>
  </si>
  <si>
    <t>DA081</t>
  </si>
  <si>
    <t>Liaison XL-STARTER KIT</t>
  </si>
  <si>
    <t>DB365</t>
  </si>
  <si>
    <t>Liaison Control HSV 1,2 IgM</t>
  </si>
  <si>
    <t>DG601</t>
  </si>
  <si>
    <t>C.difficile Ag (GDH) Card</t>
  </si>
  <si>
    <t>DB663</t>
  </si>
  <si>
    <t>Liaison Control HBsAg</t>
  </si>
  <si>
    <t>DA629</t>
  </si>
  <si>
    <t>WASP-LOOP CLEANING SOLUTION (1 X 50 ML)</t>
  </si>
  <si>
    <t>DC068</t>
  </si>
  <si>
    <t>CIPROFLOXACIN</t>
  </si>
  <si>
    <t>DC023</t>
  </si>
  <si>
    <t>ITEST BACITRACIN S</t>
  </si>
  <si>
    <t>DB193</t>
  </si>
  <si>
    <t>SÁČKY STŘEDNÍ PRO anaerob. kultivaci</t>
  </si>
  <si>
    <t>DD652</t>
  </si>
  <si>
    <t>Imersní olej pro mikroskopii 500 ml OLYMPUS</t>
  </si>
  <si>
    <t>DE500</t>
  </si>
  <si>
    <t>Liaison a-Borrelia IgM QUANT control</t>
  </si>
  <si>
    <t>DA085</t>
  </si>
  <si>
    <t>Liaison XL-Control HIV Ab/Ag</t>
  </si>
  <si>
    <t>DG826</t>
  </si>
  <si>
    <t>Pufr.fyziologický roztok 2ml</t>
  </si>
  <si>
    <t>DC063</t>
  </si>
  <si>
    <t>CEFOXITIN</t>
  </si>
  <si>
    <t>DA187</t>
  </si>
  <si>
    <t>Piperacillin sodium salt 1 g</t>
  </si>
  <si>
    <t>DG977</t>
  </si>
  <si>
    <t>GeneProof PathogenFree DNA isol 250 rc</t>
  </si>
  <si>
    <t>DH209</t>
  </si>
  <si>
    <t>Cefotaxime 256</t>
  </si>
  <si>
    <t>DG834</t>
  </si>
  <si>
    <t>R-DIARSV (100 reakcí)</t>
  </si>
  <si>
    <t>DC069</t>
  </si>
  <si>
    <t>CLINDAMYCIN 2IU</t>
  </si>
  <si>
    <t>DB609</t>
  </si>
  <si>
    <t>ITEST VK</t>
  </si>
  <si>
    <t>DC664</t>
  </si>
  <si>
    <t>PLATELIA ASPERGILLUS AG 96t</t>
  </si>
  <si>
    <t>DC082</t>
  </si>
  <si>
    <t>TRIMETHOPRIME-SULFAM (1,25+23,75)</t>
  </si>
  <si>
    <t>DF798</t>
  </si>
  <si>
    <t>E Coli Mixture IV (114+12+142)</t>
  </si>
  <si>
    <t>DE603</t>
  </si>
  <si>
    <t>Ceftazidime + clavulanic acid 30+10 ug</t>
  </si>
  <si>
    <t>DB829</t>
  </si>
  <si>
    <t>IDEIA PCE CHLAMYDIA</t>
  </si>
  <si>
    <t>DE801</t>
  </si>
  <si>
    <t>FLU A/B Typing real time detection</t>
  </si>
  <si>
    <t>DG315</t>
  </si>
  <si>
    <t>EliGene Adenovirus RT</t>
  </si>
  <si>
    <t>DB092</t>
  </si>
  <si>
    <t>Liaison XL-Control EA IgG</t>
  </si>
  <si>
    <t>DB068</t>
  </si>
  <si>
    <t>Liaison XL Disposable Tips</t>
  </si>
  <si>
    <t>DA114</t>
  </si>
  <si>
    <t>Liaison XL-HBsAg Confirmatory Test</t>
  </si>
  <si>
    <t>DA216</t>
  </si>
  <si>
    <t>LATEXOVA SUSP.ANTI  E.coli</t>
  </si>
  <si>
    <t>DD358</t>
  </si>
  <si>
    <t>SOUPRAVA LISTERIOZA PA</t>
  </si>
  <si>
    <t>DA779</t>
  </si>
  <si>
    <t>LINEZOLID LZ 256 (30 testů)</t>
  </si>
  <si>
    <t>DC502</t>
  </si>
  <si>
    <t>IMMUNOQuick NoRotAdeno - 20 testů</t>
  </si>
  <si>
    <t>DE498</t>
  </si>
  <si>
    <t>Rapid ANA II Syst.</t>
  </si>
  <si>
    <t>DG163</t>
  </si>
  <si>
    <t>HYDROXID SODNY P.A.</t>
  </si>
  <si>
    <t>DA978</t>
  </si>
  <si>
    <t>Činidlo pro PYR diagnostics</t>
  </si>
  <si>
    <t>DC021</t>
  </si>
  <si>
    <t>ETI-HA-IGMK PLUS (HAV IgM EIA)</t>
  </si>
  <si>
    <t>DC397</t>
  </si>
  <si>
    <t>Liaison Cleaning kit</t>
  </si>
  <si>
    <t>DH250</t>
  </si>
  <si>
    <t>Parvovirus B19</t>
  </si>
  <si>
    <t>DH251</t>
  </si>
  <si>
    <t>Parvovirus B19 + IgG/RF absorbent</t>
  </si>
  <si>
    <t>DA719</t>
  </si>
  <si>
    <t>Burghorderia Cepacia Agar</t>
  </si>
  <si>
    <t>DA749</t>
  </si>
  <si>
    <t>Azithromycin AZ 256 (30 testů)</t>
  </si>
  <si>
    <t>DB197</t>
  </si>
  <si>
    <t>gentamycin 30ug</t>
  </si>
  <si>
    <t>DB422</t>
  </si>
  <si>
    <t>ITEST V-FAKTOR</t>
  </si>
  <si>
    <t>DB506</t>
  </si>
  <si>
    <t>ITEST X-FAKTOR</t>
  </si>
  <si>
    <t>801325</t>
  </si>
  <si>
    <t>-KYS.SULFOSALICYLOVA 20%,LEK 200 G</t>
  </si>
  <si>
    <t>DF400</t>
  </si>
  <si>
    <t>ZR Fungal/Bacterial DNA Kit</t>
  </si>
  <si>
    <t>DH404</t>
  </si>
  <si>
    <t>α-Cyano-4-hydroxycinnamic acid</t>
  </si>
  <si>
    <t>DG089</t>
  </si>
  <si>
    <t>Detection of COLISTIN resistence</t>
  </si>
  <si>
    <t>DA129</t>
  </si>
  <si>
    <t>EOSIN Y disodium salt</t>
  </si>
  <si>
    <t>DH478</t>
  </si>
  <si>
    <t>Varicella zoster virus IgM</t>
  </si>
  <si>
    <t>DA914</t>
  </si>
  <si>
    <t>Benzylpenicillin PGL 32 (30 testu)</t>
  </si>
  <si>
    <t>DA778</t>
  </si>
  <si>
    <t>VANCOMICINA VA 256 (30 testů)</t>
  </si>
  <si>
    <t>DG082</t>
  </si>
  <si>
    <t>Salmo.monovalent O:4,5</t>
  </si>
  <si>
    <t>DA721</t>
  </si>
  <si>
    <t>Haemophilus Selective agar</t>
  </si>
  <si>
    <t>DD458</t>
  </si>
  <si>
    <t>JOD P.A</t>
  </si>
  <si>
    <t>DG234</t>
  </si>
  <si>
    <t>Gentamicin GM 256</t>
  </si>
  <si>
    <t>DC589</t>
  </si>
  <si>
    <t>Rapid Innova Spot Indole Reagent</t>
  </si>
  <si>
    <t>DC657</t>
  </si>
  <si>
    <t>Binax NOW - PBP 2a Culture Colony test</t>
  </si>
  <si>
    <t>DE010</t>
  </si>
  <si>
    <t>4-dimethylaminobenzaldehyd</t>
  </si>
  <si>
    <t>DB077</t>
  </si>
  <si>
    <t>IMIPENEM</t>
  </si>
  <si>
    <t>DG379</t>
  </si>
  <si>
    <t>Doprava 21%</t>
  </si>
  <si>
    <t>50115050</t>
  </si>
  <si>
    <t>502 SZM obvazový (112 02 040)</t>
  </si>
  <si>
    <t>50115060</t>
  </si>
  <si>
    <t>503 SZM ostatní zdravotnický (112 02 100)</t>
  </si>
  <si>
    <t>50115040</t>
  </si>
  <si>
    <t>505 SZM laboratorní sklo a materiál (112 02 140)</t>
  </si>
  <si>
    <t>50115065</t>
  </si>
  <si>
    <t>530 SZM jehly (112 02 107)</t>
  </si>
  <si>
    <t>50115067</t>
  </si>
  <si>
    <t>532 SZM Rukavice (112 02 108)</t>
  </si>
  <si>
    <t>50115020</t>
  </si>
  <si>
    <t>Diagnostika (112 04 004, 132 01 004)</t>
  </si>
  <si>
    <t>Spotřeba zdravotnického materiálu - orientační přehled</t>
  </si>
  <si>
    <t>ON Data</t>
  </si>
  <si>
    <t>802 - Pracoviště lékařské mikrobiologie</t>
  </si>
  <si>
    <t>Zdravotní výkony vykázané na pracovišti v rámci ambulantní péče *</t>
  </si>
  <si>
    <t xml:space="preserve"> </t>
  </si>
  <si>
    <t>* Legenda</t>
  </si>
  <si>
    <t>Ambulantní péče znamená, že pacient v den poskytnutí zdravotní péče není hospitalizován ve FNOL</t>
  </si>
  <si>
    <t>beze jména</t>
  </si>
  <si>
    <t>Zdravotní výkony vykázané na pracovišti v rámci ambulantní péče dle lékařů *</t>
  </si>
  <si>
    <t>802</t>
  </si>
  <si>
    <t>V</t>
  </si>
  <si>
    <t>82001</t>
  </si>
  <si>
    <t>KONSULTACE K MIKROBIOLOGICKÉMU, PARAZITOLOGICKÉMU,</t>
  </si>
  <si>
    <t>82011</t>
  </si>
  <si>
    <t>ZÁKLADNÍ KULTIVAČNÍ VYŠETŘENÍ KLINICKÉHO MATERIÁLU</t>
  </si>
  <si>
    <t>82017</t>
  </si>
  <si>
    <t>ZÁKLADNÍ KULTIVAČNÍ VYŠETRENÍ MATERIÁLU Z RESPIRAČ</t>
  </si>
  <si>
    <t>82021</t>
  </si>
  <si>
    <t>ZÁKLADNÍ KULTIVAČNÍ VYŠETŘENÍ LIKVORU</t>
  </si>
  <si>
    <t>82027</t>
  </si>
  <si>
    <t>VYŠETŘENÍ ANAEROBNÍ METODOU</t>
  </si>
  <si>
    <t>82031</t>
  </si>
  <si>
    <t>KULTIVACE CÍLENÁ ANAEROBNÍ NEBO MIKROAEROFILNÍ</t>
  </si>
  <si>
    <t>82037</t>
  </si>
  <si>
    <t>KULTIVAČNÍ VYŠETŘENÍ POMOCÍ AUTOMATICKÉHO SYSTÉMU</t>
  </si>
  <si>
    <t>82041</t>
  </si>
  <si>
    <t>PRŮKAZ DNA MIKROORGANISMU V KLINICKÉM MATERIÁLU HY</t>
  </si>
  <si>
    <t>82057</t>
  </si>
  <si>
    <t>IDENTIFIKACE KMENE ORIENTAČNÍ JEDNODUCHÝM TESTEM</t>
  </si>
  <si>
    <t>82077</t>
  </si>
  <si>
    <t>STANOVENÍ PROTILÁTEK PROTI ANTIGENŮM VIRŮ HEPATITI</t>
  </si>
  <si>
    <t>82087</t>
  </si>
  <si>
    <t>STANOVENÍ PROTILÁTEK AGLUTINACÍ</t>
  </si>
  <si>
    <t>82091</t>
  </si>
  <si>
    <t>STANOVENÍ  PROTILÁTEK METODOU REAKCE INHIBICE HEMO</t>
  </si>
  <si>
    <t>82097</t>
  </si>
  <si>
    <t>STANOVENÍ PROTILÁTEK PROTI EBV (ELISA)</t>
  </si>
  <si>
    <t>82111</t>
  </si>
  <si>
    <t>PRŮKAZ PROTILÁTEK NEPŘÍMOU HEMAGLUTINACÍ NA NOSIČÍ</t>
  </si>
  <si>
    <t>82117</t>
  </si>
  <si>
    <t>PRŮKAZ ANTIGENU VIRU (MIMO VIRY HEPATITID), BAKTER</t>
  </si>
  <si>
    <t>82131</t>
  </si>
  <si>
    <t>IDENTIFIKACE BAKTERIÁLNÍHO KMENE V KULTUŘE (POMNOŽ</t>
  </si>
  <si>
    <t>82211</t>
  </si>
  <si>
    <t>KULTIVAČNÍ VYŠETŘENÍ NA MYKOBAKTERIA</t>
  </si>
  <si>
    <t>82221</t>
  </si>
  <si>
    <t>PRIMÁRNÍ ISOLACE MYKOBAKTERIÍ RYCHLOU KULTIVAČNÍ M</t>
  </si>
  <si>
    <t>82231</t>
  </si>
  <si>
    <t>KULTIVAČNÍ VYŠETŘENÍ MYKOPLASMAT A L-FOREM BAKTÉRI</t>
  </si>
  <si>
    <t>84011</t>
  </si>
  <si>
    <t>STANDARDNÍ PARAZITOLOGICKÉ VYŠETŘENÍ STOLICE</t>
  </si>
  <si>
    <t>84017</t>
  </si>
  <si>
    <t xml:space="preserve">SPECIELNÍ BARVENÍ STOLICE NA STŘEVNÍ PRVOKY PODLE </t>
  </si>
  <si>
    <t>91421</t>
  </si>
  <si>
    <t>BAKTERIÁLNÍ STOCK VAKCÍNA PRO PERORÁLNÍ PODÁNÍ (4-</t>
  </si>
  <si>
    <t>97111</t>
  </si>
  <si>
    <t>SEPARACE SÉRA NEBO PLAZMY</t>
  </si>
  <si>
    <t>98111</t>
  </si>
  <si>
    <t>MYKOLOGICKÉ VYŠETŘENÍ KULTIVAČNÍ.</t>
  </si>
  <si>
    <t>98117</t>
  </si>
  <si>
    <t>CÍLENÁ IDENTIFIKACE C. ALBICANS</t>
  </si>
  <si>
    <t>82029</t>
  </si>
  <si>
    <t>KULTIVACE CÍLENÁ AEROBNÍ</t>
  </si>
  <si>
    <t>82065</t>
  </si>
  <si>
    <t>STANOVENÍ CITLIVOSTI NA ATB KVANTITATIVNÍ METODOU</t>
  </si>
  <si>
    <t>82003</t>
  </si>
  <si>
    <t>TELEFONICKÁ KONZULTACE K MIKROBIOLOGICKÉMU, PARAZI</t>
  </si>
  <si>
    <t>82025</t>
  </si>
  <si>
    <t>KULTIVAČNÍ VYŠETŘENÍ NA GO</t>
  </si>
  <si>
    <t>82069</t>
  </si>
  <si>
    <t>STANOVENÍ PRODUKCE BETA-LAKTAMÁZY</t>
  </si>
  <si>
    <t>82079</t>
  </si>
  <si>
    <t>STANOVENÍ PROTILÁTEK PROTI ANTIGENŮM VIRŮ (MIMO VI</t>
  </si>
  <si>
    <t>82059</t>
  </si>
  <si>
    <t>IDENTIFIKACE KMENE PODROBNÁ</t>
  </si>
  <si>
    <t>82119</t>
  </si>
  <si>
    <t>PRŮKAZY ANTIGENŮ VIRŮ HEPATITID (ELISA)</t>
  </si>
  <si>
    <t>82015</t>
  </si>
  <si>
    <t>KVANTITATIVNÍ KULTIVAČNÍ VYŠETŘENÍ MOČI</t>
  </si>
  <si>
    <t>82063</t>
  </si>
  <si>
    <t>STANOVENÍ CITLIVOSTI NA ATB KVALITATIVNÍ METODOU</t>
  </si>
  <si>
    <t>82049</t>
  </si>
  <si>
    <t xml:space="preserve">MIKROSKOPICKÉ VYŠETŘENÍ PO BĚŽNÉM OBARVENÍ (GRAM, </t>
  </si>
  <si>
    <t>82145</t>
  </si>
  <si>
    <t>RRR</t>
  </si>
  <si>
    <t>82075</t>
  </si>
  <si>
    <t>STANOVENÍ PROTILÁTEK IgG (NEBO CELKOVÝCH) PROTI AN</t>
  </si>
  <si>
    <t>98119</t>
  </si>
  <si>
    <t>IDENTIFIKACE HYFOMYCET</t>
  </si>
  <si>
    <t>91483</t>
  </si>
  <si>
    <t>STANOVENÍ ANTIGENU HELICOBACTER PYLORI VE STOLICI</t>
  </si>
  <si>
    <t>91399</t>
  </si>
  <si>
    <t>CHARAKTERISTIKA ANTIGENŮ A PROTILÁTEK ELEKTROFORÉZ</t>
  </si>
  <si>
    <t>82083</t>
  </si>
  <si>
    <t>PRŮKAZ BAKTERIÁLNÍHO TOXINU BIOLOGICKÝM POKUSEM NA</t>
  </si>
  <si>
    <t>82135</t>
  </si>
  <si>
    <t>KONFIRMAČNÍ TEST PRŮKAZU ANTIGENŮ</t>
  </si>
  <si>
    <t>98115</t>
  </si>
  <si>
    <t>IDENTIFIKACE KVASINEK PODROBNÁ</t>
  </si>
  <si>
    <t>91419</t>
  </si>
  <si>
    <t xml:space="preserve">AUTOVAKCÍNA BAKTERIÁLNÍ PRO PERORÁLNÍ PODÁNÍ (4-6 </t>
  </si>
  <si>
    <t>82039</t>
  </si>
  <si>
    <t>PŘÍMÝ PRŮKAZ MIKROORGANISMU NEBO JEHO IDENTIFIKACE</t>
  </si>
  <si>
    <t>82013</t>
  </si>
  <si>
    <t>ZÁKLADNÍ KULTIVAČNÍ VYŠETŘENÍ STOLICE</t>
  </si>
  <si>
    <t>82233</t>
  </si>
  <si>
    <t>IDENTIFIKACE MYKOPLASMAT</t>
  </si>
  <si>
    <t>82019</t>
  </si>
  <si>
    <t>SEMIKVANTITATIVNÍ KULTIVAČNÍ VYŠETŘENÍ SPUTA</t>
  </si>
  <si>
    <t>82099</t>
  </si>
  <si>
    <t>STANOVENÍ PROTILÁTEK PROTI OSTATNÍM PŮVODCŮM PARAZ</t>
  </si>
  <si>
    <t>82115</t>
  </si>
  <si>
    <t>PRŮKAZ VIROVÉHO ANTIGENU V BIOLOGICKÉM MATERIÁLU N</t>
  </si>
  <si>
    <t>82149</t>
  </si>
  <si>
    <t>SEROTYPIZACE STŘEVNÍCH A JINÝCH PATOGENŮ</t>
  </si>
  <si>
    <t>84019</t>
  </si>
  <si>
    <t>VYŠETŘENÍ NA ENTEROBIÓZU</t>
  </si>
  <si>
    <t>82053</t>
  </si>
  <si>
    <t>MIKROSKOPICKÉ VYŠETŘENÍ NATIVNÍHO PREPARÁTU</t>
  </si>
  <si>
    <t>82129</t>
  </si>
  <si>
    <t xml:space="preserve">PŘÍMÁ IDENTIFIKACE BAKTERIÁLNÍHO NEBO MYKOTICKÉHO </t>
  </si>
  <si>
    <t>84015</t>
  </si>
  <si>
    <t>VYŠETŘENÍ STOLICE NA KRYPTOSPORIDIÓZU</t>
  </si>
  <si>
    <t>Zdravotní výkony + ZUM + ZULP vykázané na pracovišti v rámci ambulantní péče - orientační přehled</t>
  </si>
  <si>
    <t>01 - I. interní klinika - kardiologická</t>
  </si>
  <si>
    <t>02 - II. interní klinika - gastro-enterologická a hepatologická</t>
  </si>
  <si>
    <t>03 - III. interní klinika - nefrologická, revmatologická a endokrinologická</t>
  </si>
  <si>
    <t>04 - I. chirurgická klinika</t>
  </si>
  <si>
    <t>05 - II. chirurgická klinika - cévně-transplantační</t>
  </si>
  <si>
    <t>06 - Neurochirurgická klinika</t>
  </si>
  <si>
    <t>07 - Klinika anesteziologie, resuscitace a intenzivní medicíny</t>
  </si>
  <si>
    <t>08 - Porodnicko-gynekologická klinika</t>
  </si>
  <si>
    <t>09 - Novorozenecké oddělení</t>
  </si>
  <si>
    <t>10 - Dětská klinika</t>
  </si>
  <si>
    <t>11 - Ortopedická klinika</t>
  </si>
  <si>
    <t>12 - Urologická klinika</t>
  </si>
  <si>
    <t>13 - Otolaryngologická klinika</t>
  </si>
  <si>
    <t>14 - Oční klinika</t>
  </si>
  <si>
    <t>16 - Klinika plicních nemocí a tuberkulózy</t>
  </si>
  <si>
    <t>17 - Neurologická klinika</t>
  </si>
  <si>
    <t>18 - Klinika psychiatrie</t>
  </si>
  <si>
    <t>20 - Klinika chorob kožních a pohlavních</t>
  </si>
  <si>
    <t>21 - Onkologická klinika</t>
  </si>
  <si>
    <t>22 - Klinika nukleární medicíny</t>
  </si>
  <si>
    <t>25 - Klinika ústní,čelistní a obličejové chirurgie</t>
  </si>
  <si>
    <t>26 - Oddělení rehabilitace</t>
  </si>
  <si>
    <t>30 - Oddělení geriatrie</t>
  </si>
  <si>
    <t>31 - Traumatologické oddělení</t>
  </si>
  <si>
    <t>32 - Hemato-onkologická klinika</t>
  </si>
  <si>
    <t>50 - Kardiochirurgická klinika</t>
  </si>
  <si>
    <t>59 - Oddělení intenzivní péče chirurgických oborů</t>
  </si>
  <si>
    <t>01</t>
  </si>
  <si>
    <t>02</t>
  </si>
  <si>
    <t>03</t>
  </si>
  <si>
    <t>82123</t>
  </si>
  <si>
    <t>PRŮKAZ  BAKTERIÁLNÍHO, VIROVÉHO, PARAZITÁRNÍHO EV.</t>
  </si>
  <si>
    <t>04</t>
  </si>
  <si>
    <t>05</t>
  </si>
  <si>
    <t>06</t>
  </si>
  <si>
    <t>07</t>
  </si>
  <si>
    <t>08</t>
  </si>
  <si>
    <t>09</t>
  </si>
  <si>
    <t>10</t>
  </si>
  <si>
    <t>11</t>
  </si>
  <si>
    <t>82033</t>
  </si>
  <si>
    <t>KONTROLA STERILITY KLINICKÉHO VZORKU</t>
  </si>
  <si>
    <t>12</t>
  </si>
  <si>
    <t>13</t>
  </si>
  <si>
    <t>14</t>
  </si>
  <si>
    <t>84021</t>
  </si>
  <si>
    <t>PROTOZOOLOGICKÉ KULTIVAČNÍ VYŠETŘENÍ</t>
  </si>
  <si>
    <t>16</t>
  </si>
  <si>
    <t>17</t>
  </si>
  <si>
    <t>18</t>
  </si>
  <si>
    <t>20</t>
  </si>
  <si>
    <t>21</t>
  </si>
  <si>
    <t>22</t>
  </si>
  <si>
    <t>25</t>
  </si>
  <si>
    <t>26</t>
  </si>
  <si>
    <t>30</t>
  </si>
  <si>
    <t>31</t>
  </si>
  <si>
    <t>32</t>
  </si>
  <si>
    <t>50</t>
  </si>
  <si>
    <t>59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</si>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</sst>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0%;\-0%;"/>
    <numFmt numFmtId="176" formatCode="#,##0%"/>
  </numFmts>
  <fonts count="61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3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98">
    <xf numFmtId="0" fontId="0" fillId="0" borderId="0"/>
    <xf numFmtId="0" fontId="25" fillId="0" borderId="0" applyNumberForma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531">
    <xf numFmtId="0" fontId="0" fillId="0" borderId="0" xfId="0"/>
    <xf numFmtId="0" fontId="27" fillId="2" borderId="17" xfId="81" applyFont="1" applyFill="1" applyBorder="1"/>
    <xf numFmtId="0" fontId="28" fillId="2" borderId="18" xfId="81" applyFont="1" applyFill="1" applyBorder="1"/>
    <xf numFmtId="3" fontId="28" fillId="2" borderId="19" xfId="81" applyNumberFormat="1" applyFont="1" applyFill="1" applyBorder="1"/>
    <xf numFmtId="0" fontId="28" fillId="4" borderId="18" xfId="81" applyFont="1" applyFill="1" applyBorder="1"/>
    <xf numFmtId="3" fontId="28" fillId="4" borderId="19" xfId="81" applyNumberFormat="1" applyFont="1" applyFill="1" applyBorder="1"/>
    <xf numFmtId="171" fontId="28" fillId="3" borderId="19" xfId="81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4" xfId="81" applyNumberFormat="1" applyFont="1" applyFill="1" applyBorder="1"/>
    <xf numFmtId="3" fontId="27" fillId="5" borderId="8" xfId="81" applyNumberFormat="1" applyFont="1" applyFill="1" applyBorder="1"/>
    <xf numFmtId="3" fontId="27" fillId="5" borderId="12" xfId="81" applyNumberFormat="1" applyFont="1" applyFill="1" applyBorder="1"/>
    <xf numFmtId="0" fontId="27" fillId="5" borderId="0" xfId="81" applyFont="1" applyFill="1"/>
    <xf numFmtId="10" fontId="27" fillId="5" borderId="0" xfId="81" applyNumberFormat="1" applyFont="1" applyFill="1"/>
    <xf numFmtId="0" fontId="37" fillId="2" borderId="33" xfId="0" applyFont="1" applyFill="1" applyBorder="1" applyAlignment="1">
      <alignment vertical="top"/>
    </xf>
    <xf numFmtId="0" fontId="37" fillId="2" borderId="34" xfId="0" applyFont="1" applyFill="1" applyBorder="1" applyAlignment="1">
      <alignment vertical="top"/>
    </xf>
    <xf numFmtId="0" fontId="34" fillId="2" borderId="34" xfId="0" applyFont="1" applyFill="1" applyBorder="1" applyAlignment="1">
      <alignment vertical="top"/>
    </xf>
    <xf numFmtId="0" fontId="38" fillId="2" borderId="34" xfId="0" applyFont="1" applyFill="1" applyBorder="1" applyAlignment="1">
      <alignment vertical="top"/>
    </xf>
    <xf numFmtId="0" fontId="36" fillId="2" borderId="34" xfId="0" applyFont="1" applyFill="1" applyBorder="1" applyAlignment="1">
      <alignment vertical="top"/>
    </xf>
    <xf numFmtId="0" fontId="34" fillId="2" borderId="35" xfId="0" applyFont="1" applyFill="1" applyBorder="1" applyAlignment="1">
      <alignment vertical="top"/>
    </xf>
    <xf numFmtId="0" fontId="37" fillId="2" borderId="8" xfId="0" applyFont="1" applyFill="1" applyBorder="1" applyAlignment="1">
      <alignment horizontal="center" vertical="center"/>
    </xf>
    <xf numFmtId="0" fontId="37" fillId="2" borderId="21" xfId="0" applyFont="1" applyFill="1" applyBorder="1" applyAlignment="1">
      <alignment horizontal="center" vertical="center"/>
    </xf>
    <xf numFmtId="0" fontId="37" fillId="2" borderId="23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8" fillId="2" borderId="21" xfId="0" applyFont="1" applyFill="1" applyBorder="1" applyAlignment="1">
      <alignment horizontal="center" vertical="center" wrapText="1"/>
    </xf>
    <xf numFmtId="0" fontId="38" fillId="2" borderId="23" xfId="0" applyFont="1" applyFill="1" applyBorder="1" applyAlignment="1">
      <alignment horizontal="center" vertical="center" wrapText="1"/>
    </xf>
    <xf numFmtId="0" fontId="36" fillId="2" borderId="23" xfId="0" applyFont="1" applyFill="1" applyBorder="1" applyAlignment="1">
      <alignment horizontal="center" vertical="center" wrapText="1"/>
    </xf>
    <xf numFmtId="3" fontId="27" fillId="5" borderId="4" xfId="81" applyNumberFormat="1" applyFont="1" applyFill="1" applyBorder="1"/>
    <xf numFmtId="3" fontId="27" fillId="5" borderId="29" xfId="81" applyNumberFormat="1" applyFont="1" applyFill="1" applyBorder="1"/>
    <xf numFmtId="3" fontId="27" fillId="5" borderId="25" xfId="81" applyNumberFormat="1" applyFont="1" applyFill="1" applyBorder="1"/>
    <xf numFmtId="3" fontId="27" fillId="5" borderId="9" xfId="81" applyNumberFormat="1" applyFont="1" applyFill="1" applyBorder="1"/>
    <xf numFmtId="3" fontId="27" fillId="5" borderId="10" xfId="81" applyNumberFormat="1" applyFont="1" applyFill="1" applyBorder="1"/>
    <xf numFmtId="3" fontId="27" fillId="5" borderId="13" xfId="81" applyNumberFormat="1" applyFont="1" applyFill="1" applyBorder="1"/>
    <xf numFmtId="3" fontId="27" fillId="5" borderId="14" xfId="81" applyNumberFormat="1" applyFont="1" applyFill="1" applyBorder="1"/>
    <xf numFmtId="3" fontId="28" fillId="2" borderId="27" xfId="81" applyNumberFormat="1" applyFont="1" applyFill="1" applyBorder="1"/>
    <xf numFmtId="3" fontId="28" fillId="2" borderId="20" xfId="81" applyNumberFormat="1" applyFont="1" applyFill="1" applyBorder="1"/>
    <xf numFmtId="3" fontId="28" fillId="4" borderId="27" xfId="81" applyNumberFormat="1" applyFont="1" applyFill="1" applyBorder="1"/>
    <xf numFmtId="3" fontId="28" fillId="4" borderId="20" xfId="81" applyNumberFormat="1" applyFont="1" applyFill="1" applyBorder="1"/>
    <xf numFmtId="171" fontId="28" fillId="3" borderId="27" xfId="81" applyNumberFormat="1" applyFont="1" applyFill="1" applyBorder="1"/>
    <xf numFmtId="171" fontId="28" fillId="3" borderId="20" xfId="81" applyNumberFormat="1" applyFont="1" applyFill="1" applyBorder="1"/>
    <xf numFmtId="0" fontId="31" fillId="2" borderId="25" xfId="81" applyFont="1" applyFill="1" applyBorder="1" applyAlignment="1">
      <alignment horizontal="center"/>
    </xf>
    <xf numFmtId="0" fontId="39" fillId="0" borderId="1" xfId="0" applyFont="1" applyFill="1" applyBorder="1"/>
    <xf numFmtId="0" fontId="39" fillId="0" borderId="2" xfId="0" applyFont="1" applyFill="1" applyBorder="1"/>
    <xf numFmtId="3" fontId="28" fillId="0" borderId="27" xfId="78" applyNumberFormat="1" applyFont="1" applyFill="1" applyBorder="1" applyAlignment="1">
      <alignment horizontal="right"/>
    </xf>
    <xf numFmtId="9" fontId="28" fillId="0" borderId="27" xfId="78" applyNumberFormat="1" applyFont="1" applyFill="1" applyBorder="1" applyAlignment="1">
      <alignment horizontal="right"/>
    </xf>
    <xf numFmtId="3" fontId="28" fillId="0" borderId="20" xfId="78" applyNumberFormat="1" applyFont="1" applyFill="1" applyBorder="1" applyAlignment="1">
      <alignment horizontal="right"/>
    </xf>
    <xf numFmtId="0" fontId="32" fillId="0" borderId="36" xfId="0" applyFont="1" applyFill="1" applyBorder="1" applyAlignment="1"/>
    <xf numFmtId="0" fontId="41" fillId="0" borderId="0" xfId="0" applyFont="1" applyFill="1" applyBorder="1" applyAlignment="1"/>
    <xf numFmtId="3" fontId="33" fillId="0" borderId="7" xfId="0" applyNumberFormat="1" applyFont="1" applyFill="1" applyBorder="1" applyAlignment="1">
      <alignment horizontal="right" vertical="top"/>
    </xf>
    <xf numFmtId="3" fontId="33" fillId="0" borderId="5" xfId="0" applyNumberFormat="1" applyFont="1" applyFill="1" applyBorder="1" applyAlignment="1">
      <alignment horizontal="right" vertical="top"/>
    </xf>
    <xf numFmtId="3" fontId="34" fillId="0" borderId="5" xfId="0" applyNumberFormat="1" applyFont="1" applyFill="1" applyBorder="1" applyAlignment="1">
      <alignment horizontal="right" vertical="top"/>
    </xf>
    <xf numFmtId="3" fontId="33" fillId="0" borderId="11" xfId="0" applyNumberFormat="1" applyFont="1" applyFill="1" applyBorder="1" applyAlignment="1">
      <alignment horizontal="right" vertical="top"/>
    </xf>
    <xf numFmtId="3" fontId="33" fillId="0" borderId="9" xfId="0" applyNumberFormat="1" applyFont="1" applyFill="1" applyBorder="1" applyAlignment="1">
      <alignment horizontal="right" vertical="top"/>
    </xf>
    <xf numFmtId="3" fontId="34" fillId="0" borderId="9" xfId="0" applyNumberFormat="1" applyFont="1" applyFill="1" applyBorder="1" applyAlignment="1">
      <alignment horizontal="right" vertical="top"/>
    </xf>
    <xf numFmtId="3" fontId="35" fillId="0" borderId="11" xfId="0" applyNumberFormat="1" applyFont="1" applyFill="1" applyBorder="1" applyAlignment="1">
      <alignment horizontal="right" vertical="top"/>
    </xf>
    <xf numFmtId="3" fontId="35" fillId="0" borderId="9" xfId="0" applyNumberFormat="1" applyFont="1" applyFill="1" applyBorder="1" applyAlignment="1">
      <alignment horizontal="right" vertical="top"/>
    </xf>
    <xf numFmtId="3" fontId="36" fillId="0" borderId="9" xfId="0" applyNumberFormat="1" applyFont="1" applyFill="1" applyBorder="1" applyAlignment="1">
      <alignment horizontal="right" vertical="top"/>
    </xf>
    <xf numFmtId="3" fontId="33" fillId="0" borderId="32" xfId="0" applyNumberFormat="1" applyFont="1" applyFill="1" applyBorder="1" applyAlignment="1">
      <alignment horizontal="right" vertical="top"/>
    </xf>
    <xf numFmtId="3" fontId="33" fillId="0" borderId="23" xfId="0" applyNumberFormat="1" applyFont="1" applyFill="1" applyBorder="1" applyAlignment="1">
      <alignment horizontal="right" vertical="top"/>
    </xf>
    <xf numFmtId="3" fontId="34" fillId="0" borderId="23" xfId="0" applyNumberFormat="1" applyFont="1" applyFill="1" applyBorder="1" applyAlignment="1">
      <alignment horizontal="right" vertical="top"/>
    </xf>
    <xf numFmtId="0" fontId="6" fillId="0" borderId="0" xfId="82" applyFont="1" applyFill="1"/>
    <xf numFmtId="0" fontId="8" fillId="0" borderId="36" xfId="82" applyFont="1" applyFill="1" applyBorder="1" applyAlignment="1"/>
    <xf numFmtId="0" fontId="29" fillId="0" borderId="0" xfId="49" applyFont="1" applyFill="1"/>
    <xf numFmtId="3" fontId="6" fillId="0" borderId="0" xfId="78" applyNumberFormat="1" applyFont="1" applyFill="1" applyAlignment="1">
      <alignment horizontal="left"/>
    </xf>
    <xf numFmtId="9" fontId="6" fillId="0" borderId="0" xfId="78" applyNumberFormat="1" applyFont="1" applyFill="1"/>
    <xf numFmtId="3" fontId="6" fillId="0" borderId="0" xfId="78" applyNumberFormat="1" applyFont="1" applyFill="1"/>
    <xf numFmtId="164" fontId="3" fillId="0" borderId="58" xfId="53" applyNumberFormat="1" applyFont="1" applyFill="1" applyBorder="1"/>
    <xf numFmtId="9" fontId="3" fillId="0" borderId="58" xfId="53" applyNumberFormat="1" applyFont="1" applyFill="1" applyBorder="1"/>
    <xf numFmtId="0" fontId="32" fillId="0" borderId="30" xfId="0" applyFont="1" applyFill="1" applyBorder="1" applyAlignment="1"/>
    <xf numFmtId="0" fontId="32" fillId="0" borderId="31" xfId="0" applyFont="1" applyFill="1" applyBorder="1" applyAlignment="1"/>
    <xf numFmtId="0" fontId="32" fillId="0" borderId="53" xfId="0" applyFont="1" applyFill="1" applyBorder="1" applyAlignment="1"/>
    <xf numFmtId="0" fontId="28" fillId="2" borderId="26" xfId="78" applyFont="1" applyFill="1" applyBorder="1" applyAlignment="1">
      <alignment horizontal="right"/>
    </xf>
    <xf numFmtId="3" fontId="28" fillId="2" borderId="52" xfId="78" applyNumberFormat="1" applyFont="1" applyFill="1" applyBorder="1"/>
    <xf numFmtId="0" fontId="3" fillId="2" borderId="56" xfId="53" applyFont="1" applyFill="1" applyBorder="1" applyAlignment="1">
      <alignment horizontal="right"/>
    </xf>
    <xf numFmtId="0" fontId="32" fillId="0" borderId="25" xfId="0" applyFont="1" applyBorder="1" applyAlignment="1"/>
    <xf numFmtId="0" fontId="32" fillId="5" borderId="6" xfId="0" applyFont="1" applyFill="1" applyBorder="1"/>
    <xf numFmtId="0" fontId="32" fillId="5" borderId="10" xfId="0" applyFont="1" applyFill="1" applyBorder="1"/>
    <xf numFmtId="0" fontId="32" fillId="5" borderId="22" xfId="0" applyFont="1" applyFill="1" applyBorder="1"/>
    <xf numFmtId="0" fontId="32" fillId="5" borderId="36" xfId="0" applyFont="1" applyFill="1" applyBorder="1"/>
    <xf numFmtId="0" fontId="32" fillId="5" borderId="42" xfId="0" applyFont="1" applyFill="1" applyBorder="1"/>
    <xf numFmtId="9" fontId="34" fillId="0" borderId="6" xfId="0" applyNumberFormat="1" applyFont="1" applyFill="1" applyBorder="1" applyAlignment="1">
      <alignment horizontal="right" vertical="top"/>
    </xf>
    <xf numFmtId="9" fontId="34" fillId="0" borderId="10" xfId="0" applyNumberFormat="1" applyFont="1" applyFill="1" applyBorder="1" applyAlignment="1">
      <alignment horizontal="right" vertical="top"/>
    </xf>
    <xf numFmtId="9" fontId="36" fillId="0" borderId="10" xfId="0" applyNumberFormat="1" applyFont="1" applyFill="1" applyBorder="1" applyAlignment="1">
      <alignment horizontal="right" vertical="top"/>
    </xf>
    <xf numFmtId="9" fontId="34" fillId="0" borderId="22" xfId="0" applyNumberFormat="1" applyFont="1" applyFill="1" applyBorder="1" applyAlignment="1">
      <alignment horizontal="right" vertical="top"/>
    </xf>
    <xf numFmtId="3" fontId="31" fillId="0" borderId="29" xfId="53" applyNumberFormat="1" applyFont="1" applyFill="1" applyBorder="1"/>
    <xf numFmtId="3" fontId="31" fillId="0" borderId="25" xfId="53" applyNumberFormat="1" applyFont="1" applyFill="1" applyBorder="1"/>
    <xf numFmtId="0" fontId="28" fillId="0" borderId="2" xfId="78" applyFont="1" applyFill="1" applyBorder="1" applyAlignment="1">
      <alignment horizontal="left"/>
    </xf>
    <xf numFmtId="0" fontId="31" fillId="2" borderId="42" xfId="0" applyFont="1" applyFill="1" applyBorder="1" applyAlignment="1">
      <alignment horizontal="center"/>
    </xf>
    <xf numFmtId="3" fontId="3" fillId="0" borderId="57" xfId="53" applyNumberFormat="1" applyFont="1" applyFill="1" applyBorder="1"/>
    <xf numFmtId="3" fontId="3" fillId="0" borderId="58" xfId="53" applyNumberFormat="1" applyFont="1" applyFill="1" applyBorder="1"/>
    <xf numFmtId="3" fontId="3" fillId="0" borderId="59" xfId="53" applyNumberFormat="1" applyFont="1" applyFill="1" applyBorder="1"/>
    <xf numFmtId="0" fontId="31" fillId="2" borderId="42" xfId="0" applyNumberFormat="1" applyFont="1" applyFill="1" applyBorder="1" applyAlignment="1">
      <alignment horizontal="center"/>
    </xf>
    <xf numFmtId="169" fontId="32" fillId="0" borderId="0" xfId="0" applyNumberFormat="1" applyFont="1" applyFill="1"/>
    <xf numFmtId="0" fontId="31" fillId="2" borderId="38" xfId="74" applyFont="1" applyFill="1" applyBorder="1" applyAlignment="1">
      <alignment horizontal="center"/>
    </xf>
    <xf numFmtId="0" fontId="27" fillId="5" borderId="36" xfId="81" applyFont="1" applyFill="1" applyBorder="1"/>
    <xf numFmtId="0" fontId="31" fillId="2" borderId="23" xfId="81" applyFont="1" applyFill="1" applyBorder="1" applyAlignment="1">
      <alignment horizontal="center"/>
    </xf>
    <xf numFmtId="0" fontId="31" fillId="2" borderId="22" xfId="81" applyFont="1" applyFill="1" applyBorder="1" applyAlignment="1">
      <alignment horizontal="center"/>
    </xf>
    <xf numFmtId="0" fontId="32" fillId="0" borderId="0" xfId="0" applyFont="1" applyFill="1" applyBorder="1" applyAlignment="1"/>
    <xf numFmtId="0" fontId="46" fillId="2" borderId="17" xfId="1" applyFont="1" applyFill="1" applyBorder="1"/>
    <xf numFmtId="0" fontId="47" fillId="0" borderId="0" xfId="0" applyFont="1" applyFill="1"/>
    <xf numFmtId="0" fontId="48" fillId="0" borderId="0" xfId="0" applyFont="1" applyFill="1"/>
    <xf numFmtId="0" fontId="48" fillId="0" borderId="0" xfId="0" applyFont="1" applyFill="1" applyBorder="1"/>
    <xf numFmtId="3" fontId="32" fillId="0" borderId="29" xfId="0" applyNumberFormat="1" applyFont="1" applyFill="1" applyBorder="1"/>
    <xf numFmtId="3" fontId="32" fillId="0" borderId="24" xfId="0" applyNumberFormat="1" applyFont="1" applyFill="1" applyBorder="1"/>
    <xf numFmtId="3" fontId="32" fillId="0" borderId="8" xfId="0" applyNumberFormat="1" applyFont="1" applyFill="1" applyBorder="1"/>
    <xf numFmtId="3" fontId="32" fillId="0" borderId="9" xfId="0" applyNumberFormat="1" applyFont="1" applyFill="1" applyBorder="1"/>
    <xf numFmtId="3" fontId="32" fillId="0" borderId="12" xfId="0" applyNumberFormat="1" applyFont="1" applyFill="1" applyBorder="1"/>
    <xf numFmtId="3" fontId="32" fillId="0" borderId="13" xfId="0" applyNumberFormat="1" applyFont="1" applyFill="1" applyBorder="1"/>
    <xf numFmtId="9" fontId="32" fillId="0" borderId="25" xfId="0" applyNumberFormat="1" applyFont="1" applyFill="1" applyBorder="1"/>
    <xf numFmtId="9" fontId="32" fillId="0" borderId="10" xfId="0" applyNumberFormat="1" applyFont="1" applyFill="1" applyBorder="1"/>
    <xf numFmtId="9" fontId="32" fillId="0" borderId="14" xfId="0" applyNumberFormat="1" applyFont="1" applyFill="1" applyBorder="1"/>
    <xf numFmtId="9" fontId="28" fillId="2" borderId="20" xfId="81" applyNumberFormat="1" applyFont="1" applyFill="1" applyBorder="1"/>
    <xf numFmtId="9" fontId="28" fillId="4" borderId="20" xfId="81" applyNumberFormat="1" applyFont="1" applyFill="1" applyBorder="1"/>
    <xf numFmtId="9" fontId="28" fillId="3" borderId="20" xfId="81" applyNumberFormat="1" applyFont="1" applyFill="1" applyBorder="1"/>
    <xf numFmtId="0" fontId="31" fillId="2" borderId="21" xfId="81" applyFont="1" applyFill="1" applyBorder="1" applyAlignment="1">
      <alignment horizontal="center"/>
    </xf>
    <xf numFmtId="49" fontId="37" fillId="2" borderId="9" xfId="0" applyNumberFormat="1" applyFont="1" applyFill="1" applyBorder="1" applyAlignment="1">
      <alignment horizontal="center" vertical="center"/>
    </xf>
    <xf numFmtId="0" fontId="32" fillId="0" borderId="0" xfId="0" applyFont="1" applyFill="1"/>
    <xf numFmtId="0" fontId="32" fillId="0" borderId="42" xfId="0" applyFont="1" applyFill="1" applyBorder="1" applyAlignment="1"/>
    <xf numFmtId="0" fontId="32" fillId="0" borderId="0" xfId="0" applyFont="1" applyFill="1" applyAlignment="1"/>
    <xf numFmtId="0" fontId="46" fillId="4" borderId="33" xfId="1" applyFont="1" applyFill="1" applyBorder="1"/>
    <xf numFmtId="0" fontId="46" fillId="4" borderId="17" xfId="1" applyFont="1" applyFill="1" applyBorder="1"/>
    <xf numFmtId="0" fontId="46" fillId="3" borderId="18" xfId="1" applyFont="1" applyFill="1" applyBorder="1"/>
    <xf numFmtId="0" fontId="49" fillId="0" borderId="0" xfId="0" applyFont="1" applyFill="1" applyBorder="1" applyAlignment="1">
      <alignment vertical="center"/>
    </xf>
    <xf numFmtId="0" fontId="49" fillId="0" borderId="0" xfId="0" applyFont="1" applyFill="1" applyAlignment="1">
      <alignment vertical="center"/>
    </xf>
    <xf numFmtId="0" fontId="32" fillId="2" borderId="2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164" fontId="31" fillId="2" borderId="24" xfId="53" applyNumberFormat="1" applyFont="1" applyFill="1" applyBorder="1" applyAlignment="1">
      <alignment horizontal="right"/>
    </xf>
    <xf numFmtId="0" fontId="46" fillId="3" borderId="8" xfId="1" applyFont="1" applyFill="1" applyBorder="1"/>
    <xf numFmtId="0" fontId="46" fillId="3" borderId="4" xfId="1" applyFont="1" applyFill="1" applyBorder="1"/>
    <xf numFmtId="0" fontId="46" fillId="6" borderId="4" xfId="1" applyFont="1" applyFill="1" applyBorder="1"/>
    <xf numFmtId="0" fontId="46" fillId="6" borderId="51" xfId="1" applyFont="1" applyFill="1" applyBorder="1"/>
    <xf numFmtId="0" fontId="46" fillId="2" borderId="4" xfId="1" applyFont="1" applyFill="1" applyBorder="1"/>
    <xf numFmtId="0" fontId="46" fillId="4" borderId="4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5" xfId="0" applyNumberFormat="1" applyFont="1" applyFill="1" applyBorder="1"/>
    <xf numFmtId="3" fontId="39" fillId="2" borderId="47" xfId="0" applyNumberFormat="1" applyFont="1" applyFill="1" applyBorder="1"/>
    <xf numFmtId="9" fontId="39" fillId="2" borderId="52" xfId="0" applyNumberFormat="1" applyFont="1" applyFill="1" applyBorder="1"/>
    <xf numFmtId="0" fontId="50" fillId="2" borderId="18" xfId="1" applyFont="1" applyFill="1" applyBorder="1" applyAlignment="1"/>
    <xf numFmtId="0" fontId="32" fillId="2" borderId="28" xfId="0" applyFont="1" applyFill="1" applyBorder="1" applyAlignment="1"/>
    <xf numFmtId="3" fontId="32" fillId="2" borderId="27" xfId="0" applyNumberFormat="1" applyFont="1" applyFill="1" applyBorder="1" applyAlignment="1"/>
    <xf numFmtId="9" fontId="32" fillId="2" borderId="20" xfId="0" applyNumberFormat="1" applyFont="1" applyFill="1" applyBorder="1" applyAlignment="1"/>
    <xf numFmtId="0" fontId="39" fillId="2" borderId="49" xfId="0" applyFont="1" applyFill="1" applyBorder="1" applyAlignment="1"/>
    <xf numFmtId="0" fontId="32" fillId="0" borderId="7" xfId="0" applyFont="1" applyBorder="1" applyAlignment="1"/>
    <xf numFmtId="3" fontId="32" fillId="0" borderId="5" xfId="0" applyNumberFormat="1" applyFont="1" applyBorder="1" applyAlignment="1"/>
    <xf numFmtId="9" fontId="32" fillId="0" borderId="10" xfId="0" applyNumberFormat="1" applyFont="1" applyBorder="1" applyAlignment="1"/>
    <xf numFmtId="0" fontId="29" fillId="2" borderId="34" xfId="1" applyFont="1" applyFill="1" applyBorder="1" applyAlignment="1">
      <alignment horizontal="left" indent="2"/>
    </xf>
    <xf numFmtId="0" fontId="32" fillId="0" borderId="11" xfId="0" applyFont="1" applyBorder="1" applyAlignment="1"/>
    <xf numFmtId="3" fontId="32" fillId="0" borderId="9" xfId="0" applyNumberFormat="1" applyFont="1" applyBorder="1" applyAlignment="1"/>
    <xf numFmtId="9" fontId="32" fillId="0" borderId="9" xfId="0" applyNumberFormat="1" applyFont="1" applyBorder="1" applyAlignment="1"/>
    <xf numFmtId="0" fontId="32" fillId="2" borderId="34" xfId="0" applyFont="1" applyFill="1" applyBorder="1" applyAlignment="1">
      <alignment horizontal="left" indent="2"/>
    </xf>
    <xf numFmtId="0" fontId="31" fillId="2" borderId="34" xfId="1" applyFont="1" applyFill="1" applyBorder="1" applyAlignment="1"/>
    <xf numFmtId="0" fontId="46" fillId="2" borderId="34" xfId="1" applyFont="1" applyFill="1" applyBorder="1" applyAlignment="1">
      <alignment horizontal="left" indent="2"/>
    </xf>
    <xf numFmtId="0" fontId="50" fillId="2" borderId="34" xfId="1" applyFont="1" applyFill="1" applyBorder="1" applyAlignment="1"/>
    <xf numFmtId="0" fontId="32" fillId="0" borderId="32" xfId="0" applyFont="1" applyBorder="1" applyAlignment="1"/>
    <xf numFmtId="3" fontId="32" fillId="0" borderId="23" xfId="0" applyNumberFormat="1" applyFont="1" applyBorder="1" applyAlignment="1"/>
    <xf numFmtId="9" fontId="32" fillId="0" borderId="22" xfId="0" applyNumberFormat="1" applyFont="1" applyBorder="1" applyAlignment="1"/>
    <xf numFmtId="0" fontId="39" fillId="0" borderId="36" xfId="0" applyFont="1" applyFill="1" applyBorder="1" applyAlignment="1">
      <alignment horizontal="left" indent="2"/>
    </xf>
    <xf numFmtId="0" fontId="32" fillId="0" borderId="36" xfId="0" applyFont="1" applyBorder="1" applyAlignment="1"/>
    <xf numFmtId="3" fontId="32" fillId="0" borderId="36" xfId="0" applyNumberFormat="1" applyFont="1" applyBorder="1" applyAlignment="1"/>
    <xf numFmtId="9" fontId="32" fillId="0" borderId="36" xfId="0" applyNumberFormat="1" applyFont="1" applyBorder="1" applyAlignment="1"/>
    <xf numFmtId="0" fontId="50" fillId="4" borderId="18" xfId="1" applyFont="1" applyFill="1" applyBorder="1" applyAlignment="1">
      <alignment horizontal="left"/>
    </xf>
    <xf numFmtId="0" fontId="32" fillId="4" borderId="28" xfId="0" applyFont="1" applyFill="1" applyBorder="1" applyAlignment="1"/>
    <xf numFmtId="3" fontId="32" fillId="4" borderId="27" xfId="0" applyNumberFormat="1" applyFont="1" applyFill="1" applyBorder="1" applyAlignment="1"/>
    <xf numFmtId="9" fontId="32" fillId="4" borderId="20" xfId="0" applyNumberFormat="1" applyFont="1" applyFill="1" applyBorder="1" applyAlignment="1"/>
    <xf numFmtId="0" fontId="50" fillId="4" borderId="49" xfId="1" applyFont="1" applyFill="1" applyBorder="1" applyAlignment="1">
      <alignment horizontal="left"/>
    </xf>
    <xf numFmtId="0" fontId="46" fillId="4" borderId="34" xfId="1" applyFont="1" applyFill="1" applyBorder="1" applyAlignment="1">
      <alignment horizontal="left" indent="2"/>
    </xf>
    <xf numFmtId="0" fontId="50" fillId="4" borderId="34" xfId="1" applyFont="1" applyFill="1" applyBorder="1" applyAlignment="1">
      <alignment horizontal="left"/>
    </xf>
    <xf numFmtId="0" fontId="32" fillId="4" borderId="35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2" xfId="0" applyNumberFormat="1" applyFont="1" applyBorder="1" applyAlignment="1"/>
    <xf numFmtId="0" fontId="39" fillId="3" borderId="18" xfId="0" applyFont="1" applyFill="1" applyBorder="1" applyAlignment="1"/>
    <xf numFmtId="0" fontId="32" fillId="3" borderId="28" xfId="0" applyFont="1" applyFill="1" applyBorder="1" applyAlignment="1"/>
    <xf numFmtId="3" fontId="32" fillId="3" borderId="27" xfId="0" applyNumberFormat="1" applyFont="1" applyFill="1" applyBorder="1" applyAlignment="1"/>
    <xf numFmtId="9" fontId="32" fillId="3" borderId="20" xfId="0" applyNumberFormat="1" applyFont="1" applyFill="1" applyBorder="1" applyAlignment="1"/>
    <xf numFmtId="0" fontId="41" fillId="0" borderId="0" xfId="0" applyFont="1" applyFill="1"/>
    <xf numFmtId="16" fontId="41" fillId="0" borderId="0" xfId="0" quotePrefix="1" applyNumberFormat="1" applyFont="1" applyFill="1"/>
    <xf numFmtId="0" fontId="41" fillId="0" borderId="0" xfId="0" quotePrefix="1" applyFont="1" applyFill="1"/>
    <xf numFmtId="171" fontId="41" fillId="0" borderId="0" xfId="0" applyNumberFormat="1" applyFont="1" applyFill="1"/>
    <xf numFmtId="172" fontId="41" fillId="0" borderId="0" xfId="0" applyNumberFormat="1" applyFont="1" applyFill="1"/>
    <xf numFmtId="3" fontId="41" fillId="0" borderId="0" xfId="0" applyNumberFormat="1" applyFont="1" applyFill="1"/>
    <xf numFmtId="0" fontId="7" fillId="0" borderId="0" xfId="81" applyFont="1" applyFill="1"/>
    <xf numFmtId="0" fontId="51" fillId="0" borderId="36" xfId="81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4" fontId="32" fillId="0" borderId="0" xfId="0" applyNumberFormat="1" applyFont="1" applyFill="1"/>
    <xf numFmtId="9" fontId="32" fillId="0" borderId="0" xfId="0" applyNumberFormat="1" applyFont="1" applyFill="1"/>
    <xf numFmtId="164" fontId="27" fillId="0" borderId="0" xfId="78" applyNumberFormat="1" applyFont="1" applyFill="1" applyBorder="1" applyAlignment="1"/>
    <xf numFmtId="3" fontId="27" fillId="0" borderId="0" xfId="78" applyNumberFormat="1" applyFont="1" applyFill="1" applyBorder="1" applyAlignment="1"/>
    <xf numFmtId="164" fontId="32" fillId="0" borderId="0" xfId="0" applyNumberFormat="1" applyFont="1" applyFill="1" applyAlignment="1">
      <alignment horizontal="right"/>
    </xf>
    <xf numFmtId="3" fontId="6" fillId="0" borderId="0" xfId="78" applyNumberFormat="1" applyFont="1" applyFill="1" applyBorder="1" applyAlignment="1"/>
    <xf numFmtId="9" fontId="6" fillId="0" borderId="0" xfId="78" applyNumberFormat="1" applyFont="1" applyFill="1" applyBorder="1" applyAlignment="1"/>
    <xf numFmtId="0" fontId="39" fillId="2" borderId="26" xfId="0" applyFont="1" applyFill="1" applyBorder="1" applyAlignment="1">
      <alignment horizontal="right"/>
    </xf>
    <xf numFmtId="169" fontId="39" fillId="0" borderId="19" xfId="0" applyNumberFormat="1" applyFont="1" applyFill="1" applyBorder="1" applyAlignment="1"/>
    <xf numFmtId="169" fontId="39" fillId="0" borderId="27" xfId="0" applyNumberFormat="1" applyFont="1" applyFill="1" applyBorder="1" applyAlignment="1"/>
    <xf numFmtId="9" fontId="39" fillId="0" borderId="20" xfId="0" applyNumberFormat="1" applyFont="1" applyFill="1" applyBorder="1" applyAlignment="1"/>
    <xf numFmtId="169" fontId="39" fillId="0" borderId="28" xfId="0" applyNumberFormat="1" applyFont="1" applyFill="1" applyBorder="1" applyAlignment="1"/>
    <xf numFmtId="9" fontId="39" fillId="0" borderId="44" xfId="0" applyNumberFormat="1" applyFont="1" applyFill="1" applyBorder="1" applyAlignment="1"/>
    <xf numFmtId="169" fontId="32" fillId="0" borderId="0" xfId="0" applyNumberFormat="1" applyFont="1" applyFill="1" applyBorder="1" applyAlignment="1"/>
    <xf numFmtId="9" fontId="32" fillId="0" borderId="0" xfId="0" applyNumberFormat="1" applyFont="1" applyFill="1" applyBorder="1" applyAlignment="1"/>
    <xf numFmtId="3" fontId="32" fillId="0" borderId="42" xfId="0" applyNumberFormat="1" applyFont="1" applyFill="1" applyBorder="1" applyAlignment="1"/>
    <xf numFmtId="9" fontId="32" fillId="0" borderId="42" xfId="0" applyNumberFormat="1" applyFont="1" applyFill="1" applyBorder="1" applyAlignment="1"/>
    <xf numFmtId="3" fontId="0" fillId="0" borderId="0" xfId="0" applyNumberFormat="1"/>
    <xf numFmtId="3" fontId="0" fillId="7" borderId="62" xfId="0" applyNumberFormat="1" applyFont="1" applyFill="1" applyBorder="1"/>
    <xf numFmtId="3" fontId="53" fillId="8" borderId="63" xfId="0" applyNumberFormat="1" applyFont="1" applyFill="1" applyBorder="1"/>
    <xf numFmtId="3" fontId="53" fillId="8" borderId="62" xfId="0" applyNumberFormat="1" applyFont="1" applyFill="1" applyBorder="1"/>
    <xf numFmtId="0" fontId="54" fillId="0" borderId="0" xfId="1" applyFont="1" applyFill="1"/>
    <xf numFmtId="3" fontId="52" fillId="0" borderId="0" xfId="26" applyNumberFormat="1" applyFont="1" applyFill="1" applyBorder="1" applyAlignment="1"/>
    <xf numFmtId="0" fontId="39" fillId="2" borderId="67" xfId="0" applyFont="1" applyFill="1" applyBorder="1" applyAlignment="1">
      <alignment horizontal="center" vertical="center"/>
    </xf>
    <xf numFmtId="0" fontId="55" fillId="2" borderId="70" xfId="0" applyFont="1" applyFill="1" applyBorder="1" applyAlignment="1">
      <alignment horizontal="center" vertical="center" wrapText="1"/>
    </xf>
    <xf numFmtId="0" fontId="39" fillId="2" borderId="72" xfId="0" applyFont="1" applyFill="1" applyBorder="1" applyAlignment="1"/>
    <xf numFmtId="0" fontId="39" fillId="2" borderId="74" xfId="0" applyFont="1" applyFill="1" applyBorder="1" applyAlignment="1">
      <alignment horizontal="left" indent="1"/>
    </xf>
    <xf numFmtId="0" fontId="39" fillId="2" borderId="80" xfId="0" applyFont="1" applyFill="1" applyBorder="1" applyAlignment="1">
      <alignment horizontal="left" indent="1"/>
    </xf>
    <xf numFmtId="0" fontId="39" fillId="4" borderId="72" xfId="0" applyFont="1" applyFill="1" applyBorder="1" applyAlignment="1"/>
    <xf numFmtId="0" fontId="39" fillId="4" borderId="74" xfId="0" applyFont="1" applyFill="1" applyBorder="1" applyAlignment="1">
      <alignment horizontal="left" indent="1"/>
    </xf>
    <xf numFmtId="0" fontId="39" fillId="4" borderId="85" xfId="0" applyFont="1" applyFill="1" applyBorder="1" applyAlignment="1">
      <alignment horizontal="left" indent="1"/>
    </xf>
    <xf numFmtId="0" fontId="32" fillId="2" borderId="74" xfId="0" quotePrefix="1" applyFont="1" applyFill="1" applyBorder="1" applyAlignment="1">
      <alignment horizontal="left" indent="2"/>
    </xf>
    <xf numFmtId="0" fontId="32" fillId="2" borderId="80" xfId="0" quotePrefix="1" applyFont="1" applyFill="1" applyBorder="1" applyAlignment="1">
      <alignment horizontal="left" indent="2"/>
    </xf>
    <xf numFmtId="0" fontId="39" fillId="2" borderId="72" xfId="0" applyFont="1" applyFill="1" applyBorder="1" applyAlignment="1">
      <alignment horizontal="left" indent="1"/>
    </xf>
    <xf numFmtId="0" fontId="39" fillId="2" borderId="85" xfId="0" applyFont="1" applyFill="1" applyBorder="1" applyAlignment="1">
      <alignment horizontal="left" indent="1"/>
    </xf>
    <xf numFmtId="0" fontId="39" fillId="4" borderId="80" xfId="0" applyFont="1" applyFill="1" applyBorder="1" applyAlignment="1">
      <alignment horizontal="left" indent="1"/>
    </xf>
    <xf numFmtId="0" fontId="32" fillId="0" borderId="90" xfId="0" applyFont="1" applyBorder="1"/>
    <xf numFmtId="3" fontId="32" fillId="0" borderId="90" xfId="0" applyNumberFormat="1" applyFont="1" applyBorder="1"/>
    <xf numFmtId="0" fontId="39" fillId="4" borderId="64" xfId="0" applyFont="1" applyFill="1" applyBorder="1" applyAlignment="1">
      <alignment horizontal="center" vertical="center"/>
    </xf>
    <xf numFmtId="0" fontId="39" fillId="4" borderId="53" xfId="0" applyFont="1" applyFill="1" applyBorder="1" applyAlignment="1">
      <alignment horizontal="center" vertical="center"/>
    </xf>
    <xf numFmtId="0" fontId="0" fillId="0" borderId="0" xfId="0" applyNumberFormat="1"/>
    <xf numFmtId="3" fontId="39" fillId="2" borderId="89" xfId="0" applyNumberFormat="1" applyFont="1" applyFill="1" applyBorder="1" applyAlignment="1">
      <alignment horizontal="center" vertical="center"/>
    </xf>
    <xf numFmtId="3" fontId="55" fillId="2" borderId="87" xfId="0" applyNumberFormat="1" applyFont="1" applyFill="1" applyBorder="1" applyAlignment="1">
      <alignment horizontal="center" vertical="center" wrapText="1"/>
    </xf>
    <xf numFmtId="173" fontId="39" fillId="4" borderId="73" xfId="0" applyNumberFormat="1" applyFont="1" applyFill="1" applyBorder="1" applyAlignment="1"/>
    <xf numFmtId="173" fontId="39" fillId="4" borderId="67" xfId="0" applyNumberFormat="1" applyFont="1" applyFill="1" applyBorder="1" applyAlignment="1"/>
    <xf numFmtId="173" fontId="39" fillId="0" borderId="75" xfId="0" applyNumberFormat="1" applyFont="1" applyBorder="1"/>
    <xf numFmtId="173" fontId="32" fillId="0" borderId="77" xfId="0" applyNumberFormat="1" applyFont="1" applyBorder="1"/>
    <xf numFmtId="173" fontId="39" fillId="0" borderId="86" xfId="0" applyNumberFormat="1" applyFont="1" applyBorder="1"/>
    <xf numFmtId="173" fontId="32" fillId="0" borderId="70" xfId="0" applyNumberFormat="1" applyFont="1" applyBorder="1"/>
    <xf numFmtId="173" fontId="39" fillId="2" borderId="88" xfId="0" applyNumberFormat="1" applyFont="1" applyFill="1" applyBorder="1" applyAlignment="1"/>
    <xf numFmtId="173" fontId="39" fillId="2" borderId="67" xfId="0" applyNumberFormat="1" applyFont="1" applyFill="1" applyBorder="1" applyAlignment="1"/>
    <xf numFmtId="173" fontId="39" fillId="0" borderId="81" xfId="0" applyNumberFormat="1" applyFont="1" applyBorder="1"/>
    <xf numFmtId="173" fontId="32" fillId="0" borderId="83" xfId="0" applyNumberFormat="1" applyFont="1" applyBorder="1"/>
    <xf numFmtId="173" fontId="39" fillId="0" borderId="73" xfId="0" applyNumberFormat="1" applyFont="1" applyBorder="1"/>
    <xf numFmtId="173" fontId="32" fillId="0" borderId="67" xfId="0" applyNumberFormat="1" applyFont="1" applyBorder="1"/>
    <xf numFmtId="174" fontId="39" fillId="2" borderId="73" xfId="0" applyNumberFormat="1" applyFont="1" applyFill="1" applyBorder="1" applyAlignment="1"/>
    <xf numFmtId="174" fontId="32" fillId="2" borderId="67" xfId="0" applyNumberFormat="1" applyFont="1" applyFill="1" applyBorder="1" applyAlignment="1"/>
    <xf numFmtId="174" fontId="39" fillId="0" borderId="75" xfId="0" applyNumberFormat="1" applyFont="1" applyBorder="1"/>
    <xf numFmtId="174" fontId="32" fillId="0" borderId="77" xfId="0" applyNumberFormat="1" applyFont="1" applyBorder="1"/>
    <xf numFmtId="174" fontId="39" fillId="0" borderId="81" xfId="0" applyNumberFormat="1" applyFont="1" applyBorder="1"/>
    <xf numFmtId="174" fontId="32" fillId="0" borderId="83" xfId="0" applyNumberFormat="1" applyFont="1" applyBorder="1"/>
    <xf numFmtId="0" fontId="57" fillId="0" borderId="0" xfId="0" applyFont="1" applyAlignment="1">
      <alignment horizontal="left" vertical="center" indent="1"/>
    </xf>
    <xf numFmtId="0" fontId="57" fillId="0" borderId="0" xfId="0" applyFont="1" applyAlignment="1">
      <alignment vertical="center"/>
    </xf>
    <xf numFmtId="0" fontId="0" fillId="0" borderId="0" xfId="0" applyAlignment="1"/>
    <xf numFmtId="0" fontId="58" fillId="0" borderId="0" xfId="0" applyFont="1"/>
    <xf numFmtId="173" fontId="39" fillId="4" borderId="73" xfId="0" applyNumberFormat="1" applyFont="1" applyFill="1" applyBorder="1" applyAlignment="1">
      <alignment horizontal="center"/>
    </xf>
    <xf numFmtId="175" fontId="39" fillId="0" borderId="81" xfId="0" applyNumberFormat="1" applyFont="1" applyBorder="1"/>
    <xf numFmtId="0" fontId="31" fillId="2" borderId="96" xfId="74" applyFont="1" applyFill="1" applyBorder="1" applyAlignment="1">
      <alignment horizontal="center"/>
    </xf>
    <xf numFmtId="0" fontId="31" fillId="2" borderId="68" xfId="81" applyFont="1" applyFill="1" applyBorder="1" applyAlignment="1">
      <alignment horizontal="center"/>
    </xf>
    <xf numFmtId="0" fontId="31" fillId="2" borderId="69" xfId="81" applyFont="1" applyFill="1" applyBorder="1" applyAlignment="1">
      <alignment horizontal="center"/>
    </xf>
    <xf numFmtId="0" fontId="31" fillId="2" borderId="70" xfId="81" applyFont="1" applyFill="1" applyBorder="1" applyAlignment="1">
      <alignment horizontal="center"/>
    </xf>
    <xf numFmtId="0" fontId="31" fillId="2" borderId="71" xfId="81" applyFont="1" applyFill="1" applyBorder="1" applyAlignment="1">
      <alignment horizontal="center"/>
    </xf>
    <xf numFmtId="0" fontId="3" fillId="2" borderId="19" xfId="79" applyFont="1" applyFill="1" applyBorder="1" applyAlignment="1"/>
    <xf numFmtId="0" fontId="3" fillId="2" borderId="27" xfId="79" applyFont="1" applyFill="1" applyBorder="1" applyAlignment="1"/>
    <xf numFmtId="0" fontId="29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6" xfId="79" applyFont="1" applyFill="1" applyBorder="1" applyAlignment="1">
      <alignment horizontal="right"/>
    </xf>
    <xf numFmtId="9" fontId="32" fillId="0" borderId="27" xfId="0" applyNumberFormat="1" applyFont="1" applyFill="1" applyBorder="1"/>
    <xf numFmtId="9" fontId="32" fillId="0" borderId="20" xfId="0" applyNumberFormat="1" applyFont="1" applyFill="1" applyBorder="1"/>
    <xf numFmtId="9" fontId="32" fillId="0" borderId="28" xfId="0" applyNumberFormat="1" applyFont="1" applyFill="1" applyBorder="1"/>
    <xf numFmtId="3" fontId="6" fillId="0" borderId="19" xfId="78" applyNumberFormat="1" applyFont="1" applyFill="1" applyBorder="1" applyAlignment="1"/>
    <xf numFmtId="3" fontId="6" fillId="0" borderId="27" xfId="78" applyNumberFormat="1" applyFont="1" applyFill="1" applyBorder="1" applyAlignment="1"/>
    <xf numFmtId="3" fontId="6" fillId="0" borderId="20" xfId="78" applyNumberFormat="1" applyFont="1" applyFill="1" applyBorder="1" applyAlignment="1"/>
    <xf numFmtId="0" fontId="32" fillId="5" borderId="78" xfId="0" applyFont="1" applyFill="1" applyBorder="1"/>
    <xf numFmtId="0" fontId="32" fillId="0" borderId="79" xfId="0" applyFont="1" applyBorder="1" applyAlignment="1"/>
    <xf numFmtId="9" fontId="32" fillId="0" borderId="77" xfId="0" applyNumberFormat="1" applyFont="1" applyBorder="1" applyAlignment="1"/>
    <xf numFmtId="0" fontId="25" fillId="2" borderId="34" xfId="1" applyFill="1" applyBorder="1" applyAlignment="1">
      <alignment horizontal="left" indent="4"/>
    </xf>
    <xf numFmtId="0" fontId="39" fillId="0" borderId="0" xfId="0" applyFont="1" applyFill="1" applyAlignment="1">
      <alignment horizontal="left" indent="1"/>
    </xf>
    <xf numFmtId="0" fontId="32" fillId="0" borderId="90" xfId="0" applyFont="1" applyFill="1" applyBorder="1" applyAlignment="1"/>
    <xf numFmtId="3" fontId="39" fillId="0" borderId="19" xfId="0" applyNumberFormat="1" applyFont="1" applyFill="1" applyBorder="1" applyAlignment="1"/>
    <xf numFmtId="3" fontId="39" fillId="0" borderId="27" xfId="0" applyNumberFormat="1" applyFont="1" applyFill="1" applyBorder="1" applyAlignment="1"/>
    <xf numFmtId="169" fontId="39" fillId="0" borderId="20" xfId="0" applyNumberFormat="1" applyFont="1" applyFill="1" applyBorder="1" applyAlignment="1"/>
    <xf numFmtId="9" fontId="39" fillId="0" borderId="75" xfId="0" applyNumberFormat="1" applyFont="1" applyBorder="1"/>
    <xf numFmtId="9" fontId="32" fillId="0" borderId="77" xfId="0" applyNumberFormat="1" applyFont="1" applyBorder="1"/>
    <xf numFmtId="0" fontId="40" fillId="0" borderId="90" xfId="0" applyFont="1" applyFill="1" applyBorder="1" applyAlignment="1"/>
    <xf numFmtId="0" fontId="39" fillId="3" borderId="26" xfId="0" applyFont="1" applyFill="1" applyBorder="1" applyAlignment="1"/>
    <xf numFmtId="0" fontId="32" fillId="0" borderId="37" xfId="0" applyFont="1" applyBorder="1" applyAlignment="1"/>
    <xf numFmtId="0" fontId="39" fillId="2" borderId="26" xfId="0" applyFont="1" applyFill="1" applyBorder="1" applyAlignment="1"/>
    <xf numFmtId="0" fontId="39" fillId="4" borderId="26" xfId="0" applyFont="1" applyFill="1" applyBorder="1" applyAlignment="1"/>
    <xf numFmtId="0" fontId="42" fillId="0" borderId="1" xfId="0" applyFont="1" applyFill="1" applyBorder="1" applyAlignment="1"/>
    <xf numFmtId="0" fontId="42" fillId="0" borderId="1" xfId="0" applyFont="1" applyBorder="1" applyAlignment="1"/>
    <xf numFmtId="0" fontId="30" fillId="5" borderId="16" xfId="81" applyFont="1" applyFill="1" applyBorder="1" applyAlignment="1">
      <alignment horizontal="center" vertical="center"/>
    </xf>
    <xf numFmtId="0" fontId="41" fillId="0" borderId="2" xfId="0" applyFont="1" applyBorder="1" applyAlignment="1">
      <alignment horizontal="center" vertical="center"/>
    </xf>
    <xf numFmtId="0" fontId="31" fillId="2" borderId="40" xfId="81" applyFont="1" applyFill="1" applyBorder="1" applyAlignment="1">
      <alignment horizontal="center"/>
    </xf>
    <xf numFmtId="0" fontId="31" fillId="2" borderId="41" xfId="81" applyFont="1" applyFill="1" applyBorder="1" applyAlignment="1">
      <alignment horizontal="center"/>
    </xf>
    <xf numFmtId="0" fontId="31" fillId="2" borderId="38" xfId="81" applyFont="1" applyFill="1" applyBorder="1" applyAlignment="1">
      <alignment horizontal="center"/>
    </xf>
    <xf numFmtId="0" fontId="31" fillId="2" borderId="60" xfId="81" applyFont="1" applyFill="1" applyBorder="1" applyAlignment="1">
      <alignment horizontal="center"/>
    </xf>
    <xf numFmtId="0" fontId="31" fillId="2" borderId="39" xfId="81" applyFont="1" applyFill="1" applyBorder="1" applyAlignment="1">
      <alignment horizontal="center"/>
    </xf>
    <xf numFmtId="0" fontId="2" fillId="0" borderId="1" xfId="0" applyFont="1" applyFill="1" applyBorder="1" applyAlignment="1"/>
    <xf numFmtId="0" fontId="38" fillId="2" borderId="24" xfId="0" applyFont="1" applyFill="1" applyBorder="1" applyAlignment="1">
      <alignment horizontal="center" vertical="center"/>
    </xf>
    <xf numFmtId="0" fontId="32" fillId="2" borderId="2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10" xfId="0" applyFont="1" applyFill="1" applyBorder="1" applyAlignment="1">
      <alignment horizontal="center" vertical="center"/>
    </xf>
    <xf numFmtId="0" fontId="5" fillId="0" borderId="1" xfId="0" applyFont="1" applyFill="1" applyBorder="1" applyAlignment="1"/>
    <xf numFmtId="0" fontId="32" fillId="2" borderId="8" xfId="0" applyFont="1" applyFill="1" applyBorder="1" applyAlignment="1">
      <alignment horizontal="center" vertical="center"/>
    </xf>
    <xf numFmtId="0" fontId="32" fillId="2" borderId="9" xfId="0" applyFont="1" applyFill="1" applyBorder="1" applyAlignment="1">
      <alignment horizontal="center" vertical="center"/>
    </xf>
    <xf numFmtId="0" fontId="38" fillId="2" borderId="29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0" fontId="32" fillId="2" borderId="23" xfId="0" applyFont="1" applyFill="1" applyBorder="1" applyAlignment="1">
      <alignment horizontal="center" vertical="center" wrapText="1"/>
    </xf>
    <xf numFmtId="0" fontId="36" fillId="2" borderId="9" xfId="0" applyFont="1" applyFill="1" applyBorder="1" applyAlignment="1">
      <alignment horizontal="center" vertical="center" wrapText="1"/>
    </xf>
    <xf numFmtId="0" fontId="36" fillId="2" borderId="10" xfId="0" applyFont="1" applyFill="1" applyBorder="1" applyAlignment="1">
      <alignment horizontal="center" vertical="center" wrapText="1"/>
    </xf>
    <xf numFmtId="0" fontId="32" fillId="2" borderId="22" xfId="0" applyFont="1" applyFill="1" applyBorder="1" applyAlignment="1">
      <alignment horizontal="center" vertical="center" wrapText="1"/>
    </xf>
    <xf numFmtId="0" fontId="31" fillId="2" borderId="96" xfId="81" applyFont="1" applyFill="1" applyBorder="1" applyAlignment="1">
      <alignment horizontal="center"/>
    </xf>
    <xf numFmtId="0" fontId="31" fillId="2" borderId="94" xfId="81" applyFont="1" applyFill="1" applyBorder="1" applyAlignment="1">
      <alignment horizontal="center"/>
    </xf>
    <xf numFmtId="0" fontId="31" fillId="2" borderId="73" xfId="81" applyFont="1" applyFill="1" applyBorder="1" applyAlignment="1">
      <alignment horizontal="center"/>
    </xf>
    <xf numFmtId="0" fontId="31" fillId="2" borderId="95" xfId="81" applyFont="1" applyFill="1" applyBorder="1" applyAlignment="1">
      <alignment horizontal="center"/>
    </xf>
    <xf numFmtId="0" fontId="31" fillId="2" borderId="86" xfId="81" applyFont="1" applyFill="1" applyBorder="1" applyAlignment="1">
      <alignment horizontal="center"/>
    </xf>
    <xf numFmtId="0" fontId="2" fillId="0" borderId="1" xfId="14" applyFont="1" applyFill="1" applyBorder="1" applyAlignment="1"/>
    <xf numFmtId="0" fontId="42" fillId="0" borderId="1" xfId="14" applyFont="1" applyFill="1" applyBorder="1" applyAlignment="1"/>
    <xf numFmtId="0" fontId="0" fillId="0" borderId="1" xfId="0" applyBorder="1" applyAlignment="1"/>
    <xf numFmtId="164" fontId="31" fillId="0" borderId="0" xfId="53" applyNumberFormat="1" applyFont="1" applyFill="1" applyBorder="1" applyAlignment="1">
      <alignment horizontal="center"/>
    </xf>
    <xf numFmtId="164" fontId="29" fillId="0" borderId="0" xfId="79" applyNumberFormat="1" applyFont="1" applyFill="1" applyBorder="1" applyAlignment="1">
      <alignment horizontal="center"/>
    </xf>
    <xf numFmtId="164" fontId="31" fillId="2" borderId="24" xfId="53" applyNumberFormat="1" applyFont="1" applyFill="1" applyBorder="1" applyAlignment="1">
      <alignment horizontal="right"/>
    </xf>
    <xf numFmtId="164" fontId="29" fillId="2" borderId="29" xfId="79" applyNumberFormat="1" applyFont="1" applyFill="1" applyBorder="1" applyAlignment="1">
      <alignment horizontal="right"/>
    </xf>
    <xf numFmtId="164" fontId="43" fillId="0" borderId="1" xfId="14" applyNumberFormat="1" applyFont="1" applyFill="1" applyBorder="1" applyAlignment="1"/>
    <xf numFmtId="0" fontId="5" fillId="0" borderId="1" xfId="14" applyFont="1" applyFill="1" applyBorder="1" applyAlignment="1">
      <alignment wrapText="1"/>
    </xf>
    <xf numFmtId="0" fontId="5" fillId="0" borderId="1" xfId="14" applyFont="1" applyFill="1" applyBorder="1" applyAlignment="1"/>
    <xf numFmtId="3" fontId="28" fillId="2" borderId="54" xfId="78" applyNumberFormat="1" applyFont="1" applyFill="1" applyBorder="1" applyAlignment="1">
      <alignment horizontal="left"/>
    </xf>
    <xf numFmtId="0" fontId="32" fillId="2" borderId="46" xfId="0" applyFont="1" applyFill="1" applyBorder="1" applyAlignment="1"/>
    <xf numFmtId="3" fontId="28" fillId="2" borderId="48" xfId="78" applyNumberFormat="1" applyFont="1" applyFill="1" applyBorder="1" applyAlignment="1"/>
    <xf numFmtId="0" fontId="39" fillId="2" borderId="54" xfId="0" applyFont="1" applyFill="1" applyBorder="1" applyAlignment="1">
      <alignment horizontal="left"/>
    </xf>
    <xf numFmtId="0" fontId="32" fillId="2" borderId="42" xfId="0" applyFont="1" applyFill="1" applyBorder="1" applyAlignment="1">
      <alignment horizontal="left"/>
    </xf>
    <xf numFmtId="0" fontId="32" fillId="2" borderId="46" xfId="0" applyFont="1" applyFill="1" applyBorder="1" applyAlignment="1">
      <alignment horizontal="left"/>
    </xf>
    <xf numFmtId="0" fontId="39" fillId="2" borderId="48" xfId="0" applyFont="1" applyFill="1" applyBorder="1" applyAlignment="1">
      <alignment horizontal="left"/>
    </xf>
    <xf numFmtId="3" fontId="39" fillId="2" borderId="48" xfId="0" applyNumberFormat="1" applyFont="1" applyFill="1" applyBorder="1" applyAlignment="1">
      <alignment horizontal="left"/>
    </xf>
    <xf numFmtId="3" fontId="32" fillId="2" borderId="43" xfId="0" applyNumberFormat="1" applyFont="1" applyFill="1" applyBorder="1" applyAlignment="1">
      <alignment horizontal="left"/>
    </xf>
    <xf numFmtId="9" fontId="3" fillId="2" borderId="99" xfId="80" applyNumberFormat="1" applyFont="1" applyFill="1" applyBorder="1" applyAlignment="1">
      <alignment horizontal="left"/>
    </xf>
    <xf numFmtId="9" fontId="3" fillId="2" borderId="5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3" fontId="3" fillId="2" borderId="3" xfId="80" applyNumberFormat="1" applyFont="1" applyFill="1" applyBorder="1" applyAlignment="1">
      <alignment horizontal="left"/>
    </xf>
    <xf numFmtId="3" fontId="3" fillId="2" borderId="98" xfId="80" applyNumberFormat="1" applyFont="1" applyFill="1" applyBorder="1" applyAlignment="1">
      <alignment horizontal="left"/>
    </xf>
    <xf numFmtId="3" fontId="3" fillId="2" borderId="88" xfId="80" applyNumberFormat="1" applyFont="1" applyFill="1" applyBorder="1" applyAlignment="1">
      <alignment horizontal="left"/>
    </xf>
    <xf numFmtId="166" fontId="39" fillId="2" borderId="65" xfId="0" applyNumberFormat="1" applyFont="1" applyFill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0" fontId="2" fillId="0" borderId="1" xfId="26" applyFont="1" applyFill="1" applyBorder="1" applyAlignment="1"/>
    <xf numFmtId="0" fontId="2" fillId="0" borderId="1" xfId="0" applyFont="1" applyFill="1" applyBorder="1" applyAlignment="1">
      <alignment wrapText="1"/>
    </xf>
    <xf numFmtId="0" fontId="39" fillId="2" borderId="52" xfId="0" applyFont="1" applyFill="1" applyBorder="1" applyAlignment="1">
      <alignment vertical="center"/>
    </xf>
    <xf numFmtId="3" fontId="31" fillId="2" borderId="54" xfId="26" applyNumberFormat="1" applyFont="1" applyFill="1" applyBorder="1" applyAlignment="1">
      <alignment horizontal="center"/>
    </xf>
    <xf numFmtId="3" fontId="31" fillId="2" borderId="42" xfId="26" applyNumberFormat="1" applyFont="1" applyFill="1" applyBorder="1" applyAlignment="1">
      <alignment horizontal="center"/>
    </xf>
    <xf numFmtId="3" fontId="31" fillId="2" borderId="43" xfId="26" applyNumberFormat="1" applyFont="1" applyFill="1" applyBorder="1" applyAlignment="1">
      <alignment horizontal="center"/>
    </xf>
    <xf numFmtId="3" fontId="31" fillId="2" borderId="97" xfId="26" applyNumberFormat="1" applyFont="1" applyFill="1" applyBorder="1" applyAlignment="1">
      <alignment horizontal="center"/>
    </xf>
    <xf numFmtId="3" fontId="31" fillId="2" borderId="90" xfId="26" applyNumberFormat="1" applyFont="1" applyFill="1" applyBorder="1" applyAlignment="1">
      <alignment horizontal="center"/>
    </xf>
    <xf numFmtId="3" fontId="31" fillId="2" borderId="65" xfId="26" applyNumberFormat="1" applyFont="1" applyFill="1" applyBorder="1" applyAlignment="1">
      <alignment horizontal="center"/>
    </xf>
    <xf numFmtId="3" fontId="31" fillId="2" borderId="43" xfId="0" applyNumberFormat="1" applyFont="1" applyFill="1" applyBorder="1" applyAlignment="1">
      <alignment horizontal="center" vertical="top"/>
    </xf>
    <xf numFmtId="0" fontId="31" fillId="2" borderId="30" xfId="0" applyFont="1" applyFill="1" applyBorder="1" applyAlignment="1">
      <alignment horizontal="center" vertical="top" wrapText="1"/>
    </xf>
    <xf numFmtId="0" fontId="31" fillId="2" borderId="30" xfId="0" applyFont="1" applyFill="1" applyBorder="1" applyAlignment="1">
      <alignment horizontal="center" vertical="top"/>
    </xf>
    <xf numFmtId="0" fontId="31" fillId="2" borderId="30" xfId="0" applyFont="1" applyFill="1" applyBorder="1" applyAlignment="1">
      <alignment horizontal="center" vertical="center"/>
    </xf>
    <xf numFmtId="0" fontId="31" fillId="2" borderId="54" xfId="0" quotePrefix="1" applyFont="1" applyFill="1" applyBorder="1" applyAlignment="1">
      <alignment horizontal="center"/>
    </xf>
    <xf numFmtId="0" fontId="31" fillId="2" borderId="43" xfId="0" applyFont="1" applyFill="1" applyBorder="1" applyAlignment="1">
      <alignment horizontal="center"/>
    </xf>
    <xf numFmtId="9" fontId="44" fillId="2" borderId="43" xfId="0" applyNumberFormat="1" applyFont="1" applyFill="1" applyBorder="1" applyAlignment="1">
      <alignment horizontal="center" vertical="top"/>
    </xf>
    <xf numFmtId="0" fontId="31" fillId="2" borderId="64" xfId="0" applyNumberFormat="1" applyFont="1" applyFill="1" applyBorder="1" applyAlignment="1">
      <alignment horizontal="center" vertical="top"/>
    </xf>
    <xf numFmtId="0" fontId="31" fillId="2" borderId="64" xfId="0" applyFont="1" applyFill="1" applyBorder="1" applyAlignment="1">
      <alignment horizontal="center" vertical="top" wrapText="1"/>
    </xf>
    <xf numFmtId="0" fontId="31" fillId="2" borderId="54" xfId="0" quotePrefix="1" applyNumberFormat="1" applyFont="1" applyFill="1" applyBorder="1" applyAlignment="1">
      <alignment horizontal="center"/>
    </xf>
    <xf numFmtId="0" fontId="31" fillId="2" borderId="43" xfId="0" applyNumberFormat="1" applyFont="1" applyFill="1" applyBorder="1" applyAlignment="1">
      <alignment horizontal="center"/>
    </xf>
    <xf numFmtId="49" fontId="31" fillId="2" borderId="30" xfId="0" applyNumberFormat="1" applyFont="1" applyFill="1" applyBorder="1" applyAlignment="1">
      <alignment horizontal="center" vertical="top"/>
    </xf>
    <xf numFmtId="0" fontId="44" fillId="2" borderId="43" xfId="0" applyNumberFormat="1" applyFont="1" applyFill="1" applyBorder="1" applyAlignment="1">
      <alignment horizontal="center" vertical="top"/>
    </xf>
    <xf numFmtId="3" fontId="33" fillId="9" borderId="101" xfId="0" applyNumberFormat="1" applyFont="1" applyFill="1" applyBorder="1" applyAlignment="1">
      <alignment horizontal="right" vertical="top"/>
    </xf>
    <xf numFmtId="3" fontId="33" fillId="9" borderId="102" xfId="0" applyNumberFormat="1" applyFont="1" applyFill="1" applyBorder="1" applyAlignment="1">
      <alignment horizontal="right" vertical="top"/>
    </xf>
    <xf numFmtId="176" fontId="33" fillId="9" borderId="103" xfId="0" applyNumberFormat="1" applyFont="1" applyFill="1" applyBorder="1" applyAlignment="1">
      <alignment horizontal="right" vertical="top"/>
    </xf>
    <xf numFmtId="3" fontId="33" fillId="0" borderId="101" xfId="0" applyNumberFormat="1" applyFont="1" applyBorder="1" applyAlignment="1">
      <alignment horizontal="right" vertical="top"/>
    </xf>
    <xf numFmtId="176" fontId="33" fillId="9" borderId="104" xfId="0" applyNumberFormat="1" applyFont="1" applyFill="1" applyBorder="1" applyAlignment="1">
      <alignment horizontal="right" vertical="top"/>
    </xf>
    <xf numFmtId="3" fontId="35" fillId="9" borderId="106" xfId="0" applyNumberFormat="1" applyFont="1" applyFill="1" applyBorder="1" applyAlignment="1">
      <alignment horizontal="right" vertical="top"/>
    </xf>
    <xf numFmtId="3" fontId="35" fillId="9" borderId="107" xfId="0" applyNumberFormat="1" applyFont="1" applyFill="1" applyBorder="1" applyAlignment="1">
      <alignment horizontal="right" vertical="top"/>
    </xf>
    <xf numFmtId="0" fontId="35" fillId="9" borderId="108" xfId="0" applyFont="1" applyFill="1" applyBorder="1" applyAlignment="1">
      <alignment horizontal="right" vertical="top"/>
    </xf>
    <xf numFmtId="3" fontId="35" fillId="0" borderId="106" xfId="0" applyNumberFormat="1" applyFont="1" applyBorder="1" applyAlignment="1">
      <alignment horizontal="right" vertical="top"/>
    </xf>
    <xf numFmtId="0" fontId="35" fillId="9" borderId="109" xfId="0" applyFont="1" applyFill="1" applyBorder="1" applyAlignment="1">
      <alignment horizontal="right" vertical="top"/>
    </xf>
    <xf numFmtId="0" fontId="33" fillId="9" borderId="103" xfId="0" applyFont="1" applyFill="1" applyBorder="1" applyAlignment="1">
      <alignment horizontal="right" vertical="top"/>
    </xf>
    <xf numFmtId="0" fontId="33" fillId="9" borderId="104" xfId="0" applyFont="1" applyFill="1" applyBorder="1" applyAlignment="1">
      <alignment horizontal="right" vertical="top"/>
    </xf>
    <xf numFmtId="176" fontId="35" fillId="9" borderId="108" xfId="0" applyNumberFormat="1" applyFont="1" applyFill="1" applyBorder="1" applyAlignment="1">
      <alignment horizontal="right" vertical="top"/>
    </xf>
    <xf numFmtId="176" fontId="35" fillId="9" borderId="109" xfId="0" applyNumberFormat="1" applyFont="1" applyFill="1" applyBorder="1" applyAlignment="1">
      <alignment horizontal="right" vertical="top"/>
    </xf>
    <xf numFmtId="3" fontId="35" fillId="0" borderId="110" xfId="0" applyNumberFormat="1" applyFont="1" applyBorder="1" applyAlignment="1">
      <alignment horizontal="right" vertical="top"/>
    </xf>
    <xf numFmtId="3" fontId="35" fillId="0" borderId="111" xfId="0" applyNumberFormat="1" applyFont="1" applyBorder="1" applyAlignment="1">
      <alignment horizontal="right" vertical="top"/>
    </xf>
    <xf numFmtId="0" fontId="35" fillId="0" borderId="112" xfId="0" applyFont="1" applyBorder="1" applyAlignment="1">
      <alignment horizontal="right" vertical="top"/>
    </xf>
    <xf numFmtId="176" fontId="35" fillId="9" borderId="113" xfId="0" applyNumberFormat="1" applyFont="1" applyFill="1" applyBorder="1" applyAlignment="1">
      <alignment horizontal="right" vertical="top"/>
    </xf>
    <xf numFmtId="0" fontId="37" fillId="10" borderId="100" xfId="0" applyFont="1" applyFill="1" applyBorder="1" applyAlignment="1">
      <alignment vertical="top"/>
    </xf>
    <xf numFmtId="0" fontId="37" fillId="10" borderId="100" xfId="0" applyFont="1" applyFill="1" applyBorder="1" applyAlignment="1">
      <alignment vertical="top" indent="2"/>
    </xf>
    <xf numFmtId="0" fontId="37" fillId="10" borderId="100" xfId="0" applyFont="1" applyFill="1" applyBorder="1" applyAlignment="1">
      <alignment vertical="top" indent="4"/>
    </xf>
    <xf numFmtId="0" fontId="38" fillId="10" borderId="105" xfId="0" applyFont="1" applyFill="1" applyBorder="1" applyAlignment="1">
      <alignment vertical="top" indent="6"/>
    </xf>
    <xf numFmtId="0" fontId="37" fillId="10" borderId="100" xfId="0" applyFont="1" applyFill="1" applyBorder="1" applyAlignment="1">
      <alignment vertical="top" indent="8"/>
    </xf>
    <xf numFmtId="0" fontId="38" fillId="10" borderId="105" xfId="0" applyFont="1" applyFill="1" applyBorder="1" applyAlignment="1">
      <alignment vertical="top" indent="2"/>
    </xf>
    <xf numFmtId="0" fontId="37" fillId="10" borderId="100" xfId="0" applyFont="1" applyFill="1" applyBorder="1" applyAlignment="1">
      <alignment vertical="top" indent="6"/>
    </xf>
    <xf numFmtId="0" fontId="38" fillId="10" borderId="105" xfId="0" applyFont="1" applyFill="1" applyBorder="1" applyAlignment="1">
      <alignment vertical="top" indent="4"/>
    </xf>
    <xf numFmtId="0" fontId="38" fillId="10" borderId="105" xfId="0" applyFont="1" applyFill="1" applyBorder="1" applyAlignment="1">
      <alignment vertical="top"/>
    </xf>
    <xf numFmtId="0" fontId="32" fillId="10" borderId="100" xfId="0" applyFont="1" applyFill="1" applyBorder="1"/>
    <xf numFmtId="0" fontId="38" fillId="10" borderId="18" xfId="0" applyFont="1" applyFill="1" applyBorder="1" applyAlignment="1">
      <alignment vertical="top"/>
    </xf>
    <xf numFmtId="0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right"/>
    </xf>
    <xf numFmtId="9" fontId="29" fillId="0" borderId="0" xfId="0" applyNumberFormat="1" applyFont="1" applyFill="1" applyBorder="1" applyAlignment="1">
      <alignment horizontal="right"/>
    </xf>
    <xf numFmtId="3" fontId="29" fillId="0" borderId="0" xfId="0" applyNumberFormat="1" applyFont="1" applyFill="1" applyBorder="1"/>
    <xf numFmtId="164" fontId="31" fillId="2" borderId="114" xfId="53" applyNumberFormat="1" applyFont="1" applyFill="1" applyBorder="1" applyAlignment="1">
      <alignment horizontal="left"/>
    </xf>
    <xf numFmtId="164" fontId="31" fillId="2" borderId="115" xfId="53" applyNumberFormat="1" applyFont="1" applyFill="1" applyBorder="1" applyAlignment="1">
      <alignment horizontal="left"/>
    </xf>
    <xf numFmtId="164" fontId="31" fillId="2" borderId="50" xfId="53" applyNumberFormat="1" applyFont="1" applyFill="1" applyBorder="1" applyAlignment="1">
      <alignment horizontal="left"/>
    </xf>
    <xf numFmtId="3" fontId="31" fillId="2" borderId="50" xfId="53" applyNumberFormat="1" applyFont="1" applyFill="1" applyBorder="1" applyAlignment="1">
      <alignment horizontal="left"/>
    </xf>
    <xf numFmtId="3" fontId="31" fillId="2" borderId="55" xfId="53" applyNumberFormat="1" applyFont="1" applyFill="1" applyBorder="1" applyAlignment="1">
      <alignment horizontal="left"/>
    </xf>
    <xf numFmtId="3" fontId="32" fillId="0" borderId="115" xfId="0" applyNumberFormat="1" applyFont="1" applyFill="1" applyBorder="1"/>
    <xf numFmtId="3" fontId="32" fillId="0" borderId="117" xfId="0" applyNumberFormat="1" applyFont="1" applyFill="1" applyBorder="1"/>
    <xf numFmtId="0" fontId="32" fillId="0" borderId="66" xfId="0" applyFont="1" applyFill="1" applyBorder="1"/>
    <xf numFmtId="0" fontId="32" fillId="0" borderId="67" xfId="0" applyFont="1" applyFill="1" applyBorder="1"/>
    <xf numFmtId="164" fontId="32" fillId="0" borderId="67" xfId="0" applyNumberFormat="1" applyFont="1" applyFill="1" applyBorder="1"/>
    <xf numFmtId="164" fontId="32" fillId="0" borderId="67" xfId="0" applyNumberFormat="1" applyFont="1" applyFill="1" applyBorder="1" applyAlignment="1">
      <alignment horizontal="right"/>
    </xf>
    <xf numFmtId="3" fontId="32" fillId="0" borderId="67" xfId="0" applyNumberFormat="1" applyFont="1" applyFill="1" applyBorder="1"/>
    <xf numFmtId="3" fontId="32" fillId="0" borderId="68" xfId="0" applyNumberFormat="1" applyFont="1" applyFill="1" applyBorder="1"/>
    <xf numFmtId="0" fontId="32" fillId="0" borderId="76" xfId="0" applyFont="1" applyFill="1" applyBorder="1"/>
    <xf numFmtId="0" fontId="32" fillId="0" borderId="77" xfId="0" applyFont="1" applyFill="1" applyBorder="1"/>
    <xf numFmtId="164" fontId="32" fillId="0" borderId="77" xfId="0" applyNumberFormat="1" applyFont="1" applyFill="1" applyBorder="1"/>
    <xf numFmtId="164" fontId="32" fillId="0" borderId="77" xfId="0" applyNumberFormat="1" applyFont="1" applyFill="1" applyBorder="1" applyAlignment="1">
      <alignment horizontal="right"/>
    </xf>
    <xf numFmtId="3" fontId="32" fillId="0" borderId="77" xfId="0" applyNumberFormat="1" applyFont="1" applyFill="1" applyBorder="1"/>
    <xf numFmtId="3" fontId="32" fillId="0" borderId="78" xfId="0" applyNumberFormat="1" applyFont="1" applyFill="1" applyBorder="1"/>
    <xf numFmtId="0" fontId="32" fillId="0" borderId="69" xfId="0" applyFont="1" applyFill="1" applyBorder="1"/>
    <xf numFmtId="0" fontId="32" fillId="0" borderId="70" xfId="0" applyFont="1" applyFill="1" applyBorder="1"/>
    <xf numFmtId="164" fontId="32" fillId="0" borderId="70" xfId="0" applyNumberFormat="1" applyFont="1" applyFill="1" applyBorder="1"/>
    <xf numFmtId="164" fontId="32" fillId="0" borderId="70" xfId="0" applyNumberFormat="1" applyFont="1" applyFill="1" applyBorder="1" applyAlignment="1">
      <alignment horizontal="right"/>
    </xf>
    <xf numFmtId="3" fontId="32" fillId="0" borderId="70" xfId="0" applyNumberFormat="1" applyFont="1" applyFill="1" applyBorder="1"/>
    <xf numFmtId="3" fontId="32" fillId="0" borderId="71" xfId="0" applyNumberFormat="1" applyFont="1" applyFill="1" applyBorder="1"/>
    <xf numFmtId="0" fontId="39" fillId="2" borderId="114" xfId="0" applyFont="1" applyFill="1" applyBorder="1"/>
    <xf numFmtId="3" fontId="39" fillId="2" borderId="116" xfId="0" applyNumberFormat="1" applyFont="1" applyFill="1" applyBorder="1"/>
    <xf numFmtId="9" fontId="39" fillId="2" borderId="61" xfId="0" applyNumberFormat="1" applyFont="1" applyFill="1" applyBorder="1"/>
    <xf numFmtId="3" fontId="39" fillId="2" borderId="55" xfId="0" applyNumberFormat="1" applyFont="1" applyFill="1" applyBorder="1"/>
    <xf numFmtId="9" fontId="32" fillId="0" borderId="115" xfId="0" applyNumberFormat="1" applyFont="1" applyFill="1" applyBorder="1"/>
    <xf numFmtId="9" fontId="32" fillId="0" borderId="67" xfId="0" applyNumberFormat="1" applyFont="1" applyFill="1" applyBorder="1"/>
    <xf numFmtId="9" fontId="32" fillId="0" borderId="70" xfId="0" applyNumberFormat="1" applyFont="1" applyFill="1" applyBorder="1"/>
    <xf numFmtId="3" fontId="32" fillId="0" borderId="27" xfId="0" applyNumberFormat="1" applyFont="1" applyFill="1" applyBorder="1"/>
    <xf numFmtId="0" fontId="39" fillId="10" borderId="19" xfId="0" applyFont="1" applyFill="1" applyBorder="1"/>
    <xf numFmtId="3" fontId="39" fillId="10" borderId="27" xfId="0" applyNumberFormat="1" applyFont="1" applyFill="1" applyBorder="1"/>
    <xf numFmtId="9" fontId="39" fillId="10" borderId="27" xfId="0" applyNumberFormat="1" applyFont="1" applyFill="1" applyBorder="1"/>
    <xf numFmtId="3" fontId="39" fillId="10" borderId="20" xfId="0" applyNumberFormat="1" applyFont="1" applyFill="1" applyBorder="1"/>
    <xf numFmtId="0" fontId="39" fillId="0" borderId="114" xfId="0" applyFont="1" applyFill="1" applyBorder="1"/>
    <xf numFmtId="0" fontId="32" fillId="5" borderId="10" xfId="0" applyFont="1" applyFill="1" applyBorder="1" applyAlignment="1">
      <alignment wrapText="1"/>
    </xf>
    <xf numFmtId="9" fontId="32" fillId="0" borderId="77" xfId="0" applyNumberFormat="1" applyFont="1" applyFill="1" applyBorder="1"/>
    <xf numFmtId="3" fontId="32" fillId="0" borderId="83" xfId="0" applyNumberFormat="1" applyFont="1" applyFill="1" applyBorder="1"/>
    <xf numFmtId="9" fontId="32" fillId="0" borderId="83" xfId="0" applyNumberFormat="1" applyFont="1" applyFill="1" applyBorder="1"/>
    <xf numFmtId="3" fontId="32" fillId="0" borderId="84" xfId="0" applyNumberFormat="1" applyFont="1" applyFill="1" applyBorder="1"/>
    <xf numFmtId="0" fontId="39" fillId="0" borderId="66" xfId="0" applyFont="1" applyFill="1" applyBorder="1"/>
    <xf numFmtId="0" fontId="39" fillId="0" borderId="118" xfId="0" applyFont="1" applyFill="1" applyBorder="1"/>
    <xf numFmtId="0" fontId="39" fillId="2" borderId="115" xfId="0" applyFont="1" applyFill="1" applyBorder="1"/>
    <xf numFmtId="3" fontId="39" fillId="2" borderId="0" xfId="0" applyNumberFormat="1" applyFont="1" applyFill="1" applyBorder="1"/>
    <xf numFmtId="3" fontId="39" fillId="2" borderId="16" xfId="0" applyNumberFormat="1" applyFont="1" applyFill="1" applyBorder="1"/>
    <xf numFmtId="0" fontId="3" fillId="2" borderId="114" xfId="79" applyFont="1" applyFill="1" applyBorder="1" applyAlignment="1">
      <alignment horizontal="left"/>
    </xf>
    <xf numFmtId="3" fontId="3" fillId="2" borderId="83" xfId="80" applyNumberFormat="1" applyFont="1" applyFill="1" applyBorder="1"/>
    <xf numFmtId="3" fontId="3" fillId="2" borderId="84" xfId="80" applyNumberFormat="1" applyFont="1" applyFill="1" applyBorder="1"/>
    <xf numFmtId="9" fontId="3" fillId="2" borderId="82" xfId="80" applyNumberFormat="1" applyFont="1" applyFill="1" applyBorder="1"/>
    <xf numFmtId="9" fontId="3" fillId="2" borderId="83" xfId="80" applyNumberFormat="1" applyFont="1" applyFill="1" applyBorder="1"/>
    <xf numFmtId="9" fontId="3" fillId="2" borderId="84" xfId="80" applyNumberFormat="1" applyFont="1" applyFill="1" applyBorder="1"/>
    <xf numFmtId="9" fontId="32" fillId="0" borderId="68" xfId="0" applyNumberFormat="1" applyFont="1" applyFill="1" applyBorder="1"/>
    <xf numFmtId="9" fontId="32" fillId="0" borderId="71" xfId="0" applyNumberFormat="1" applyFont="1" applyFill="1" applyBorder="1"/>
    <xf numFmtId="0" fontId="39" fillId="0" borderId="96" xfId="0" applyFont="1" applyFill="1" applyBorder="1"/>
    <xf numFmtId="0" fontId="39" fillId="0" borderId="95" xfId="0" applyFont="1" applyFill="1" applyBorder="1" applyAlignment="1">
      <alignment horizontal="left" indent="1"/>
    </xf>
    <xf numFmtId="9" fontId="32" fillId="0" borderId="89" xfId="0" applyNumberFormat="1" applyFont="1" applyFill="1" applyBorder="1"/>
    <xf numFmtId="9" fontId="32" fillId="0" borderId="87" xfId="0" applyNumberFormat="1" applyFont="1" applyFill="1" applyBorder="1"/>
    <xf numFmtId="3" fontId="32" fillId="0" borderId="66" xfId="0" applyNumberFormat="1" applyFont="1" applyFill="1" applyBorder="1"/>
    <xf numFmtId="3" fontId="32" fillId="0" borderId="69" xfId="0" applyNumberFormat="1" applyFont="1" applyFill="1" applyBorder="1"/>
    <xf numFmtId="9" fontId="32" fillId="0" borderId="93" xfId="0" applyNumberFormat="1" applyFont="1" applyFill="1" applyBorder="1"/>
    <xf numFmtId="9" fontId="32" fillId="0" borderId="92" xfId="0" applyNumberFormat="1" applyFont="1" applyFill="1" applyBorder="1"/>
    <xf numFmtId="0" fontId="0" fillId="0" borderId="119" xfId="0" applyBorder="1" applyAlignment="1"/>
    <xf numFmtId="173" fontId="39" fillId="4" borderId="120" xfId="0" applyNumberFormat="1" applyFont="1" applyFill="1" applyBorder="1" applyAlignment="1">
      <alignment horizontal="center"/>
    </xf>
    <xf numFmtId="0" fontId="0" fillId="0" borderId="120" xfId="0" applyBorder="1" applyAlignment="1">
      <alignment horizontal="center"/>
    </xf>
    <xf numFmtId="0" fontId="0" fillId="0" borderId="121" xfId="0" applyBorder="1" applyAlignment="1">
      <alignment horizontal="right"/>
    </xf>
    <xf numFmtId="173" fontId="32" fillId="0" borderId="122" xfId="0" applyNumberFormat="1" applyFont="1" applyBorder="1" applyAlignment="1">
      <alignment horizontal="right"/>
    </xf>
    <xf numFmtId="0" fontId="0" fillId="0" borderId="122" xfId="0" applyBorder="1" applyAlignment="1">
      <alignment horizontal="right"/>
    </xf>
    <xf numFmtId="173" fontId="32" fillId="0" borderId="122" xfId="0" applyNumberFormat="1" applyFont="1" applyBorder="1" applyAlignment="1">
      <alignment horizontal="right" wrapText="1"/>
    </xf>
    <xf numFmtId="0" fontId="0" fillId="0" borderId="122" xfId="0" applyBorder="1" applyAlignment="1">
      <alignment horizontal="right" wrapText="1"/>
    </xf>
    <xf numFmtId="175" fontId="32" fillId="0" borderId="122" xfId="0" applyNumberFormat="1" applyFont="1" applyBorder="1" applyAlignment="1">
      <alignment horizontal="right"/>
    </xf>
    <xf numFmtId="0" fontId="0" fillId="0" borderId="123" xfId="0" applyBorder="1" applyAlignment="1">
      <alignment horizontal="right"/>
    </xf>
    <xf numFmtId="173" fontId="32" fillId="0" borderId="124" xfId="0" applyNumberFormat="1" applyFont="1" applyBorder="1" applyAlignment="1">
      <alignment horizontal="right"/>
    </xf>
    <xf numFmtId="0" fontId="0" fillId="0" borderId="124" xfId="0" applyBorder="1" applyAlignment="1">
      <alignment horizontal="right"/>
    </xf>
    <xf numFmtId="0" fontId="39" fillId="2" borderId="93" xfId="0" applyFont="1" applyFill="1" applyBorder="1" applyAlignment="1">
      <alignment horizontal="center" vertical="center"/>
    </xf>
    <xf numFmtId="0" fontId="55" fillId="2" borderId="92" xfId="0" applyFont="1" applyFill="1" applyBorder="1" applyAlignment="1">
      <alignment horizontal="center" vertical="center" wrapText="1"/>
    </xf>
    <xf numFmtId="174" fontId="32" fillId="2" borderId="93" xfId="0" applyNumberFormat="1" applyFont="1" applyFill="1" applyBorder="1" applyAlignment="1"/>
    <xf numFmtId="174" fontId="32" fillId="0" borderId="91" xfId="0" applyNumberFormat="1" applyFont="1" applyBorder="1"/>
    <xf numFmtId="174" fontId="32" fillId="0" borderId="126" xfId="0" applyNumberFormat="1" applyFont="1" applyBorder="1"/>
    <xf numFmtId="173" fontId="39" fillId="4" borderId="93" xfId="0" applyNumberFormat="1" applyFont="1" applyFill="1" applyBorder="1" applyAlignment="1"/>
    <xf numFmtId="173" fontId="32" fillId="0" borderId="91" xfId="0" applyNumberFormat="1" applyFont="1" applyBorder="1"/>
    <xf numFmtId="173" fontId="32" fillId="0" borderId="92" xfId="0" applyNumberFormat="1" applyFont="1" applyBorder="1"/>
    <xf numFmtId="173" fontId="39" fillId="2" borderId="93" xfId="0" applyNumberFormat="1" applyFont="1" applyFill="1" applyBorder="1" applyAlignment="1"/>
    <xf numFmtId="173" fontId="32" fillId="0" borderId="126" xfId="0" applyNumberFormat="1" applyFont="1" applyBorder="1"/>
    <xf numFmtId="173" fontId="32" fillId="0" borderId="93" xfId="0" applyNumberFormat="1" applyFont="1" applyBorder="1"/>
    <xf numFmtId="173" fontId="39" fillId="4" borderId="127" xfId="0" applyNumberFormat="1" applyFont="1" applyFill="1" applyBorder="1" applyAlignment="1">
      <alignment horizontal="center"/>
    </xf>
    <xf numFmtId="173" fontId="32" fillId="0" borderId="128" xfId="0" applyNumberFormat="1" applyFont="1" applyBorder="1" applyAlignment="1">
      <alignment horizontal="right"/>
    </xf>
    <xf numFmtId="175" fontId="32" fillId="0" borderId="128" xfId="0" applyNumberFormat="1" applyFont="1" applyBorder="1" applyAlignment="1">
      <alignment horizontal="right"/>
    </xf>
    <xf numFmtId="173" fontId="32" fillId="0" borderId="129" xfId="0" applyNumberFormat="1" applyFont="1" applyBorder="1" applyAlignment="1">
      <alignment horizontal="right"/>
    </xf>
    <xf numFmtId="0" fontId="0" fillId="0" borderId="125" xfId="0" applyBorder="1"/>
    <xf numFmtId="173" fontId="39" fillId="4" borderId="72" xfId="0" applyNumberFormat="1" applyFont="1" applyFill="1" applyBorder="1" applyAlignment="1">
      <alignment horizontal="center"/>
    </xf>
    <xf numFmtId="173" fontId="32" fillId="0" borderId="74" xfId="0" applyNumberFormat="1" applyFont="1" applyBorder="1" applyAlignment="1">
      <alignment horizontal="right"/>
    </xf>
    <xf numFmtId="175" fontId="32" fillId="0" borderId="74" xfId="0" applyNumberFormat="1" applyFont="1" applyBorder="1" applyAlignment="1">
      <alignment horizontal="right"/>
    </xf>
    <xf numFmtId="173" fontId="32" fillId="0" borderId="85" xfId="0" applyNumberFormat="1" applyFont="1" applyBorder="1" applyAlignment="1">
      <alignment horizontal="right"/>
    </xf>
    <xf numFmtId="0" fontId="32" fillId="2" borderId="55" xfId="0" applyFont="1" applyFill="1" applyBorder="1" applyAlignment="1">
      <alignment vertical="center"/>
    </xf>
    <xf numFmtId="0" fontId="31" fillId="2" borderId="15" xfId="26" applyNumberFormat="1" applyFont="1" applyFill="1" applyBorder="1"/>
    <xf numFmtId="0" fontId="31" fillId="2" borderId="0" xfId="26" applyNumberFormat="1" applyFont="1" applyFill="1" applyBorder="1"/>
    <xf numFmtId="0" fontId="31" fillId="2" borderId="16" xfId="26" applyNumberFormat="1" applyFont="1" applyFill="1" applyBorder="1" applyAlignment="1">
      <alignment horizontal="right"/>
    </xf>
    <xf numFmtId="169" fontId="32" fillId="0" borderId="27" xfId="0" applyNumberFormat="1" applyFont="1" applyFill="1" applyBorder="1"/>
    <xf numFmtId="0" fontId="32" fillId="0" borderId="27" xfId="0" applyFont="1" applyFill="1" applyBorder="1"/>
    <xf numFmtId="0" fontId="39" fillId="0" borderId="19" xfId="0" applyFont="1" applyFill="1" applyBorder="1"/>
    <xf numFmtId="0" fontId="59" fillId="0" borderId="0" xfId="0" applyFont="1" applyFill="1"/>
    <xf numFmtId="0" fontId="60" fillId="0" borderId="0" xfId="0" applyFont="1" applyFill="1"/>
    <xf numFmtId="169" fontId="32" fillId="0" borderId="20" xfId="0" applyNumberFormat="1" applyFont="1" applyFill="1" applyBorder="1"/>
    <xf numFmtId="0" fontId="32" fillId="2" borderId="31" xfId="0" applyFont="1" applyFill="1" applyBorder="1" applyAlignment="1">
      <alignment horizontal="center" vertical="top" wrapText="1"/>
    </xf>
    <xf numFmtId="0" fontId="31" fillId="2" borderId="31" xfId="0" applyFont="1" applyFill="1" applyBorder="1" applyAlignment="1">
      <alignment horizontal="center" vertical="top" wrapText="1"/>
    </xf>
    <xf numFmtId="0" fontId="31" fillId="2" borderId="31" xfId="0" applyFont="1" applyFill="1" applyBorder="1" applyAlignment="1">
      <alignment horizontal="center" vertical="top"/>
    </xf>
    <xf numFmtId="0" fontId="0" fillId="0" borderId="31" xfId="0" applyNumberFormat="1" applyBorder="1" applyAlignment="1">
      <alignment horizontal="center" vertical="top"/>
    </xf>
    <xf numFmtId="0" fontId="31" fillId="2" borderId="31" xfId="0" applyFont="1" applyFill="1" applyBorder="1" applyAlignment="1">
      <alignment horizontal="center" vertical="center"/>
    </xf>
    <xf numFmtId="3" fontId="31" fillId="2" borderId="15" xfId="0" applyNumberFormat="1" applyFont="1" applyFill="1" applyBorder="1" applyAlignment="1">
      <alignment horizontal="left"/>
    </xf>
    <xf numFmtId="3" fontId="31" fillId="2" borderId="16" xfId="0" applyNumberFormat="1" applyFont="1" applyFill="1" applyBorder="1" applyAlignment="1">
      <alignment horizontal="center"/>
    </xf>
    <xf numFmtId="3" fontId="31" fillId="2" borderId="0" xfId="0" applyNumberFormat="1" applyFont="1" applyFill="1" applyBorder="1" applyAlignment="1">
      <alignment horizontal="center"/>
    </xf>
    <xf numFmtId="9" fontId="44" fillId="2" borderId="16" xfId="0" applyNumberFormat="1" applyFont="1" applyFill="1" applyBorder="1" applyAlignment="1">
      <alignment horizontal="center" vertical="top"/>
    </xf>
    <xf numFmtId="3" fontId="31" fillId="2" borderId="16" xfId="0" applyNumberFormat="1" applyFont="1" applyFill="1" applyBorder="1" applyAlignment="1">
      <alignment horizontal="center" vertical="top"/>
    </xf>
    <xf numFmtId="169" fontId="32" fillId="0" borderId="67" xfId="0" applyNumberFormat="1" applyFont="1" applyFill="1" applyBorder="1"/>
    <xf numFmtId="169" fontId="32" fillId="0" borderId="77" xfId="0" applyNumberFormat="1" applyFont="1" applyFill="1" applyBorder="1"/>
    <xf numFmtId="9" fontId="32" fillId="0" borderId="78" xfId="0" applyNumberFormat="1" applyFont="1" applyFill="1" applyBorder="1"/>
    <xf numFmtId="169" fontId="32" fillId="0" borderId="70" xfId="0" applyNumberFormat="1" applyFont="1" applyFill="1" applyBorder="1"/>
    <xf numFmtId="0" fontId="39" fillId="0" borderId="76" xfId="0" applyFont="1" applyFill="1" applyBorder="1"/>
    <xf numFmtId="0" fontId="39" fillId="0" borderId="69" xfId="0" applyFont="1" applyFill="1" applyBorder="1"/>
    <xf numFmtId="49" fontId="31" fillId="2" borderId="31" xfId="0" applyNumberFormat="1" applyFont="1" applyFill="1" applyBorder="1" applyAlignment="1">
      <alignment horizontal="center" vertical="top"/>
    </xf>
    <xf numFmtId="0" fontId="31" fillId="2" borderId="15" xfId="0" applyNumberFormat="1" applyFont="1" applyFill="1" applyBorder="1" applyAlignment="1">
      <alignment horizontal="left"/>
    </xf>
    <xf numFmtId="0" fontId="31" fillId="2" borderId="16" xfId="0" applyNumberFormat="1" applyFont="1" applyFill="1" applyBorder="1" applyAlignment="1">
      <alignment horizontal="left"/>
    </xf>
    <xf numFmtId="0" fontId="31" fillId="2" borderId="0" xfId="0" applyNumberFormat="1" applyFont="1" applyFill="1" applyBorder="1" applyAlignment="1">
      <alignment horizontal="left"/>
    </xf>
    <xf numFmtId="0" fontId="44" fillId="2" borderId="16" xfId="0" applyNumberFormat="1" applyFont="1" applyFill="1" applyBorder="1" applyAlignment="1">
      <alignment horizontal="center" vertical="top"/>
    </xf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55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Graf'!$B$4:$C$4</c:f>
              <c:numCache>
                <c:formatCode>General</c:formatCode>
                <c:ptCount val="2"/>
                <c:pt idx="0">
                  <c:v>0.91655928559518107</c:v>
                </c:pt>
                <c:pt idx="1">
                  <c:v>0.91457308073173227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13840432"/>
        <c:axId val="-1113839888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0.75850001657118216</c:v>
                </c:pt>
                <c:pt idx="1">
                  <c:v>0.75850001657118216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953328"/>
        <c:axId val="13948976"/>
      </c:scatterChart>
      <c:catAx>
        <c:axId val="-11138404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11138398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11383988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1113840432"/>
        <c:crosses val="autoZero"/>
        <c:crossBetween val="between"/>
      </c:valAx>
      <c:valAx>
        <c:axId val="13953328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13948976"/>
        <c:crosses val="max"/>
        <c:crossBetween val="midCat"/>
      </c:valAx>
      <c:valAx>
        <c:axId val="13948976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3953328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25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16" bestFit="1" customWidth="1"/>
    <col min="2" max="2" width="102.21875" style="116" bestFit="1" customWidth="1"/>
    <col min="3" max="3" width="16.109375" style="47" hidden="1" customWidth="1"/>
    <col min="4" max="16384" width="8.88671875" style="116"/>
  </cols>
  <sheetData>
    <row r="1" spans="1:3" ht="18.600000000000001" customHeight="1" thickBot="1" x14ac:dyDescent="0.4">
      <c r="A1" s="292" t="s">
        <v>95</v>
      </c>
      <c r="B1" s="292"/>
    </row>
    <row r="2" spans="1:3" ht="14.4" customHeight="1" thickBot="1" x14ac:dyDescent="0.35">
      <c r="A2" s="214" t="s">
        <v>229</v>
      </c>
      <c r="B2" s="46"/>
    </row>
    <row r="3" spans="1:3" ht="14.4" customHeight="1" thickBot="1" x14ac:dyDescent="0.35">
      <c r="A3" s="288" t="s">
        <v>125</v>
      </c>
      <c r="B3" s="289"/>
    </row>
    <row r="4" spans="1:3" ht="14.4" customHeight="1" x14ac:dyDescent="0.3">
      <c r="A4" s="129" t="str">
        <f t="shared" ref="A4:A8" si="0">HYPERLINK("#'"&amp;C4&amp;"'!A1",C4)</f>
        <v>Motivace</v>
      </c>
      <c r="B4" s="74" t="s">
        <v>106</v>
      </c>
      <c r="C4" s="47" t="s">
        <v>107</v>
      </c>
    </row>
    <row r="5" spans="1:3" ht="14.4" customHeight="1" x14ac:dyDescent="0.3">
      <c r="A5" s="130" t="str">
        <f t="shared" si="0"/>
        <v>HI</v>
      </c>
      <c r="B5" s="75" t="s">
        <v>122</v>
      </c>
      <c r="C5" s="47" t="s">
        <v>98</v>
      </c>
    </row>
    <row r="6" spans="1:3" ht="14.4" customHeight="1" x14ac:dyDescent="0.3">
      <c r="A6" s="131" t="str">
        <f t="shared" si="0"/>
        <v>HI Graf</v>
      </c>
      <c r="B6" s="76" t="s">
        <v>91</v>
      </c>
      <c r="C6" s="47" t="s">
        <v>99</v>
      </c>
    </row>
    <row r="7" spans="1:3" ht="14.4" customHeight="1" x14ac:dyDescent="0.3">
      <c r="A7" s="131" t="str">
        <f t="shared" si="0"/>
        <v>Man Tab</v>
      </c>
      <c r="B7" s="76" t="s">
        <v>231</v>
      </c>
      <c r="C7" s="47" t="s">
        <v>100</v>
      </c>
    </row>
    <row r="8" spans="1:3" ht="14.4" customHeight="1" thickBot="1" x14ac:dyDescent="0.35">
      <c r="A8" s="132" t="str">
        <f t="shared" si="0"/>
        <v>HV</v>
      </c>
      <c r="B8" s="77" t="s">
        <v>48</v>
      </c>
      <c r="C8" s="47" t="s">
        <v>53</v>
      </c>
    </row>
    <row r="9" spans="1:3" ht="14.4" customHeight="1" thickBot="1" x14ac:dyDescent="0.35">
      <c r="A9" s="78"/>
      <c r="B9" s="78"/>
    </row>
    <row r="10" spans="1:3" ht="14.4" customHeight="1" thickBot="1" x14ac:dyDescent="0.35">
      <c r="A10" s="290" t="s">
        <v>96</v>
      </c>
      <c r="B10" s="289"/>
    </row>
    <row r="11" spans="1:3" ht="14.4" customHeight="1" x14ac:dyDescent="0.3">
      <c r="A11" s="133" t="str">
        <f t="shared" ref="A11" si="1">HYPERLINK("#'"&amp;C11&amp;"'!A1",C11)</f>
        <v>Léky Žádanky</v>
      </c>
      <c r="B11" s="75" t="s">
        <v>123</v>
      </c>
      <c r="C11" s="47" t="s">
        <v>101</v>
      </c>
    </row>
    <row r="12" spans="1:3" ht="14.4" customHeight="1" x14ac:dyDescent="0.3">
      <c r="A12" s="131" t="str">
        <f t="shared" ref="A12:A18" si="2">HYPERLINK("#'"&amp;C12&amp;"'!A1",C12)</f>
        <v>LŽ Detail</v>
      </c>
      <c r="B12" s="76" t="s">
        <v>142</v>
      </c>
      <c r="C12" s="47" t="s">
        <v>102</v>
      </c>
    </row>
    <row r="13" spans="1:3" ht="28.8" customHeight="1" x14ac:dyDescent="0.3">
      <c r="A13" s="131" t="str">
        <f t="shared" si="2"/>
        <v>LŽ PL</v>
      </c>
      <c r="B13" s="442" t="s">
        <v>143</v>
      </c>
      <c r="C13" s="47" t="s">
        <v>129</v>
      </c>
    </row>
    <row r="14" spans="1:3" ht="14.4" customHeight="1" x14ac:dyDescent="0.3">
      <c r="A14" s="131" t="str">
        <f t="shared" si="2"/>
        <v>LŽ PL Detail</v>
      </c>
      <c r="B14" s="76" t="s">
        <v>480</v>
      </c>
      <c r="C14" s="47" t="s">
        <v>130</v>
      </c>
    </row>
    <row r="15" spans="1:3" ht="14.4" customHeight="1" x14ac:dyDescent="0.3">
      <c r="A15" s="131" t="str">
        <f t="shared" si="2"/>
        <v>LŽ Statim</v>
      </c>
      <c r="B15" s="276" t="s">
        <v>187</v>
      </c>
      <c r="C15" s="47" t="s">
        <v>197</v>
      </c>
    </row>
    <row r="16" spans="1:3" ht="14.4" customHeight="1" x14ac:dyDescent="0.3">
      <c r="A16" s="133" t="str">
        <f t="shared" ref="A16" si="3">HYPERLINK("#'"&amp;C16&amp;"'!A1",C16)</f>
        <v>Materiál Žádanky</v>
      </c>
      <c r="B16" s="76" t="s">
        <v>124</v>
      </c>
      <c r="C16" s="47" t="s">
        <v>103</v>
      </c>
    </row>
    <row r="17" spans="1:3" ht="14.4" customHeight="1" x14ac:dyDescent="0.3">
      <c r="A17" s="131" t="str">
        <f t="shared" si="2"/>
        <v>MŽ Detail</v>
      </c>
      <c r="B17" s="76" t="s">
        <v>977</v>
      </c>
      <c r="C17" s="47" t="s">
        <v>104</v>
      </c>
    </row>
    <row r="18" spans="1:3" ht="14.4" customHeight="1" thickBot="1" x14ac:dyDescent="0.35">
      <c r="A18" s="133" t="str">
        <f t="shared" si="2"/>
        <v>Osobní náklady</v>
      </c>
      <c r="B18" s="76" t="s">
        <v>93</v>
      </c>
      <c r="C18" s="47" t="s">
        <v>105</v>
      </c>
    </row>
    <row r="19" spans="1:3" ht="14.4" customHeight="1" thickBot="1" x14ac:dyDescent="0.35">
      <c r="A19" s="79"/>
      <c r="B19" s="79"/>
    </row>
    <row r="20" spans="1:3" ht="14.4" customHeight="1" thickBot="1" x14ac:dyDescent="0.35">
      <c r="A20" s="291" t="s">
        <v>97</v>
      </c>
      <c r="B20" s="289"/>
    </row>
    <row r="21" spans="1:3" ht="14.4" customHeight="1" x14ac:dyDescent="0.3">
      <c r="A21" s="134" t="str">
        <f t="shared" ref="A21:A25" si="4">HYPERLINK("#'"&amp;C21&amp;"'!A1",C21)</f>
        <v>ZV Vykáz.-A</v>
      </c>
      <c r="B21" s="75" t="s">
        <v>980</v>
      </c>
      <c r="C21" s="47" t="s">
        <v>108</v>
      </c>
    </row>
    <row r="22" spans="1:3" ht="14.4" customHeight="1" x14ac:dyDescent="0.3">
      <c r="A22" s="131" t="str">
        <f t="shared" ref="A22" si="5">HYPERLINK("#'"&amp;C22&amp;"'!A1",C22)</f>
        <v>ZV Vykáz.-A Lékaři</v>
      </c>
      <c r="B22" s="76" t="s">
        <v>985</v>
      </c>
      <c r="C22" s="47" t="s">
        <v>200</v>
      </c>
    </row>
    <row r="23" spans="1:3" ht="14.4" customHeight="1" x14ac:dyDescent="0.3">
      <c r="A23" s="131" t="str">
        <f t="shared" si="4"/>
        <v>ZV Vykáz.-A Detail</v>
      </c>
      <c r="B23" s="76" t="s">
        <v>1100</v>
      </c>
      <c r="C23" s="47" t="s">
        <v>109</v>
      </c>
    </row>
    <row r="24" spans="1:3" ht="14.4" customHeight="1" x14ac:dyDescent="0.3">
      <c r="A24" s="131" t="str">
        <f t="shared" si="4"/>
        <v>ZV Vykáz.-H</v>
      </c>
      <c r="B24" s="76" t="s">
        <v>112</v>
      </c>
      <c r="C24" s="47" t="s">
        <v>110</v>
      </c>
    </row>
    <row r="25" spans="1:3" ht="14.4" customHeight="1" x14ac:dyDescent="0.3">
      <c r="A25" s="131" t="str">
        <f t="shared" si="4"/>
        <v>ZV Vykáz.-H Detail</v>
      </c>
      <c r="B25" s="76" t="s">
        <v>1161</v>
      </c>
      <c r="C25" s="47" t="s">
        <v>111</v>
      </c>
    </row>
  </sheetData>
  <mergeCells count="4">
    <mergeCell ref="A3:B3"/>
    <mergeCell ref="A10:B10"/>
    <mergeCell ref="A20:B20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theme="0" tint="-0.249977111117893"/>
    <pageSetUpPr fitToPage="1"/>
  </sheetPr>
  <dimension ref="A1:M8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5.77734375" style="116" bestFit="1" customWidth="1"/>
    <col min="2" max="2" width="8.88671875" style="116" bestFit="1" customWidth="1"/>
    <col min="3" max="3" width="7" style="116" bestFit="1" customWidth="1"/>
    <col min="4" max="4" width="53.44140625" style="116" bestFit="1" customWidth="1"/>
    <col min="5" max="5" width="28.44140625" style="116" bestFit="1" customWidth="1"/>
    <col min="6" max="6" width="6.6640625" style="191" customWidth="1"/>
    <col min="7" max="7" width="10" style="191" customWidth="1"/>
    <col min="8" max="8" width="6.77734375" style="194" bestFit="1" customWidth="1"/>
    <col min="9" max="9" width="6.6640625" style="191" customWidth="1"/>
    <col min="10" max="10" width="10" style="191" customWidth="1"/>
    <col min="11" max="11" width="6.77734375" style="194" bestFit="1" customWidth="1"/>
    <col min="12" max="12" width="6.6640625" style="191" customWidth="1"/>
    <col min="13" max="13" width="10" style="191" customWidth="1"/>
    <col min="14" max="16384" width="8.88671875" style="116"/>
  </cols>
  <sheetData>
    <row r="1" spans="1:13" ht="18.600000000000001" customHeight="1" thickBot="1" x14ac:dyDescent="0.4">
      <c r="A1" s="330" t="s">
        <v>480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292"/>
      <c r="M1" s="292"/>
    </row>
    <row r="2" spans="1:13" ht="14.4" customHeight="1" thickBot="1" x14ac:dyDescent="0.35">
      <c r="A2" s="214" t="s">
        <v>229</v>
      </c>
      <c r="B2" s="190"/>
      <c r="C2" s="190"/>
      <c r="D2" s="190"/>
      <c r="E2" s="190"/>
      <c r="F2" s="198"/>
      <c r="G2" s="198"/>
      <c r="H2" s="199"/>
      <c r="I2" s="198"/>
      <c r="J2" s="198"/>
      <c r="K2" s="199"/>
      <c r="L2" s="198"/>
    </row>
    <row r="3" spans="1:13" ht="14.4" customHeight="1" thickBot="1" x14ac:dyDescent="0.35">
      <c r="E3" s="71" t="s">
        <v>113</v>
      </c>
      <c r="F3" s="43">
        <f>SUBTOTAL(9,F6:F1048576)</f>
        <v>1</v>
      </c>
      <c r="G3" s="43">
        <f>SUBTOTAL(9,G6:G1048576)</f>
        <v>128.07</v>
      </c>
      <c r="H3" s="44">
        <f>IF(M3=0,0,G3/M3)</f>
        <v>0.52963070179066207</v>
      </c>
      <c r="I3" s="43">
        <f>SUBTOTAL(9,I6:I1048576)</f>
        <v>2.2000000000000002</v>
      </c>
      <c r="J3" s="43">
        <f>SUBTOTAL(9,J6:J1048576)</f>
        <v>113.74</v>
      </c>
      <c r="K3" s="44">
        <f>IF(M3=0,0,J3/M3)</f>
        <v>0.47036929820933787</v>
      </c>
      <c r="L3" s="43">
        <f>SUBTOTAL(9,L6:L1048576)</f>
        <v>3.2</v>
      </c>
      <c r="M3" s="45">
        <f>SUBTOTAL(9,M6:M1048576)</f>
        <v>241.81</v>
      </c>
    </row>
    <row r="4" spans="1:13" ht="14.4" customHeight="1" thickBot="1" x14ac:dyDescent="0.35">
      <c r="A4" s="41"/>
      <c r="B4" s="41"/>
      <c r="C4" s="41"/>
      <c r="D4" s="41"/>
      <c r="E4" s="42"/>
      <c r="F4" s="334" t="s">
        <v>115</v>
      </c>
      <c r="G4" s="335"/>
      <c r="H4" s="336"/>
      <c r="I4" s="337" t="s">
        <v>114</v>
      </c>
      <c r="J4" s="335"/>
      <c r="K4" s="336"/>
      <c r="L4" s="338" t="s">
        <v>3</v>
      </c>
      <c r="M4" s="339"/>
    </row>
    <row r="5" spans="1:13" ht="14.4" customHeight="1" thickBot="1" x14ac:dyDescent="0.35">
      <c r="A5" s="429" t="s">
        <v>116</v>
      </c>
      <c r="B5" s="449" t="s">
        <v>117</v>
      </c>
      <c r="C5" s="449" t="s">
        <v>58</v>
      </c>
      <c r="D5" s="449" t="s">
        <v>118</v>
      </c>
      <c r="E5" s="449" t="s">
        <v>119</v>
      </c>
      <c r="F5" s="450" t="s">
        <v>15</v>
      </c>
      <c r="G5" s="450" t="s">
        <v>14</v>
      </c>
      <c r="H5" s="431" t="s">
        <v>120</v>
      </c>
      <c r="I5" s="430" t="s">
        <v>15</v>
      </c>
      <c r="J5" s="450" t="s">
        <v>14</v>
      </c>
      <c r="K5" s="431" t="s">
        <v>120</v>
      </c>
      <c r="L5" s="430" t="s">
        <v>15</v>
      </c>
      <c r="M5" s="451" t="s">
        <v>14</v>
      </c>
    </row>
    <row r="6" spans="1:13" ht="14.4" customHeight="1" x14ac:dyDescent="0.3">
      <c r="A6" s="411" t="s">
        <v>398</v>
      </c>
      <c r="B6" s="412" t="s">
        <v>473</v>
      </c>
      <c r="C6" s="412" t="s">
        <v>461</v>
      </c>
      <c r="D6" s="412" t="s">
        <v>474</v>
      </c>
      <c r="E6" s="412" t="s">
        <v>475</v>
      </c>
      <c r="F6" s="415"/>
      <c r="G6" s="415"/>
      <c r="H6" s="434">
        <v>0</v>
      </c>
      <c r="I6" s="415">
        <v>2</v>
      </c>
      <c r="J6" s="415">
        <v>70.179999999999993</v>
      </c>
      <c r="K6" s="434">
        <v>1</v>
      </c>
      <c r="L6" s="415">
        <v>2</v>
      </c>
      <c r="M6" s="416">
        <v>70.179999999999993</v>
      </c>
    </row>
    <row r="7" spans="1:13" ht="14.4" customHeight="1" x14ac:dyDescent="0.3">
      <c r="A7" s="417" t="s">
        <v>398</v>
      </c>
      <c r="B7" s="418" t="s">
        <v>476</v>
      </c>
      <c r="C7" s="418" t="s">
        <v>464</v>
      </c>
      <c r="D7" s="418" t="s">
        <v>465</v>
      </c>
      <c r="E7" s="418" t="s">
        <v>477</v>
      </c>
      <c r="F7" s="421"/>
      <c r="G7" s="421"/>
      <c r="H7" s="443">
        <v>0</v>
      </c>
      <c r="I7" s="421">
        <v>0.2</v>
      </c>
      <c r="J7" s="421">
        <v>43.56</v>
      </c>
      <c r="K7" s="443">
        <v>1</v>
      </c>
      <c r="L7" s="421">
        <v>0.2</v>
      </c>
      <c r="M7" s="422">
        <v>43.56</v>
      </c>
    </row>
    <row r="8" spans="1:13" ht="14.4" customHeight="1" thickBot="1" x14ac:dyDescent="0.35">
      <c r="A8" s="423" t="s">
        <v>398</v>
      </c>
      <c r="B8" s="424" t="s">
        <v>476</v>
      </c>
      <c r="C8" s="424" t="s">
        <v>445</v>
      </c>
      <c r="D8" s="424" t="s">
        <v>478</v>
      </c>
      <c r="E8" s="424" t="s">
        <v>479</v>
      </c>
      <c r="F8" s="427">
        <v>1</v>
      </c>
      <c r="G8" s="427">
        <v>128.07</v>
      </c>
      <c r="H8" s="435">
        <v>1</v>
      </c>
      <c r="I8" s="427"/>
      <c r="J8" s="427"/>
      <c r="K8" s="435">
        <v>0</v>
      </c>
      <c r="L8" s="427">
        <v>1</v>
      </c>
      <c r="M8" s="428">
        <v>128.07</v>
      </c>
    </row>
  </sheetData>
  <autoFilter ref="A5:M374"/>
  <mergeCells count="4">
    <mergeCell ref="F4:H4"/>
    <mergeCell ref="I4:K4"/>
    <mergeCell ref="L4:M4"/>
    <mergeCell ref="A1:M1"/>
  </mergeCells>
  <conditionalFormatting sqref="H3 H6:H1048576">
    <cfRule type="cellIs" dxfId="24" priority="4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7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280" customWidth="1"/>
    <col min="2" max="2" width="5.44140625" style="191" bestFit="1" customWidth="1"/>
    <col min="3" max="3" width="6.109375" style="191" bestFit="1" customWidth="1"/>
    <col min="4" max="4" width="7.44140625" style="191" bestFit="1" customWidth="1"/>
    <col min="5" max="5" width="6.21875" style="191" bestFit="1" customWidth="1"/>
    <col min="6" max="6" width="6.33203125" style="194" bestFit="1" customWidth="1"/>
    <col min="7" max="7" width="6.109375" style="194" bestFit="1" customWidth="1"/>
    <col min="8" max="8" width="7.44140625" style="194" bestFit="1" customWidth="1"/>
    <col min="9" max="9" width="6.21875" style="194" bestFit="1" customWidth="1"/>
    <col min="10" max="10" width="5.44140625" style="191" bestFit="1" customWidth="1"/>
    <col min="11" max="11" width="6.109375" style="191" bestFit="1" customWidth="1"/>
    <col min="12" max="12" width="7.44140625" style="191" bestFit="1" customWidth="1"/>
    <col min="13" max="13" width="6.21875" style="191" bestFit="1" customWidth="1"/>
    <col min="14" max="14" width="5.33203125" style="194" bestFit="1" customWidth="1"/>
    <col min="15" max="15" width="6.109375" style="194" bestFit="1" customWidth="1"/>
    <col min="16" max="16" width="7.44140625" style="194" bestFit="1" customWidth="1"/>
    <col min="17" max="17" width="6.21875" style="194" bestFit="1" customWidth="1"/>
    <col min="18" max="16384" width="8.88671875" style="116"/>
  </cols>
  <sheetData>
    <row r="1" spans="1:17" ht="18.600000000000001" customHeight="1" thickBot="1" x14ac:dyDescent="0.4">
      <c r="A1" s="330" t="s">
        <v>187</v>
      </c>
      <c r="B1" s="330"/>
      <c r="C1" s="330"/>
      <c r="D1" s="330"/>
      <c r="E1" s="330"/>
      <c r="F1" s="293"/>
      <c r="G1" s="293"/>
      <c r="H1" s="293"/>
      <c r="I1" s="293"/>
      <c r="J1" s="323"/>
      <c r="K1" s="323"/>
      <c r="L1" s="323"/>
      <c r="M1" s="323"/>
      <c r="N1" s="323"/>
      <c r="O1" s="323"/>
      <c r="P1" s="323"/>
      <c r="Q1" s="323"/>
    </row>
    <row r="2" spans="1:17" ht="14.4" customHeight="1" thickBot="1" x14ac:dyDescent="0.35">
      <c r="A2" s="214" t="s">
        <v>229</v>
      </c>
      <c r="B2" s="198"/>
      <c r="C2" s="198"/>
      <c r="D2" s="198"/>
      <c r="E2" s="198"/>
    </row>
    <row r="3" spans="1:17" ht="14.4" customHeight="1" thickBot="1" x14ac:dyDescent="0.35">
      <c r="A3" s="269" t="s">
        <v>3</v>
      </c>
      <c r="B3" s="273">
        <f>SUM(B6:B1048576)</f>
        <v>26</v>
      </c>
      <c r="C3" s="274">
        <f>SUM(C6:C1048576)</f>
        <v>0</v>
      </c>
      <c r="D3" s="274">
        <f>SUM(D6:D1048576)</f>
        <v>0</v>
      </c>
      <c r="E3" s="275">
        <f>SUM(E6:E1048576)</f>
        <v>0</v>
      </c>
      <c r="F3" s="272">
        <f>IF(SUM($B3:$E3)=0,"",B3/SUM($B3:$E3))</f>
        <v>1</v>
      </c>
      <c r="G3" s="270">
        <f t="shared" ref="G3:I3" si="0">IF(SUM($B3:$E3)=0,"",C3/SUM($B3:$E3))</f>
        <v>0</v>
      </c>
      <c r="H3" s="270">
        <f t="shared" si="0"/>
        <v>0</v>
      </c>
      <c r="I3" s="271">
        <f t="shared" si="0"/>
        <v>0</v>
      </c>
      <c r="J3" s="274">
        <f>SUM(J6:J1048576)</f>
        <v>17</v>
      </c>
      <c r="K3" s="274">
        <f>SUM(K6:K1048576)</f>
        <v>0</v>
      </c>
      <c r="L3" s="274">
        <f>SUM(L6:L1048576)</f>
        <v>0</v>
      </c>
      <c r="M3" s="275">
        <f>SUM(M6:M1048576)</f>
        <v>0</v>
      </c>
      <c r="N3" s="272">
        <f>IF(SUM($J3:$M3)=0,"",J3/SUM($J3:$M3))</f>
        <v>1</v>
      </c>
      <c r="O3" s="270">
        <f t="shared" ref="O3:Q3" si="1">IF(SUM($J3:$M3)=0,"",K3/SUM($J3:$M3))</f>
        <v>0</v>
      </c>
      <c r="P3" s="270">
        <f t="shared" si="1"/>
        <v>0</v>
      </c>
      <c r="Q3" s="271">
        <f t="shared" si="1"/>
        <v>0</v>
      </c>
    </row>
    <row r="4" spans="1:17" ht="14.4" customHeight="1" thickBot="1" x14ac:dyDescent="0.35">
      <c r="A4" s="268"/>
      <c r="B4" s="343" t="s">
        <v>189</v>
      </c>
      <c r="C4" s="344"/>
      <c r="D4" s="344"/>
      <c r="E4" s="345"/>
      <c r="F4" s="340" t="s">
        <v>194</v>
      </c>
      <c r="G4" s="341"/>
      <c r="H4" s="341"/>
      <c r="I4" s="342"/>
      <c r="J4" s="343" t="s">
        <v>195</v>
      </c>
      <c r="K4" s="344"/>
      <c r="L4" s="344"/>
      <c r="M4" s="345"/>
      <c r="N4" s="340" t="s">
        <v>196</v>
      </c>
      <c r="O4" s="341"/>
      <c r="P4" s="341"/>
      <c r="Q4" s="342"/>
    </row>
    <row r="5" spans="1:17" ht="14.4" customHeight="1" thickBot="1" x14ac:dyDescent="0.35">
      <c r="A5" s="452" t="s">
        <v>188</v>
      </c>
      <c r="B5" s="453" t="s">
        <v>190</v>
      </c>
      <c r="C5" s="453" t="s">
        <v>191</v>
      </c>
      <c r="D5" s="453" t="s">
        <v>192</v>
      </c>
      <c r="E5" s="454" t="s">
        <v>193</v>
      </c>
      <c r="F5" s="455" t="s">
        <v>190</v>
      </c>
      <c r="G5" s="456" t="s">
        <v>191</v>
      </c>
      <c r="H5" s="456" t="s">
        <v>192</v>
      </c>
      <c r="I5" s="457" t="s">
        <v>193</v>
      </c>
      <c r="J5" s="453" t="s">
        <v>190</v>
      </c>
      <c r="K5" s="453" t="s">
        <v>191</v>
      </c>
      <c r="L5" s="453" t="s">
        <v>192</v>
      </c>
      <c r="M5" s="454" t="s">
        <v>193</v>
      </c>
      <c r="N5" s="455" t="s">
        <v>190</v>
      </c>
      <c r="O5" s="456" t="s">
        <v>191</v>
      </c>
      <c r="P5" s="456" t="s">
        <v>192</v>
      </c>
      <c r="Q5" s="457" t="s">
        <v>193</v>
      </c>
    </row>
    <row r="6" spans="1:17" ht="14.4" customHeight="1" x14ac:dyDescent="0.3">
      <c r="A6" s="460" t="s">
        <v>481</v>
      </c>
      <c r="B6" s="464"/>
      <c r="C6" s="415"/>
      <c r="D6" s="415"/>
      <c r="E6" s="416"/>
      <c r="F6" s="462"/>
      <c r="G6" s="434"/>
      <c r="H6" s="434"/>
      <c r="I6" s="466"/>
      <c r="J6" s="464"/>
      <c r="K6" s="415"/>
      <c r="L6" s="415"/>
      <c r="M6" s="416"/>
      <c r="N6" s="462"/>
      <c r="O6" s="434"/>
      <c r="P6" s="434"/>
      <c r="Q6" s="458"/>
    </row>
    <row r="7" spans="1:17" ht="14.4" customHeight="1" thickBot="1" x14ac:dyDescent="0.35">
      <c r="A7" s="461" t="s">
        <v>482</v>
      </c>
      <c r="B7" s="465">
        <v>26</v>
      </c>
      <c r="C7" s="427"/>
      <c r="D7" s="427"/>
      <c r="E7" s="428"/>
      <c r="F7" s="463">
        <v>1</v>
      </c>
      <c r="G7" s="435">
        <v>0</v>
      </c>
      <c r="H7" s="435">
        <v>0</v>
      </c>
      <c r="I7" s="467">
        <v>0</v>
      </c>
      <c r="J7" s="465">
        <v>17</v>
      </c>
      <c r="K7" s="427"/>
      <c r="L7" s="427"/>
      <c r="M7" s="428"/>
      <c r="N7" s="463">
        <v>1</v>
      </c>
      <c r="O7" s="435">
        <v>0</v>
      </c>
      <c r="P7" s="435">
        <v>0</v>
      </c>
      <c r="Q7" s="459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23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24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192" customWidth="1"/>
    <col min="2" max="2" width="61.109375" style="192" customWidth="1"/>
    <col min="3" max="3" width="9.5546875" style="116" customWidth="1"/>
    <col min="4" max="4" width="9.5546875" style="193" customWidth="1"/>
    <col min="5" max="5" width="2.21875" style="193" customWidth="1"/>
    <col min="6" max="6" width="9.5546875" style="194" customWidth="1"/>
    <col min="7" max="7" width="9.5546875" style="191" customWidth="1"/>
    <col min="8" max="9" width="9.5546875" style="116" customWidth="1"/>
    <col min="10" max="10" width="0" style="116" hidden="1" customWidth="1"/>
    <col min="11" max="16384" width="8.88671875" style="116"/>
  </cols>
  <sheetData>
    <row r="1" spans="1:10" ht="18.600000000000001" customHeight="1" thickBot="1" x14ac:dyDescent="0.4">
      <c r="A1" s="321" t="s">
        <v>124</v>
      </c>
      <c r="B1" s="322"/>
      <c r="C1" s="322"/>
      <c r="D1" s="322"/>
      <c r="E1" s="322"/>
      <c r="F1" s="322"/>
      <c r="G1" s="293"/>
      <c r="H1" s="323"/>
      <c r="I1" s="323"/>
    </row>
    <row r="2" spans="1:10" ht="14.4" customHeight="1" thickBot="1" x14ac:dyDescent="0.35">
      <c r="A2" s="214" t="s">
        <v>229</v>
      </c>
      <c r="B2" s="190"/>
      <c r="C2" s="190"/>
      <c r="D2" s="190"/>
      <c r="E2" s="190"/>
      <c r="F2" s="190"/>
    </row>
    <row r="3" spans="1:10" ht="14.4" customHeight="1" thickBot="1" x14ac:dyDescent="0.35">
      <c r="A3" s="214"/>
      <c r="B3" s="190"/>
      <c r="C3" s="260">
        <v>2014</v>
      </c>
      <c r="D3" s="261">
        <v>2015</v>
      </c>
      <c r="E3" s="7"/>
      <c r="F3" s="316">
        <v>2016</v>
      </c>
      <c r="G3" s="317"/>
      <c r="H3" s="317"/>
      <c r="I3" s="318"/>
    </row>
    <row r="4" spans="1:10" ht="14.4" customHeight="1" thickBot="1" x14ac:dyDescent="0.35">
      <c r="A4" s="265" t="s">
        <v>0</v>
      </c>
      <c r="B4" s="266" t="s">
        <v>186</v>
      </c>
      <c r="C4" s="319" t="s">
        <v>60</v>
      </c>
      <c r="D4" s="320"/>
      <c r="E4" s="267"/>
      <c r="F4" s="262" t="s">
        <v>60</v>
      </c>
      <c r="G4" s="263" t="s">
        <v>61</v>
      </c>
      <c r="H4" s="263" t="s">
        <v>55</v>
      </c>
      <c r="I4" s="264" t="s">
        <v>62</v>
      </c>
    </row>
    <row r="5" spans="1:10" ht="14.4" customHeight="1" x14ac:dyDescent="0.3">
      <c r="A5" s="399" t="s">
        <v>393</v>
      </c>
      <c r="B5" s="400" t="s">
        <v>394</v>
      </c>
      <c r="C5" s="401" t="s">
        <v>395</v>
      </c>
      <c r="D5" s="401" t="s">
        <v>395</v>
      </c>
      <c r="E5" s="401"/>
      <c r="F5" s="401" t="s">
        <v>395</v>
      </c>
      <c r="G5" s="401" t="s">
        <v>395</v>
      </c>
      <c r="H5" s="401" t="s">
        <v>395</v>
      </c>
      <c r="I5" s="402" t="s">
        <v>395</v>
      </c>
      <c r="J5" s="403" t="s">
        <v>56</v>
      </c>
    </row>
    <row r="6" spans="1:10" ht="14.4" customHeight="1" x14ac:dyDescent="0.3">
      <c r="A6" s="399" t="s">
        <v>393</v>
      </c>
      <c r="B6" s="400" t="s">
        <v>242</v>
      </c>
      <c r="C6" s="401">
        <v>2693.4798300000102</v>
      </c>
      <c r="D6" s="401">
        <v>3039.3741200000004</v>
      </c>
      <c r="E6" s="401"/>
      <c r="F6" s="401">
        <v>3440.8294500000002</v>
      </c>
      <c r="G6" s="401">
        <v>3116.6675257935167</v>
      </c>
      <c r="H6" s="401">
        <v>324.16192420648349</v>
      </c>
      <c r="I6" s="402">
        <v>1.1040091448714764</v>
      </c>
      <c r="J6" s="403" t="s">
        <v>1</v>
      </c>
    </row>
    <row r="7" spans="1:10" ht="14.4" customHeight="1" x14ac:dyDescent="0.3">
      <c r="A7" s="399" t="s">
        <v>393</v>
      </c>
      <c r="B7" s="400" t="s">
        <v>243</v>
      </c>
      <c r="C7" s="401">
        <v>20.31598</v>
      </c>
      <c r="D7" s="401">
        <v>28.96537</v>
      </c>
      <c r="E7" s="401"/>
      <c r="F7" s="401">
        <v>20.694130000000001</v>
      </c>
      <c r="G7" s="401">
        <v>16.666671260927831</v>
      </c>
      <c r="H7" s="401">
        <v>4.0274587390721699</v>
      </c>
      <c r="I7" s="402">
        <v>1.2416474577328385</v>
      </c>
      <c r="J7" s="403" t="s">
        <v>1</v>
      </c>
    </row>
    <row r="8" spans="1:10" ht="14.4" customHeight="1" x14ac:dyDescent="0.3">
      <c r="A8" s="399" t="s">
        <v>393</v>
      </c>
      <c r="B8" s="400" t="s">
        <v>244</v>
      </c>
      <c r="C8" s="401">
        <v>1.92862</v>
      </c>
      <c r="D8" s="401">
        <v>2.24674</v>
      </c>
      <c r="E8" s="401"/>
      <c r="F8" s="401">
        <v>2.4207200000000002</v>
      </c>
      <c r="G8" s="401">
        <v>3.0000008269669998</v>
      </c>
      <c r="H8" s="401">
        <v>-0.57928082696699956</v>
      </c>
      <c r="I8" s="402">
        <v>0.80690644423833302</v>
      </c>
      <c r="J8" s="403" t="s">
        <v>1</v>
      </c>
    </row>
    <row r="9" spans="1:10" ht="14.4" customHeight="1" x14ac:dyDescent="0.3">
      <c r="A9" s="399" t="s">
        <v>393</v>
      </c>
      <c r="B9" s="400" t="s">
        <v>245</v>
      </c>
      <c r="C9" s="401">
        <v>17.006</v>
      </c>
      <c r="D9" s="401">
        <v>8.9676100000000005</v>
      </c>
      <c r="E9" s="401"/>
      <c r="F9" s="401">
        <v>7.3175600000000003</v>
      </c>
      <c r="G9" s="401">
        <v>17.6666715365835</v>
      </c>
      <c r="H9" s="401">
        <v>-10.3491115365835</v>
      </c>
      <c r="I9" s="402">
        <v>0.41420139525699923</v>
      </c>
      <c r="J9" s="403" t="s">
        <v>1</v>
      </c>
    </row>
    <row r="10" spans="1:10" ht="14.4" customHeight="1" x14ac:dyDescent="0.3">
      <c r="A10" s="399" t="s">
        <v>393</v>
      </c>
      <c r="B10" s="400" t="s">
        <v>246</v>
      </c>
      <c r="C10" s="401">
        <v>9.2999999999999999E-2</v>
      </c>
      <c r="D10" s="401">
        <v>0.14100000000000001</v>
      </c>
      <c r="E10" s="401"/>
      <c r="F10" s="401">
        <v>0.17499999999999999</v>
      </c>
      <c r="G10" s="401">
        <v>0.16666671260916666</v>
      </c>
      <c r="H10" s="401">
        <v>8.3332873908333327E-3</v>
      </c>
      <c r="I10" s="402">
        <v>1.0499997105623298</v>
      </c>
      <c r="J10" s="403" t="s">
        <v>1</v>
      </c>
    </row>
    <row r="11" spans="1:10" ht="14.4" customHeight="1" x14ac:dyDescent="0.3">
      <c r="A11" s="399" t="s">
        <v>393</v>
      </c>
      <c r="B11" s="400" t="s">
        <v>247</v>
      </c>
      <c r="C11" s="401">
        <v>2.9359999999999999</v>
      </c>
      <c r="D11" s="401">
        <v>2.13</v>
      </c>
      <c r="E11" s="401"/>
      <c r="F11" s="401">
        <v>2.4139999999999997</v>
      </c>
      <c r="G11" s="401">
        <v>4.6666679530596662</v>
      </c>
      <c r="H11" s="401">
        <v>-2.2526679530596665</v>
      </c>
      <c r="I11" s="402">
        <v>0.51728557169302747</v>
      </c>
      <c r="J11" s="403" t="s">
        <v>1</v>
      </c>
    </row>
    <row r="12" spans="1:10" ht="14.4" customHeight="1" x14ac:dyDescent="0.3">
      <c r="A12" s="399" t="s">
        <v>393</v>
      </c>
      <c r="B12" s="400" t="s">
        <v>396</v>
      </c>
      <c r="C12" s="401">
        <v>2735.7594300000101</v>
      </c>
      <c r="D12" s="401">
        <v>3081.8248400000007</v>
      </c>
      <c r="E12" s="401"/>
      <c r="F12" s="401">
        <v>3473.8508600000005</v>
      </c>
      <c r="G12" s="401">
        <v>3158.8342040836637</v>
      </c>
      <c r="H12" s="401">
        <v>315.01665591633673</v>
      </c>
      <c r="I12" s="402">
        <v>1.099725606209117</v>
      </c>
      <c r="J12" s="403" t="s">
        <v>397</v>
      </c>
    </row>
    <row r="14" spans="1:10" ht="14.4" customHeight="1" x14ac:dyDescent="0.3">
      <c r="A14" s="399" t="s">
        <v>393</v>
      </c>
      <c r="B14" s="400" t="s">
        <v>394</v>
      </c>
      <c r="C14" s="401" t="s">
        <v>395</v>
      </c>
      <c r="D14" s="401" t="s">
        <v>395</v>
      </c>
      <c r="E14" s="401"/>
      <c r="F14" s="401" t="s">
        <v>395</v>
      </c>
      <c r="G14" s="401" t="s">
        <v>395</v>
      </c>
      <c r="H14" s="401" t="s">
        <v>395</v>
      </c>
      <c r="I14" s="402" t="s">
        <v>395</v>
      </c>
      <c r="J14" s="403" t="s">
        <v>56</v>
      </c>
    </row>
    <row r="15" spans="1:10" ht="14.4" customHeight="1" x14ac:dyDescent="0.3">
      <c r="A15" s="399" t="s">
        <v>398</v>
      </c>
      <c r="B15" s="400" t="s">
        <v>399</v>
      </c>
      <c r="C15" s="401" t="s">
        <v>395</v>
      </c>
      <c r="D15" s="401" t="s">
        <v>395</v>
      </c>
      <c r="E15" s="401"/>
      <c r="F15" s="401" t="s">
        <v>395</v>
      </c>
      <c r="G15" s="401" t="s">
        <v>395</v>
      </c>
      <c r="H15" s="401" t="s">
        <v>395</v>
      </c>
      <c r="I15" s="402" t="s">
        <v>395</v>
      </c>
      <c r="J15" s="403" t="s">
        <v>0</v>
      </c>
    </row>
    <row r="16" spans="1:10" ht="14.4" customHeight="1" x14ac:dyDescent="0.3">
      <c r="A16" s="399" t="s">
        <v>398</v>
      </c>
      <c r="B16" s="400" t="s">
        <v>242</v>
      </c>
      <c r="C16" s="401">
        <v>2693.4798300000102</v>
      </c>
      <c r="D16" s="401">
        <v>3039.3741200000004</v>
      </c>
      <c r="E16" s="401"/>
      <c r="F16" s="401">
        <v>3440.8294500000002</v>
      </c>
      <c r="G16" s="401">
        <v>3116.6675257935167</v>
      </c>
      <c r="H16" s="401">
        <v>324.16192420648349</v>
      </c>
      <c r="I16" s="402">
        <v>1.1040091448714764</v>
      </c>
      <c r="J16" s="403" t="s">
        <v>1</v>
      </c>
    </row>
    <row r="17" spans="1:10" ht="14.4" customHeight="1" x14ac:dyDescent="0.3">
      <c r="A17" s="399" t="s">
        <v>398</v>
      </c>
      <c r="B17" s="400" t="s">
        <v>243</v>
      </c>
      <c r="C17" s="401">
        <v>20.31598</v>
      </c>
      <c r="D17" s="401">
        <v>28.96537</v>
      </c>
      <c r="E17" s="401"/>
      <c r="F17" s="401">
        <v>20.694130000000001</v>
      </c>
      <c r="G17" s="401">
        <v>16.666671260927831</v>
      </c>
      <c r="H17" s="401">
        <v>4.0274587390721699</v>
      </c>
      <c r="I17" s="402">
        <v>1.2416474577328385</v>
      </c>
      <c r="J17" s="403" t="s">
        <v>1</v>
      </c>
    </row>
    <row r="18" spans="1:10" ht="14.4" customHeight="1" x14ac:dyDescent="0.3">
      <c r="A18" s="399" t="s">
        <v>398</v>
      </c>
      <c r="B18" s="400" t="s">
        <v>244</v>
      </c>
      <c r="C18" s="401">
        <v>1.92862</v>
      </c>
      <c r="D18" s="401">
        <v>2.24674</v>
      </c>
      <c r="E18" s="401"/>
      <c r="F18" s="401">
        <v>2.4207200000000002</v>
      </c>
      <c r="G18" s="401">
        <v>3.0000008269669998</v>
      </c>
      <c r="H18" s="401">
        <v>-0.57928082696699956</v>
      </c>
      <c r="I18" s="402">
        <v>0.80690644423833302</v>
      </c>
      <c r="J18" s="403" t="s">
        <v>1</v>
      </c>
    </row>
    <row r="19" spans="1:10" ht="14.4" customHeight="1" x14ac:dyDescent="0.3">
      <c r="A19" s="399" t="s">
        <v>398</v>
      </c>
      <c r="B19" s="400" t="s">
        <v>245</v>
      </c>
      <c r="C19" s="401">
        <v>17.006</v>
      </c>
      <c r="D19" s="401">
        <v>8.9676100000000005</v>
      </c>
      <c r="E19" s="401"/>
      <c r="F19" s="401">
        <v>7.3175600000000003</v>
      </c>
      <c r="G19" s="401">
        <v>17.6666715365835</v>
      </c>
      <c r="H19" s="401">
        <v>-10.3491115365835</v>
      </c>
      <c r="I19" s="402">
        <v>0.41420139525699923</v>
      </c>
      <c r="J19" s="403" t="s">
        <v>1</v>
      </c>
    </row>
    <row r="20" spans="1:10" ht="14.4" customHeight="1" x14ac:dyDescent="0.3">
      <c r="A20" s="399" t="s">
        <v>398</v>
      </c>
      <c r="B20" s="400" t="s">
        <v>246</v>
      </c>
      <c r="C20" s="401">
        <v>9.2999999999999999E-2</v>
      </c>
      <c r="D20" s="401">
        <v>0.14100000000000001</v>
      </c>
      <c r="E20" s="401"/>
      <c r="F20" s="401">
        <v>0.17499999999999999</v>
      </c>
      <c r="G20" s="401">
        <v>0.16666671260916666</v>
      </c>
      <c r="H20" s="401">
        <v>8.3332873908333327E-3</v>
      </c>
      <c r="I20" s="402">
        <v>1.0499997105623298</v>
      </c>
      <c r="J20" s="403" t="s">
        <v>1</v>
      </c>
    </row>
    <row r="21" spans="1:10" ht="14.4" customHeight="1" x14ac:dyDescent="0.3">
      <c r="A21" s="399" t="s">
        <v>398</v>
      </c>
      <c r="B21" s="400" t="s">
        <v>247</v>
      </c>
      <c r="C21" s="401">
        <v>2.9359999999999999</v>
      </c>
      <c r="D21" s="401">
        <v>2.13</v>
      </c>
      <c r="E21" s="401"/>
      <c r="F21" s="401">
        <v>2.4139999999999997</v>
      </c>
      <c r="G21" s="401">
        <v>4.6666679530596662</v>
      </c>
      <c r="H21" s="401">
        <v>-2.2526679530596665</v>
      </c>
      <c r="I21" s="402">
        <v>0.51728557169302747</v>
      </c>
      <c r="J21" s="403" t="s">
        <v>1</v>
      </c>
    </row>
    <row r="22" spans="1:10" ht="14.4" customHeight="1" x14ac:dyDescent="0.3">
      <c r="A22" s="399" t="s">
        <v>398</v>
      </c>
      <c r="B22" s="400" t="s">
        <v>400</v>
      </c>
      <c r="C22" s="401">
        <v>2735.7594300000101</v>
      </c>
      <c r="D22" s="401">
        <v>3081.8248400000007</v>
      </c>
      <c r="E22" s="401"/>
      <c r="F22" s="401">
        <v>3473.8508600000005</v>
      </c>
      <c r="G22" s="401">
        <v>3158.8342040836637</v>
      </c>
      <c r="H22" s="401">
        <v>315.01665591633673</v>
      </c>
      <c r="I22" s="402">
        <v>1.099725606209117</v>
      </c>
      <c r="J22" s="403" t="s">
        <v>401</v>
      </c>
    </row>
    <row r="23" spans="1:10" ht="14.4" customHeight="1" x14ac:dyDescent="0.3">
      <c r="A23" s="399" t="s">
        <v>395</v>
      </c>
      <c r="B23" s="400" t="s">
        <v>395</v>
      </c>
      <c r="C23" s="401" t="s">
        <v>395</v>
      </c>
      <c r="D23" s="401" t="s">
        <v>395</v>
      </c>
      <c r="E23" s="401"/>
      <c r="F23" s="401" t="s">
        <v>395</v>
      </c>
      <c r="G23" s="401" t="s">
        <v>395</v>
      </c>
      <c r="H23" s="401" t="s">
        <v>395</v>
      </c>
      <c r="I23" s="402" t="s">
        <v>395</v>
      </c>
      <c r="J23" s="403" t="s">
        <v>402</v>
      </c>
    </row>
    <row r="24" spans="1:10" ht="14.4" customHeight="1" x14ac:dyDescent="0.3">
      <c r="A24" s="399" t="s">
        <v>393</v>
      </c>
      <c r="B24" s="400" t="s">
        <v>396</v>
      </c>
      <c r="C24" s="401">
        <v>2735.7594300000101</v>
      </c>
      <c r="D24" s="401">
        <v>3081.8248400000007</v>
      </c>
      <c r="E24" s="401"/>
      <c r="F24" s="401">
        <v>3473.8508600000005</v>
      </c>
      <c r="G24" s="401">
        <v>3158.8342040836637</v>
      </c>
      <c r="H24" s="401">
        <v>315.01665591633673</v>
      </c>
      <c r="I24" s="402">
        <v>1.099725606209117</v>
      </c>
      <c r="J24" s="403" t="s">
        <v>397</v>
      </c>
    </row>
  </sheetData>
  <mergeCells count="3">
    <mergeCell ref="A1:I1"/>
    <mergeCell ref="F3:I3"/>
    <mergeCell ref="C4:D4"/>
  </mergeCells>
  <conditionalFormatting sqref="F13 F25:F65537">
    <cfRule type="cellIs" dxfId="22" priority="18" stopIfTrue="1" operator="greaterThan">
      <formula>1</formula>
    </cfRule>
  </conditionalFormatting>
  <conditionalFormatting sqref="H5:H12">
    <cfRule type="expression" dxfId="21" priority="14">
      <formula>$H5&gt;0</formula>
    </cfRule>
  </conditionalFormatting>
  <conditionalFormatting sqref="I5:I12">
    <cfRule type="expression" dxfId="20" priority="15">
      <formula>$I5&gt;1</formula>
    </cfRule>
  </conditionalFormatting>
  <conditionalFormatting sqref="B5:B12">
    <cfRule type="expression" dxfId="19" priority="11">
      <formula>OR($J5="NS",$J5="SumaNS",$J5="Účet")</formula>
    </cfRule>
  </conditionalFormatting>
  <conditionalFormatting sqref="F5:I12 B5:D12">
    <cfRule type="expression" dxfId="18" priority="17">
      <formula>AND($J5&lt;&gt;"",$J5&lt;&gt;"mezeraKL")</formula>
    </cfRule>
  </conditionalFormatting>
  <conditionalFormatting sqref="B5:D12 F5:I12">
    <cfRule type="expression" dxfId="17" priority="12">
      <formula>OR($J5="KL",$J5="SumaKL")</formula>
    </cfRule>
    <cfRule type="expression" priority="16" stopIfTrue="1">
      <formula>OR($J5="mezeraNS",$J5="mezeraKL")</formula>
    </cfRule>
  </conditionalFormatting>
  <conditionalFormatting sqref="B5:D12 F5:I12">
    <cfRule type="expression" dxfId="16" priority="13">
      <formula>OR($J5="SumaNS",$J5="NS")</formula>
    </cfRule>
  </conditionalFormatting>
  <conditionalFormatting sqref="A5:A12">
    <cfRule type="expression" dxfId="15" priority="9">
      <formula>AND($J5&lt;&gt;"mezeraKL",$J5&lt;&gt;"")</formula>
    </cfRule>
  </conditionalFormatting>
  <conditionalFormatting sqref="A5:A12">
    <cfRule type="expression" dxfId="14" priority="10">
      <formula>AND($J5&lt;&gt;"",$J5&lt;&gt;"mezeraKL")</formula>
    </cfRule>
  </conditionalFormatting>
  <conditionalFormatting sqref="H14:H24">
    <cfRule type="expression" dxfId="13" priority="5">
      <formula>$H14&gt;0</formula>
    </cfRule>
  </conditionalFormatting>
  <conditionalFormatting sqref="A14:A24">
    <cfRule type="expression" dxfId="12" priority="2">
      <formula>AND($J14&lt;&gt;"mezeraKL",$J14&lt;&gt;"")</formula>
    </cfRule>
  </conditionalFormatting>
  <conditionalFormatting sqref="I14:I24">
    <cfRule type="expression" dxfId="11" priority="6">
      <formula>$I14&gt;1</formula>
    </cfRule>
  </conditionalFormatting>
  <conditionalFormatting sqref="B14:B24">
    <cfRule type="expression" dxfId="10" priority="1">
      <formula>OR($J14="NS",$J14="SumaNS",$J14="Účet")</formula>
    </cfRule>
  </conditionalFormatting>
  <conditionalFormatting sqref="A14:D24 F14:I24">
    <cfRule type="expression" dxfId="9" priority="8">
      <formula>AND($J14&lt;&gt;"",$J14&lt;&gt;"mezeraKL")</formula>
    </cfRule>
  </conditionalFormatting>
  <conditionalFormatting sqref="B14:D24 F14:I24">
    <cfRule type="expression" dxfId="8" priority="3">
      <formula>OR($J14="KL",$J14="SumaKL")</formula>
    </cfRule>
    <cfRule type="expression" priority="7" stopIfTrue="1">
      <formula>OR($J14="mezeraNS",$J14="mezeraKL")</formula>
    </cfRule>
  </conditionalFormatting>
  <conditionalFormatting sqref="B14:D24 F14:I24">
    <cfRule type="expression" dxfId="7" priority="4">
      <formula>OR($J14="SumaNS",$J14="NS")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245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116" hidden="1" customWidth="1" outlineLevel="1"/>
    <col min="2" max="2" width="28.33203125" style="116" hidden="1" customWidth="1" outlineLevel="1"/>
    <col min="3" max="3" width="5.33203125" style="193" bestFit="1" customWidth="1" collapsed="1"/>
    <col min="4" max="4" width="18.77734375" style="197" customWidth="1"/>
    <col min="5" max="5" width="9" style="193" bestFit="1" customWidth="1"/>
    <col min="6" max="6" width="18.77734375" style="197" customWidth="1"/>
    <col min="7" max="7" width="12.44140625" style="193" hidden="1" customWidth="1" outlineLevel="1"/>
    <col min="8" max="8" width="25.77734375" style="193" customWidth="1" collapsed="1"/>
    <col min="9" max="9" width="7.77734375" style="191" customWidth="1"/>
    <col min="10" max="10" width="10" style="191" customWidth="1"/>
    <col min="11" max="11" width="11.109375" style="191" customWidth="1"/>
    <col min="12" max="16384" width="8.88671875" style="116"/>
  </cols>
  <sheetData>
    <row r="1" spans="1:11" ht="18.600000000000001" customHeight="1" thickBot="1" x14ac:dyDescent="0.4">
      <c r="A1" s="328" t="s">
        <v>977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</row>
    <row r="2" spans="1:11" ht="14.4" customHeight="1" thickBot="1" x14ac:dyDescent="0.35">
      <c r="A2" s="214" t="s">
        <v>229</v>
      </c>
      <c r="B2" s="62"/>
      <c r="C2" s="195"/>
      <c r="D2" s="195"/>
      <c r="E2" s="195"/>
      <c r="F2" s="195"/>
      <c r="G2" s="195"/>
      <c r="H2" s="195"/>
      <c r="I2" s="196"/>
      <c r="J2" s="196"/>
      <c r="K2" s="196"/>
    </row>
    <row r="3" spans="1:11" ht="14.4" customHeight="1" thickBot="1" x14ac:dyDescent="0.35">
      <c r="A3" s="62"/>
      <c r="B3" s="62"/>
      <c r="C3" s="324"/>
      <c r="D3" s="325"/>
      <c r="E3" s="325"/>
      <c r="F3" s="325"/>
      <c r="G3" s="325"/>
      <c r="H3" s="128" t="s">
        <v>113</v>
      </c>
      <c r="I3" s="84">
        <f>IF(J3&lt;&gt;0,K3/J3,0)</f>
        <v>48.736761858819094</v>
      </c>
      <c r="J3" s="84">
        <f>SUBTOTAL(9,J5:J1048576)</f>
        <v>71354.959999999992</v>
      </c>
      <c r="K3" s="85">
        <f>SUBTOTAL(9,K5:K1048576)</f>
        <v>3477609.6929655615</v>
      </c>
    </row>
    <row r="4" spans="1:11" s="192" customFormat="1" ht="14.4" customHeight="1" thickBot="1" x14ac:dyDescent="0.35">
      <c r="A4" s="404" t="s">
        <v>4</v>
      </c>
      <c r="B4" s="405" t="s">
        <v>5</v>
      </c>
      <c r="C4" s="405" t="s">
        <v>0</v>
      </c>
      <c r="D4" s="405" t="s">
        <v>6</v>
      </c>
      <c r="E4" s="405" t="s">
        <v>7</v>
      </c>
      <c r="F4" s="405" t="s">
        <v>1</v>
      </c>
      <c r="G4" s="405" t="s">
        <v>58</v>
      </c>
      <c r="H4" s="406" t="s">
        <v>11</v>
      </c>
      <c r="I4" s="407" t="s">
        <v>127</v>
      </c>
      <c r="J4" s="407" t="s">
        <v>13</v>
      </c>
      <c r="K4" s="408" t="s">
        <v>138</v>
      </c>
    </row>
    <row r="5" spans="1:11" ht="14.4" customHeight="1" x14ac:dyDescent="0.3">
      <c r="A5" s="411" t="s">
        <v>393</v>
      </c>
      <c r="B5" s="412" t="s">
        <v>394</v>
      </c>
      <c r="C5" s="413" t="s">
        <v>398</v>
      </c>
      <c r="D5" s="414" t="s">
        <v>467</v>
      </c>
      <c r="E5" s="413" t="s">
        <v>965</v>
      </c>
      <c r="F5" s="414" t="s">
        <v>966</v>
      </c>
      <c r="G5" s="413" t="s">
        <v>483</v>
      </c>
      <c r="H5" s="413" t="s">
        <v>484</v>
      </c>
      <c r="I5" s="415">
        <v>28.73</v>
      </c>
      <c r="J5" s="415">
        <v>80</v>
      </c>
      <c r="K5" s="416">
        <v>2298.4</v>
      </c>
    </row>
    <row r="6" spans="1:11" ht="14.4" customHeight="1" x14ac:dyDescent="0.3">
      <c r="A6" s="417" t="s">
        <v>393</v>
      </c>
      <c r="B6" s="418" t="s">
        <v>394</v>
      </c>
      <c r="C6" s="419" t="s">
        <v>398</v>
      </c>
      <c r="D6" s="420" t="s">
        <v>467</v>
      </c>
      <c r="E6" s="419" t="s">
        <v>965</v>
      </c>
      <c r="F6" s="420" t="s">
        <v>966</v>
      </c>
      <c r="G6" s="419" t="s">
        <v>485</v>
      </c>
      <c r="H6" s="419" t="s">
        <v>486</v>
      </c>
      <c r="I6" s="421">
        <v>15.03</v>
      </c>
      <c r="J6" s="421">
        <v>1</v>
      </c>
      <c r="K6" s="422">
        <v>15.03</v>
      </c>
    </row>
    <row r="7" spans="1:11" ht="14.4" customHeight="1" x14ac:dyDescent="0.3">
      <c r="A7" s="417" t="s">
        <v>393</v>
      </c>
      <c r="B7" s="418" t="s">
        <v>394</v>
      </c>
      <c r="C7" s="419" t="s">
        <v>398</v>
      </c>
      <c r="D7" s="420" t="s">
        <v>467</v>
      </c>
      <c r="E7" s="419" t="s">
        <v>965</v>
      </c>
      <c r="F7" s="420" t="s">
        <v>966</v>
      </c>
      <c r="G7" s="419" t="s">
        <v>487</v>
      </c>
      <c r="H7" s="419" t="s">
        <v>488</v>
      </c>
      <c r="I7" s="421">
        <v>13.02</v>
      </c>
      <c r="J7" s="421">
        <v>1</v>
      </c>
      <c r="K7" s="422">
        <v>13.02</v>
      </c>
    </row>
    <row r="8" spans="1:11" ht="14.4" customHeight="1" x14ac:dyDescent="0.3">
      <c r="A8" s="417" t="s">
        <v>393</v>
      </c>
      <c r="B8" s="418" t="s">
        <v>394</v>
      </c>
      <c r="C8" s="419" t="s">
        <v>398</v>
      </c>
      <c r="D8" s="420" t="s">
        <v>467</v>
      </c>
      <c r="E8" s="419" t="s">
        <v>965</v>
      </c>
      <c r="F8" s="420" t="s">
        <v>966</v>
      </c>
      <c r="G8" s="419" t="s">
        <v>489</v>
      </c>
      <c r="H8" s="419" t="s">
        <v>490</v>
      </c>
      <c r="I8" s="421">
        <v>11.74</v>
      </c>
      <c r="J8" s="421">
        <v>2</v>
      </c>
      <c r="K8" s="422">
        <v>23.48</v>
      </c>
    </row>
    <row r="9" spans="1:11" ht="14.4" customHeight="1" x14ac:dyDescent="0.3">
      <c r="A9" s="417" t="s">
        <v>393</v>
      </c>
      <c r="B9" s="418" t="s">
        <v>394</v>
      </c>
      <c r="C9" s="419" t="s">
        <v>398</v>
      </c>
      <c r="D9" s="420" t="s">
        <v>467</v>
      </c>
      <c r="E9" s="419" t="s">
        <v>965</v>
      </c>
      <c r="F9" s="420" t="s">
        <v>966</v>
      </c>
      <c r="G9" s="419" t="s">
        <v>491</v>
      </c>
      <c r="H9" s="419" t="s">
        <v>492</v>
      </c>
      <c r="I9" s="421">
        <v>14.09</v>
      </c>
      <c r="J9" s="421">
        <v>2</v>
      </c>
      <c r="K9" s="422">
        <v>28.18</v>
      </c>
    </row>
    <row r="10" spans="1:11" ht="14.4" customHeight="1" x14ac:dyDescent="0.3">
      <c r="A10" s="417" t="s">
        <v>393</v>
      </c>
      <c r="B10" s="418" t="s">
        <v>394</v>
      </c>
      <c r="C10" s="419" t="s">
        <v>398</v>
      </c>
      <c r="D10" s="420" t="s">
        <v>467</v>
      </c>
      <c r="E10" s="419" t="s">
        <v>965</v>
      </c>
      <c r="F10" s="420" t="s">
        <v>966</v>
      </c>
      <c r="G10" s="419" t="s">
        <v>493</v>
      </c>
      <c r="H10" s="419" t="s">
        <v>494</v>
      </c>
      <c r="I10" s="421">
        <v>7.1</v>
      </c>
      <c r="J10" s="421">
        <v>2</v>
      </c>
      <c r="K10" s="422">
        <v>14.2</v>
      </c>
    </row>
    <row r="11" spans="1:11" ht="14.4" customHeight="1" x14ac:dyDescent="0.3">
      <c r="A11" s="417" t="s">
        <v>393</v>
      </c>
      <c r="B11" s="418" t="s">
        <v>394</v>
      </c>
      <c r="C11" s="419" t="s">
        <v>398</v>
      </c>
      <c r="D11" s="420" t="s">
        <v>467</v>
      </c>
      <c r="E11" s="419" t="s">
        <v>965</v>
      </c>
      <c r="F11" s="420" t="s">
        <v>966</v>
      </c>
      <c r="G11" s="419" t="s">
        <v>495</v>
      </c>
      <c r="H11" s="419" t="s">
        <v>496</v>
      </c>
      <c r="I11" s="421">
        <v>8.2899999999999991</v>
      </c>
      <c r="J11" s="421">
        <v>2</v>
      </c>
      <c r="K11" s="422">
        <v>16.57</v>
      </c>
    </row>
    <row r="12" spans="1:11" ht="14.4" customHeight="1" x14ac:dyDescent="0.3">
      <c r="A12" s="417" t="s">
        <v>393</v>
      </c>
      <c r="B12" s="418" t="s">
        <v>394</v>
      </c>
      <c r="C12" s="419" t="s">
        <v>398</v>
      </c>
      <c r="D12" s="420" t="s">
        <v>467</v>
      </c>
      <c r="E12" s="419" t="s">
        <v>965</v>
      </c>
      <c r="F12" s="420" t="s">
        <v>966</v>
      </c>
      <c r="G12" s="419" t="s">
        <v>497</v>
      </c>
      <c r="H12" s="419" t="s">
        <v>498</v>
      </c>
      <c r="I12" s="421">
        <v>5.92</v>
      </c>
      <c r="J12" s="421">
        <v>2</v>
      </c>
      <c r="K12" s="422">
        <v>11.84</v>
      </c>
    </row>
    <row r="13" spans="1:11" ht="14.4" customHeight="1" x14ac:dyDescent="0.3">
      <c r="A13" s="417" t="s">
        <v>393</v>
      </c>
      <c r="B13" s="418" t="s">
        <v>394</v>
      </c>
      <c r="C13" s="419" t="s">
        <v>398</v>
      </c>
      <c r="D13" s="420" t="s">
        <v>467</v>
      </c>
      <c r="E13" s="419" t="s">
        <v>967</v>
      </c>
      <c r="F13" s="420" t="s">
        <v>968</v>
      </c>
      <c r="G13" s="419" t="s">
        <v>499</v>
      </c>
      <c r="H13" s="419" t="s">
        <v>500</v>
      </c>
      <c r="I13" s="421">
        <v>86.73</v>
      </c>
      <c r="J13" s="421">
        <v>12.5</v>
      </c>
      <c r="K13" s="422">
        <v>1084.1600000000001</v>
      </c>
    </row>
    <row r="14" spans="1:11" ht="14.4" customHeight="1" x14ac:dyDescent="0.3">
      <c r="A14" s="417" t="s">
        <v>393</v>
      </c>
      <c r="B14" s="418" t="s">
        <v>394</v>
      </c>
      <c r="C14" s="419" t="s">
        <v>398</v>
      </c>
      <c r="D14" s="420" t="s">
        <v>467</v>
      </c>
      <c r="E14" s="419" t="s">
        <v>967</v>
      </c>
      <c r="F14" s="420" t="s">
        <v>968</v>
      </c>
      <c r="G14" s="419" t="s">
        <v>501</v>
      </c>
      <c r="H14" s="419" t="s">
        <v>502</v>
      </c>
      <c r="I14" s="421">
        <v>0.47</v>
      </c>
      <c r="J14" s="421">
        <v>300</v>
      </c>
      <c r="K14" s="422">
        <v>141</v>
      </c>
    </row>
    <row r="15" spans="1:11" ht="14.4" customHeight="1" x14ac:dyDescent="0.3">
      <c r="A15" s="417" t="s">
        <v>393</v>
      </c>
      <c r="B15" s="418" t="s">
        <v>394</v>
      </c>
      <c r="C15" s="419" t="s">
        <v>398</v>
      </c>
      <c r="D15" s="420" t="s">
        <v>467</v>
      </c>
      <c r="E15" s="419" t="s">
        <v>967</v>
      </c>
      <c r="F15" s="420" t="s">
        <v>968</v>
      </c>
      <c r="G15" s="419" t="s">
        <v>503</v>
      </c>
      <c r="H15" s="419" t="s">
        <v>504</v>
      </c>
      <c r="I15" s="421">
        <v>0.59</v>
      </c>
      <c r="J15" s="421">
        <v>1500</v>
      </c>
      <c r="K15" s="422">
        <v>889.4</v>
      </c>
    </row>
    <row r="16" spans="1:11" ht="14.4" customHeight="1" x14ac:dyDescent="0.3">
      <c r="A16" s="417" t="s">
        <v>393</v>
      </c>
      <c r="B16" s="418" t="s">
        <v>394</v>
      </c>
      <c r="C16" s="419" t="s">
        <v>398</v>
      </c>
      <c r="D16" s="420" t="s">
        <v>467</v>
      </c>
      <c r="E16" s="419" t="s">
        <v>967</v>
      </c>
      <c r="F16" s="420" t="s">
        <v>968</v>
      </c>
      <c r="G16" s="419" t="s">
        <v>505</v>
      </c>
      <c r="H16" s="419" t="s">
        <v>506</v>
      </c>
      <c r="I16" s="421">
        <v>1.02</v>
      </c>
      <c r="J16" s="421">
        <v>5000</v>
      </c>
      <c r="K16" s="422">
        <v>5082</v>
      </c>
    </row>
    <row r="17" spans="1:11" ht="14.4" customHeight="1" x14ac:dyDescent="0.3">
      <c r="A17" s="417" t="s">
        <v>393</v>
      </c>
      <c r="B17" s="418" t="s">
        <v>394</v>
      </c>
      <c r="C17" s="419" t="s">
        <v>398</v>
      </c>
      <c r="D17" s="420" t="s">
        <v>467</v>
      </c>
      <c r="E17" s="419" t="s">
        <v>967</v>
      </c>
      <c r="F17" s="420" t="s">
        <v>968</v>
      </c>
      <c r="G17" s="419" t="s">
        <v>507</v>
      </c>
      <c r="H17" s="419" t="s">
        <v>508</v>
      </c>
      <c r="I17" s="421">
        <v>12.1</v>
      </c>
      <c r="J17" s="421">
        <v>10</v>
      </c>
      <c r="K17" s="422">
        <v>121</v>
      </c>
    </row>
    <row r="18" spans="1:11" ht="14.4" customHeight="1" x14ac:dyDescent="0.3">
      <c r="A18" s="417" t="s">
        <v>393</v>
      </c>
      <c r="B18" s="418" t="s">
        <v>394</v>
      </c>
      <c r="C18" s="419" t="s">
        <v>398</v>
      </c>
      <c r="D18" s="420" t="s">
        <v>467</v>
      </c>
      <c r="E18" s="419" t="s">
        <v>969</v>
      </c>
      <c r="F18" s="420" t="s">
        <v>970</v>
      </c>
      <c r="G18" s="419" t="s">
        <v>509</v>
      </c>
      <c r="H18" s="419" t="s">
        <v>510</v>
      </c>
      <c r="I18" s="421">
        <v>0.43</v>
      </c>
      <c r="J18" s="421">
        <v>500</v>
      </c>
      <c r="K18" s="422">
        <v>214.17</v>
      </c>
    </row>
    <row r="19" spans="1:11" ht="14.4" customHeight="1" x14ac:dyDescent="0.3">
      <c r="A19" s="417" t="s">
        <v>393</v>
      </c>
      <c r="B19" s="418" t="s">
        <v>394</v>
      </c>
      <c r="C19" s="419" t="s">
        <v>398</v>
      </c>
      <c r="D19" s="420" t="s">
        <v>467</v>
      </c>
      <c r="E19" s="419" t="s">
        <v>969</v>
      </c>
      <c r="F19" s="420" t="s">
        <v>970</v>
      </c>
      <c r="G19" s="419" t="s">
        <v>511</v>
      </c>
      <c r="H19" s="419" t="s">
        <v>512</v>
      </c>
      <c r="I19" s="421">
        <v>0.12</v>
      </c>
      <c r="J19" s="421">
        <v>13000</v>
      </c>
      <c r="K19" s="422">
        <v>1560</v>
      </c>
    </row>
    <row r="20" spans="1:11" ht="14.4" customHeight="1" x14ac:dyDescent="0.3">
      <c r="A20" s="417" t="s">
        <v>393</v>
      </c>
      <c r="B20" s="418" t="s">
        <v>394</v>
      </c>
      <c r="C20" s="419" t="s">
        <v>398</v>
      </c>
      <c r="D20" s="420" t="s">
        <v>467</v>
      </c>
      <c r="E20" s="419" t="s">
        <v>969</v>
      </c>
      <c r="F20" s="420" t="s">
        <v>970</v>
      </c>
      <c r="G20" s="419" t="s">
        <v>513</v>
      </c>
      <c r="H20" s="419" t="s">
        <v>514</v>
      </c>
      <c r="I20" s="421">
        <v>2.15</v>
      </c>
      <c r="J20" s="421">
        <v>1000</v>
      </c>
      <c r="K20" s="422">
        <v>2153.8000000000002</v>
      </c>
    </row>
    <row r="21" spans="1:11" ht="14.4" customHeight="1" x14ac:dyDescent="0.3">
      <c r="A21" s="417" t="s">
        <v>393</v>
      </c>
      <c r="B21" s="418" t="s">
        <v>394</v>
      </c>
      <c r="C21" s="419" t="s">
        <v>398</v>
      </c>
      <c r="D21" s="420" t="s">
        <v>467</v>
      </c>
      <c r="E21" s="419" t="s">
        <v>969</v>
      </c>
      <c r="F21" s="420" t="s">
        <v>970</v>
      </c>
      <c r="G21" s="419" t="s">
        <v>515</v>
      </c>
      <c r="H21" s="419" t="s">
        <v>516</v>
      </c>
      <c r="I21" s="421">
        <v>0.24</v>
      </c>
      <c r="J21" s="421">
        <v>4000</v>
      </c>
      <c r="K21" s="422">
        <v>968</v>
      </c>
    </row>
    <row r="22" spans="1:11" ht="14.4" customHeight="1" x14ac:dyDescent="0.3">
      <c r="A22" s="417" t="s">
        <v>393</v>
      </c>
      <c r="B22" s="418" t="s">
        <v>394</v>
      </c>
      <c r="C22" s="419" t="s">
        <v>398</v>
      </c>
      <c r="D22" s="420" t="s">
        <v>467</v>
      </c>
      <c r="E22" s="419" t="s">
        <v>969</v>
      </c>
      <c r="F22" s="420" t="s">
        <v>970</v>
      </c>
      <c r="G22" s="419" t="s">
        <v>517</v>
      </c>
      <c r="H22" s="419" t="s">
        <v>518</v>
      </c>
      <c r="I22" s="421">
        <v>9.36</v>
      </c>
      <c r="J22" s="421">
        <v>100</v>
      </c>
      <c r="K22" s="422">
        <v>936</v>
      </c>
    </row>
    <row r="23" spans="1:11" ht="14.4" customHeight="1" x14ac:dyDescent="0.3">
      <c r="A23" s="417" t="s">
        <v>393</v>
      </c>
      <c r="B23" s="418" t="s">
        <v>394</v>
      </c>
      <c r="C23" s="419" t="s">
        <v>398</v>
      </c>
      <c r="D23" s="420" t="s">
        <v>467</v>
      </c>
      <c r="E23" s="419" t="s">
        <v>969</v>
      </c>
      <c r="F23" s="420" t="s">
        <v>970</v>
      </c>
      <c r="G23" s="419" t="s">
        <v>519</v>
      </c>
      <c r="H23" s="419" t="s">
        <v>520</v>
      </c>
      <c r="I23" s="421">
        <v>2.14</v>
      </c>
      <c r="J23" s="421">
        <v>1152</v>
      </c>
      <c r="K23" s="422">
        <v>2468.4</v>
      </c>
    </row>
    <row r="24" spans="1:11" ht="14.4" customHeight="1" x14ac:dyDescent="0.3">
      <c r="A24" s="417" t="s">
        <v>393</v>
      </c>
      <c r="B24" s="418" t="s">
        <v>394</v>
      </c>
      <c r="C24" s="419" t="s">
        <v>398</v>
      </c>
      <c r="D24" s="420" t="s">
        <v>467</v>
      </c>
      <c r="E24" s="419" t="s">
        <v>969</v>
      </c>
      <c r="F24" s="420" t="s">
        <v>970</v>
      </c>
      <c r="G24" s="419" t="s">
        <v>521</v>
      </c>
      <c r="H24" s="419" t="s">
        <v>522</v>
      </c>
      <c r="I24" s="421">
        <v>1.39</v>
      </c>
      <c r="J24" s="421">
        <v>960</v>
      </c>
      <c r="K24" s="422">
        <v>1331</v>
      </c>
    </row>
    <row r="25" spans="1:11" ht="14.4" customHeight="1" x14ac:dyDescent="0.3">
      <c r="A25" s="417" t="s">
        <v>393</v>
      </c>
      <c r="B25" s="418" t="s">
        <v>394</v>
      </c>
      <c r="C25" s="419" t="s">
        <v>398</v>
      </c>
      <c r="D25" s="420" t="s">
        <v>467</v>
      </c>
      <c r="E25" s="419" t="s">
        <v>969</v>
      </c>
      <c r="F25" s="420" t="s">
        <v>970</v>
      </c>
      <c r="G25" s="419" t="s">
        <v>523</v>
      </c>
      <c r="H25" s="419" t="s">
        <v>524</v>
      </c>
      <c r="I25" s="421">
        <v>2.91</v>
      </c>
      <c r="J25" s="421">
        <v>3000</v>
      </c>
      <c r="K25" s="422">
        <v>8719.26</v>
      </c>
    </row>
    <row r="26" spans="1:11" ht="14.4" customHeight="1" x14ac:dyDescent="0.3">
      <c r="A26" s="417" t="s">
        <v>393</v>
      </c>
      <c r="B26" s="418" t="s">
        <v>394</v>
      </c>
      <c r="C26" s="419" t="s">
        <v>398</v>
      </c>
      <c r="D26" s="420" t="s">
        <v>467</v>
      </c>
      <c r="E26" s="419" t="s">
        <v>969</v>
      </c>
      <c r="F26" s="420" t="s">
        <v>970</v>
      </c>
      <c r="G26" s="419" t="s">
        <v>525</v>
      </c>
      <c r="H26" s="419" t="s">
        <v>526</v>
      </c>
      <c r="I26" s="421">
        <v>181.5</v>
      </c>
      <c r="J26" s="421">
        <v>1</v>
      </c>
      <c r="K26" s="422">
        <v>181.5</v>
      </c>
    </row>
    <row r="27" spans="1:11" ht="14.4" customHeight="1" x14ac:dyDescent="0.3">
      <c r="A27" s="417" t="s">
        <v>393</v>
      </c>
      <c r="B27" s="418" t="s">
        <v>394</v>
      </c>
      <c r="C27" s="419" t="s">
        <v>398</v>
      </c>
      <c r="D27" s="420" t="s">
        <v>467</v>
      </c>
      <c r="E27" s="419" t="s">
        <v>969</v>
      </c>
      <c r="F27" s="420" t="s">
        <v>970</v>
      </c>
      <c r="G27" s="419" t="s">
        <v>527</v>
      </c>
      <c r="H27" s="419" t="s">
        <v>528</v>
      </c>
      <c r="I27" s="421">
        <v>9.36</v>
      </c>
      <c r="J27" s="421">
        <v>50</v>
      </c>
      <c r="K27" s="422">
        <v>468</v>
      </c>
    </row>
    <row r="28" spans="1:11" ht="14.4" customHeight="1" x14ac:dyDescent="0.3">
      <c r="A28" s="417" t="s">
        <v>393</v>
      </c>
      <c r="B28" s="418" t="s">
        <v>394</v>
      </c>
      <c r="C28" s="419" t="s">
        <v>398</v>
      </c>
      <c r="D28" s="420" t="s">
        <v>467</v>
      </c>
      <c r="E28" s="419" t="s">
        <v>969</v>
      </c>
      <c r="F28" s="420" t="s">
        <v>970</v>
      </c>
      <c r="G28" s="419" t="s">
        <v>529</v>
      </c>
      <c r="H28" s="419" t="s">
        <v>530</v>
      </c>
      <c r="I28" s="421">
        <v>16.940000000000001</v>
      </c>
      <c r="J28" s="421">
        <v>100</v>
      </c>
      <c r="K28" s="422">
        <v>1694</v>
      </c>
    </row>
    <row r="29" spans="1:11" ht="14.4" customHeight="1" x14ac:dyDescent="0.3">
      <c r="A29" s="417" t="s">
        <v>393</v>
      </c>
      <c r="B29" s="418" t="s">
        <v>394</v>
      </c>
      <c r="C29" s="419" t="s">
        <v>398</v>
      </c>
      <c r="D29" s="420" t="s">
        <v>467</v>
      </c>
      <c r="E29" s="419" t="s">
        <v>971</v>
      </c>
      <c r="F29" s="420" t="s">
        <v>972</v>
      </c>
      <c r="G29" s="419" t="s">
        <v>531</v>
      </c>
      <c r="H29" s="419" t="s">
        <v>532</v>
      </c>
      <c r="I29" s="421">
        <v>0.31</v>
      </c>
      <c r="J29" s="421">
        <v>100</v>
      </c>
      <c r="K29" s="422">
        <v>31</v>
      </c>
    </row>
    <row r="30" spans="1:11" ht="14.4" customHeight="1" x14ac:dyDescent="0.3">
      <c r="A30" s="417" t="s">
        <v>393</v>
      </c>
      <c r="B30" s="418" t="s">
        <v>394</v>
      </c>
      <c r="C30" s="419" t="s">
        <v>398</v>
      </c>
      <c r="D30" s="420" t="s">
        <v>467</v>
      </c>
      <c r="E30" s="419" t="s">
        <v>971</v>
      </c>
      <c r="F30" s="420" t="s">
        <v>972</v>
      </c>
      <c r="G30" s="419" t="s">
        <v>533</v>
      </c>
      <c r="H30" s="419" t="s">
        <v>534</v>
      </c>
      <c r="I30" s="421">
        <v>0.48</v>
      </c>
      <c r="J30" s="421">
        <v>300</v>
      </c>
      <c r="K30" s="422">
        <v>144</v>
      </c>
    </row>
    <row r="31" spans="1:11" ht="14.4" customHeight="1" x14ac:dyDescent="0.3">
      <c r="A31" s="417" t="s">
        <v>393</v>
      </c>
      <c r="B31" s="418" t="s">
        <v>394</v>
      </c>
      <c r="C31" s="419" t="s">
        <v>398</v>
      </c>
      <c r="D31" s="420" t="s">
        <v>467</v>
      </c>
      <c r="E31" s="419" t="s">
        <v>973</v>
      </c>
      <c r="F31" s="420" t="s">
        <v>974</v>
      </c>
      <c r="G31" s="419" t="s">
        <v>535</v>
      </c>
      <c r="H31" s="419" t="s">
        <v>536</v>
      </c>
      <c r="I31" s="421">
        <v>0.71</v>
      </c>
      <c r="J31" s="421">
        <v>1400</v>
      </c>
      <c r="K31" s="422">
        <v>994</v>
      </c>
    </row>
    <row r="32" spans="1:11" ht="14.4" customHeight="1" x14ac:dyDescent="0.3">
      <c r="A32" s="417" t="s">
        <v>393</v>
      </c>
      <c r="B32" s="418" t="s">
        <v>394</v>
      </c>
      <c r="C32" s="419" t="s">
        <v>398</v>
      </c>
      <c r="D32" s="420" t="s">
        <v>467</v>
      </c>
      <c r="E32" s="419" t="s">
        <v>973</v>
      </c>
      <c r="F32" s="420" t="s">
        <v>974</v>
      </c>
      <c r="G32" s="419" t="s">
        <v>537</v>
      </c>
      <c r="H32" s="419" t="s">
        <v>538</v>
      </c>
      <c r="I32" s="421">
        <v>0.71</v>
      </c>
      <c r="J32" s="421">
        <v>2000</v>
      </c>
      <c r="K32" s="422">
        <v>1420</v>
      </c>
    </row>
    <row r="33" spans="1:11" ht="14.4" customHeight="1" x14ac:dyDescent="0.3">
      <c r="A33" s="417" t="s">
        <v>393</v>
      </c>
      <c r="B33" s="418" t="s">
        <v>394</v>
      </c>
      <c r="C33" s="419" t="s">
        <v>398</v>
      </c>
      <c r="D33" s="420" t="s">
        <v>467</v>
      </c>
      <c r="E33" s="419" t="s">
        <v>975</v>
      </c>
      <c r="F33" s="420" t="s">
        <v>976</v>
      </c>
      <c r="G33" s="419" t="s">
        <v>539</v>
      </c>
      <c r="H33" s="419" t="s">
        <v>540</v>
      </c>
      <c r="I33" s="421">
        <v>238.31273114380164</v>
      </c>
      <c r="J33" s="421">
        <v>2</v>
      </c>
      <c r="K33" s="422">
        <v>476.62546228760328</v>
      </c>
    </row>
    <row r="34" spans="1:11" ht="14.4" customHeight="1" x14ac:dyDescent="0.3">
      <c r="A34" s="417" t="s">
        <v>393</v>
      </c>
      <c r="B34" s="418" t="s">
        <v>394</v>
      </c>
      <c r="C34" s="419" t="s">
        <v>398</v>
      </c>
      <c r="D34" s="420" t="s">
        <v>467</v>
      </c>
      <c r="E34" s="419" t="s">
        <v>975</v>
      </c>
      <c r="F34" s="420" t="s">
        <v>976</v>
      </c>
      <c r="G34" s="419" t="s">
        <v>541</v>
      </c>
      <c r="H34" s="419" t="s">
        <v>542</v>
      </c>
      <c r="I34" s="421">
        <v>321.08960941328411</v>
      </c>
      <c r="J34" s="421">
        <v>13</v>
      </c>
      <c r="K34" s="422">
        <v>4174.2198097069959</v>
      </c>
    </row>
    <row r="35" spans="1:11" ht="14.4" customHeight="1" x14ac:dyDescent="0.3">
      <c r="A35" s="417" t="s">
        <v>393</v>
      </c>
      <c r="B35" s="418" t="s">
        <v>394</v>
      </c>
      <c r="C35" s="419" t="s">
        <v>398</v>
      </c>
      <c r="D35" s="420" t="s">
        <v>467</v>
      </c>
      <c r="E35" s="419" t="s">
        <v>975</v>
      </c>
      <c r="F35" s="420" t="s">
        <v>976</v>
      </c>
      <c r="G35" s="419" t="s">
        <v>543</v>
      </c>
      <c r="H35" s="419" t="s">
        <v>544</v>
      </c>
      <c r="I35" s="421">
        <v>12.960000000000004</v>
      </c>
      <c r="J35" s="421">
        <v>430</v>
      </c>
      <c r="K35" s="422">
        <v>5572.4400000000005</v>
      </c>
    </row>
    <row r="36" spans="1:11" ht="14.4" customHeight="1" x14ac:dyDescent="0.3">
      <c r="A36" s="417" t="s">
        <v>393</v>
      </c>
      <c r="B36" s="418" t="s">
        <v>394</v>
      </c>
      <c r="C36" s="419" t="s">
        <v>398</v>
      </c>
      <c r="D36" s="420" t="s">
        <v>467</v>
      </c>
      <c r="E36" s="419" t="s">
        <v>975</v>
      </c>
      <c r="F36" s="420" t="s">
        <v>976</v>
      </c>
      <c r="G36" s="419" t="s">
        <v>545</v>
      </c>
      <c r="H36" s="419" t="s">
        <v>546</v>
      </c>
      <c r="I36" s="421">
        <v>25.920000000000009</v>
      </c>
      <c r="J36" s="421">
        <v>1320</v>
      </c>
      <c r="K36" s="422">
        <v>34212.019999999997</v>
      </c>
    </row>
    <row r="37" spans="1:11" ht="14.4" customHeight="1" x14ac:dyDescent="0.3">
      <c r="A37" s="417" t="s">
        <v>393</v>
      </c>
      <c r="B37" s="418" t="s">
        <v>394</v>
      </c>
      <c r="C37" s="419" t="s">
        <v>398</v>
      </c>
      <c r="D37" s="420" t="s">
        <v>467</v>
      </c>
      <c r="E37" s="419" t="s">
        <v>975</v>
      </c>
      <c r="F37" s="420" t="s">
        <v>976</v>
      </c>
      <c r="G37" s="419" t="s">
        <v>547</v>
      </c>
      <c r="H37" s="419" t="s">
        <v>548</v>
      </c>
      <c r="I37" s="421">
        <v>16.2</v>
      </c>
      <c r="J37" s="421">
        <v>920</v>
      </c>
      <c r="K37" s="422">
        <v>14905.759999999998</v>
      </c>
    </row>
    <row r="38" spans="1:11" ht="14.4" customHeight="1" x14ac:dyDescent="0.3">
      <c r="A38" s="417" t="s">
        <v>393</v>
      </c>
      <c r="B38" s="418" t="s">
        <v>394</v>
      </c>
      <c r="C38" s="419" t="s">
        <v>398</v>
      </c>
      <c r="D38" s="420" t="s">
        <v>467</v>
      </c>
      <c r="E38" s="419" t="s">
        <v>975</v>
      </c>
      <c r="F38" s="420" t="s">
        <v>976</v>
      </c>
      <c r="G38" s="419" t="s">
        <v>549</v>
      </c>
      <c r="H38" s="419" t="s">
        <v>550</v>
      </c>
      <c r="I38" s="421">
        <v>9.68</v>
      </c>
      <c r="J38" s="421">
        <v>2000</v>
      </c>
      <c r="K38" s="422">
        <v>19360</v>
      </c>
    </row>
    <row r="39" spans="1:11" ht="14.4" customHeight="1" x14ac:dyDescent="0.3">
      <c r="A39" s="417" t="s">
        <v>393</v>
      </c>
      <c r="B39" s="418" t="s">
        <v>394</v>
      </c>
      <c r="C39" s="419" t="s">
        <v>398</v>
      </c>
      <c r="D39" s="420" t="s">
        <v>467</v>
      </c>
      <c r="E39" s="419" t="s">
        <v>975</v>
      </c>
      <c r="F39" s="420" t="s">
        <v>976</v>
      </c>
      <c r="G39" s="419" t="s">
        <v>551</v>
      </c>
      <c r="H39" s="419" t="s">
        <v>552</v>
      </c>
      <c r="I39" s="421">
        <v>12.31</v>
      </c>
      <c r="J39" s="421">
        <v>3120</v>
      </c>
      <c r="K39" s="422">
        <v>38393.78</v>
      </c>
    </row>
    <row r="40" spans="1:11" ht="14.4" customHeight="1" x14ac:dyDescent="0.3">
      <c r="A40" s="417" t="s">
        <v>393</v>
      </c>
      <c r="B40" s="418" t="s">
        <v>394</v>
      </c>
      <c r="C40" s="419" t="s">
        <v>398</v>
      </c>
      <c r="D40" s="420" t="s">
        <v>467</v>
      </c>
      <c r="E40" s="419" t="s">
        <v>975</v>
      </c>
      <c r="F40" s="420" t="s">
        <v>976</v>
      </c>
      <c r="G40" s="419" t="s">
        <v>553</v>
      </c>
      <c r="H40" s="419" t="s">
        <v>554</v>
      </c>
      <c r="I40" s="421">
        <v>19.43</v>
      </c>
      <c r="J40" s="421">
        <v>60</v>
      </c>
      <c r="K40" s="422">
        <v>1165.9499999999998</v>
      </c>
    </row>
    <row r="41" spans="1:11" ht="14.4" customHeight="1" x14ac:dyDescent="0.3">
      <c r="A41" s="417" t="s">
        <v>393</v>
      </c>
      <c r="B41" s="418" t="s">
        <v>394</v>
      </c>
      <c r="C41" s="419" t="s">
        <v>398</v>
      </c>
      <c r="D41" s="420" t="s">
        <v>467</v>
      </c>
      <c r="E41" s="419" t="s">
        <v>975</v>
      </c>
      <c r="F41" s="420" t="s">
        <v>976</v>
      </c>
      <c r="G41" s="419" t="s">
        <v>555</v>
      </c>
      <c r="H41" s="419" t="s">
        <v>556</v>
      </c>
      <c r="I41" s="421">
        <v>33.659999999999997</v>
      </c>
      <c r="J41" s="421">
        <v>60</v>
      </c>
      <c r="K41" s="422">
        <v>2019.7199999999998</v>
      </c>
    </row>
    <row r="42" spans="1:11" ht="14.4" customHeight="1" x14ac:dyDescent="0.3">
      <c r="A42" s="417" t="s">
        <v>393</v>
      </c>
      <c r="B42" s="418" t="s">
        <v>394</v>
      </c>
      <c r="C42" s="419" t="s">
        <v>398</v>
      </c>
      <c r="D42" s="420" t="s">
        <v>467</v>
      </c>
      <c r="E42" s="419" t="s">
        <v>975</v>
      </c>
      <c r="F42" s="420" t="s">
        <v>976</v>
      </c>
      <c r="G42" s="419" t="s">
        <v>557</v>
      </c>
      <c r="H42" s="419" t="s">
        <v>558</v>
      </c>
      <c r="I42" s="421">
        <v>15.550000000000002</v>
      </c>
      <c r="J42" s="421">
        <v>30</v>
      </c>
      <c r="K42" s="422">
        <v>466.47</v>
      </c>
    </row>
    <row r="43" spans="1:11" ht="14.4" customHeight="1" x14ac:dyDescent="0.3">
      <c r="A43" s="417" t="s">
        <v>393</v>
      </c>
      <c r="B43" s="418" t="s">
        <v>394</v>
      </c>
      <c r="C43" s="419" t="s">
        <v>398</v>
      </c>
      <c r="D43" s="420" t="s">
        <v>467</v>
      </c>
      <c r="E43" s="419" t="s">
        <v>975</v>
      </c>
      <c r="F43" s="420" t="s">
        <v>976</v>
      </c>
      <c r="G43" s="419" t="s">
        <v>559</v>
      </c>
      <c r="H43" s="419" t="s">
        <v>560</v>
      </c>
      <c r="I43" s="421">
        <v>9.7200000000000006</v>
      </c>
      <c r="J43" s="421">
        <v>40</v>
      </c>
      <c r="K43" s="422">
        <v>388.65</v>
      </c>
    </row>
    <row r="44" spans="1:11" ht="14.4" customHeight="1" x14ac:dyDescent="0.3">
      <c r="A44" s="417" t="s">
        <v>393</v>
      </c>
      <c r="B44" s="418" t="s">
        <v>394</v>
      </c>
      <c r="C44" s="419" t="s">
        <v>398</v>
      </c>
      <c r="D44" s="420" t="s">
        <v>467</v>
      </c>
      <c r="E44" s="419" t="s">
        <v>975</v>
      </c>
      <c r="F44" s="420" t="s">
        <v>976</v>
      </c>
      <c r="G44" s="419" t="s">
        <v>561</v>
      </c>
      <c r="H44" s="419" t="s">
        <v>562</v>
      </c>
      <c r="I44" s="421">
        <v>48.88</v>
      </c>
      <c r="J44" s="421">
        <v>1</v>
      </c>
      <c r="K44" s="422">
        <v>48.88</v>
      </c>
    </row>
    <row r="45" spans="1:11" ht="14.4" customHeight="1" x14ac:dyDescent="0.3">
      <c r="A45" s="417" t="s">
        <v>393</v>
      </c>
      <c r="B45" s="418" t="s">
        <v>394</v>
      </c>
      <c r="C45" s="419" t="s">
        <v>398</v>
      </c>
      <c r="D45" s="420" t="s">
        <v>467</v>
      </c>
      <c r="E45" s="419" t="s">
        <v>975</v>
      </c>
      <c r="F45" s="420" t="s">
        <v>976</v>
      </c>
      <c r="G45" s="419" t="s">
        <v>563</v>
      </c>
      <c r="H45" s="419" t="s">
        <v>564</v>
      </c>
      <c r="I45" s="421">
        <v>11.66</v>
      </c>
      <c r="J45" s="421">
        <v>140</v>
      </c>
      <c r="K45" s="422">
        <v>1633.0100000000002</v>
      </c>
    </row>
    <row r="46" spans="1:11" ht="14.4" customHeight="1" x14ac:dyDescent="0.3">
      <c r="A46" s="417" t="s">
        <v>393</v>
      </c>
      <c r="B46" s="418" t="s">
        <v>394</v>
      </c>
      <c r="C46" s="419" t="s">
        <v>398</v>
      </c>
      <c r="D46" s="420" t="s">
        <v>467</v>
      </c>
      <c r="E46" s="419" t="s">
        <v>975</v>
      </c>
      <c r="F46" s="420" t="s">
        <v>976</v>
      </c>
      <c r="G46" s="419" t="s">
        <v>565</v>
      </c>
      <c r="H46" s="419" t="s">
        <v>566</v>
      </c>
      <c r="I46" s="421">
        <v>10.37</v>
      </c>
      <c r="J46" s="421">
        <v>180</v>
      </c>
      <c r="K46" s="422">
        <v>1866.55</v>
      </c>
    </row>
    <row r="47" spans="1:11" ht="14.4" customHeight="1" x14ac:dyDescent="0.3">
      <c r="A47" s="417" t="s">
        <v>393</v>
      </c>
      <c r="B47" s="418" t="s">
        <v>394</v>
      </c>
      <c r="C47" s="419" t="s">
        <v>398</v>
      </c>
      <c r="D47" s="420" t="s">
        <v>467</v>
      </c>
      <c r="E47" s="419" t="s">
        <v>975</v>
      </c>
      <c r="F47" s="420" t="s">
        <v>976</v>
      </c>
      <c r="G47" s="419" t="s">
        <v>567</v>
      </c>
      <c r="H47" s="419" t="s">
        <v>568</v>
      </c>
      <c r="I47" s="421">
        <v>15.550000000000002</v>
      </c>
      <c r="J47" s="421">
        <v>600</v>
      </c>
      <c r="K47" s="422">
        <v>9329.1</v>
      </c>
    </row>
    <row r="48" spans="1:11" ht="14.4" customHeight="1" x14ac:dyDescent="0.3">
      <c r="A48" s="417" t="s">
        <v>393</v>
      </c>
      <c r="B48" s="418" t="s">
        <v>394</v>
      </c>
      <c r="C48" s="419" t="s">
        <v>398</v>
      </c>
      <c r="D48" s="420" t="s">
        <v>467</v>
      </c>
      <c r="E48" s="419" t="s">
        <v>975</v>
      </c>
      <c r="F48" s="420" t="s">
        <v>976</v>
      </c>
      <c r="G48" s="419" t="s">
        <v>569</v>
      </c>
      <c r="H48" s="419" t="s">
        <v>570</v>
      </c>
      <c r="I48" s="421">
        <v>9.06</v>
      </c>
      <c r="J48" s="421">
        <v>40</v>
      </c>
      <c r="K48" s="422">
        <v>362.52</v>
      </c>
    </row>
    <row r="49" spans="1:11" ht="14.4" customHeight="1" x14ac:dyDescent="0.3">
      <c r="A49" s="417" t="s">
        <v>393</v>
      </c>
      <c r="B49" s="418" t="s">
        <v>394</v>
      </c>
      <c r="C49" s="419" t="s">
        <v>398</v>
      </c>
      <c r="D49" s="420" t="s">
        <v>467</v>
      </c>
      <c r="E49" s="419" t="s">
        <v>975</v>
      </c>
      <c r="F49" s="420" t="s">
        <v>976</v>
      </c>
      <c r="G49" s="419" t="s">
        <v>571</v>
      </c>
      <c r="H49" s="419" t="s">
        <v>572</v>
      </c>
      <c r="I49" s="421">
        <v>10097.365000000002</v>
      </c>
      <c r="J49" s="421">
        <v>4</v>
      </c>
      <c r="K49" s="422">
        <v>40389.460000000006</v>
      </c>
    </row>
    <row r="50" spans="1:11" ht="14.4" customHeight="1" x14ac:dyDescent="0.3">
      <c r="A50" s="417" t="s">
        <v>393</v>
      </c>
      <c r="B50" s="418" t="s">
        <v>394</v>
      </c>
      <c r="C50" s="419" t="s">
        <v>398</v>
      </c>
      <c r="D50" s="420" t="s">
        <v>467</v>
      </c>
      <c r="E50" s="419" t="s">
        <v>975</v>
      </c>
      <c r="F50" s="420" t="s">
        <v>976</v>
      </c>
      <c r="G50" s="419" t="s">
        <v>573</v>
      </c>
      <c r="H50" s="419" t="s">
        <v>574</v>
      </c>
      <c r="I50" s="421">
        <v>34618.990000000005</v>
      </c>
      <c r="J50" s="421">
        <v>3.46</v>
      </c>
      <c r="K50" s="422">
        <v>119781.70999999999</v>
      </c>
    </row>
    <row r="51" spans="1:11" ht="14.4" customHeight="1" x14ac:dyDescent="0.3">
      <c r="A51" s="417" t="s">
        <v>393</v>
      </c>
      <c r="B51" s="418" t="s">
        <v>394</v>
      </c>
      <c r="C51" s="419" t="s">
        <v>398</v>
      </c>
      <c r="D51" s="420" t="s">
        <v>467</v>
      </c>
      <c r="E51" s="419" t="s">
        <v>975</v>
      </c>
      <c r="F51" s="420" t="s">
        <v>976</v>
      </c>
      <c r="G51" s="419" t="s">
        <v>575</v>
      </c>
      <c r="H51" s="419" t="s">
        <v>576</v>
      </c>
      <c r="I51" s="421">
        <v>51.79</v>
      </c>
      <c r="J51" s="421">
        <v>10</v>
      </c>
      <c r="K51" s="422">
        <v>517.88</v>
      </c>
    </row>
    <row r="52" spans="1:11" ht="14.4" customHeight="1" x14ac:dyDescent="0.3">
      <c r="A52" s="417" t="s">
        <v>393</v>
      </c>
      <c r="B52" s="418" t="s">
        <v>394</v>
      </c>
      <c r="C52" s="419" t="s">
        <v>398</v>
      </c>
      <c r="D52" s="420" t="s">
        <v>467</v>
      </c>
      <c r="E52" s="419" t="s">
        <v>975</v>
      </c>
      <c r="F52" s="420" t="s">
        <v>976</v>
      </c>
      <c r="G52" s="419" t="s">
        <v>577</v>
      </c>
      <c r="H52" s="419" t="s">
        <v>578</v>
      </c>
      <c r="I52" s="421">
        <v>11.662000000000001</v>
      </c>
      <c r="J52" s="421">
        <v>290</v>
      </c>
      <c r="K52" s="422">
        <v>3382.74</v>
      </c>
    </row>
    <row r="53" spans="1:11" ht="14.4" customHeight="1" x14ac:dyDescent="0.3">
      <c r="A53" s="417" t="s">
        <v>393</v>
      </c>
      <c r="B53" s="418" t="s">
        <v>394</v>
      </c>
      <c r="C53" s="419" t="s">
        <v>398</v>
      </c>
      <c r="D53" s="420" t="s">
        <v>467</v>
      </c>
      <c r="E53" s="419" t="s">
        <v>975</v>
      </c>
      <c r="F53" s="420" t="s">
        <v>976</v>
      </c>
      <c r="G53" s="419" t="s">
        <v>579</v>
      </c>
      <c r="H53" s="419" t="s">
        <v>580</v>
      </c>
      <c r="I53" s="421">
        <v>10.29</v>
      </c>
      <c r="J53" s="421">
        <v>180</v>
      </c>
      <c r="K53" s="422">
        <v>1851.3</v>
      </c>
    </row>
    <row r="54" spans="1:11" ht="14.4" customHeight="1" x14ac:dyDescent="0.3">
      <c r="A54" s="417" t="s">
        <v>393</v>
      </c>
      <c r="B54" s="418" t="s">
        <v>394</v>
      </c>
      <c r="C54" s="419" t="s">
        <v>398</v>
      </c>
      <c r="D54" s="420" t="s">
        <v>467</v>
      </c>
      <c r="E54" s="419" t="s">
        <v>975</v>
      </c>
      <c r="F54" s="420" t="s">
        <v>976</v>
      </c>
      <c r="G54" s="419" t="s">
        <v>581</v>
      </c>
      <c r="H54" s="419" t="s">
        <v>582</v>
      </c>
      <c r="I54" s="421">
        <v>16.53</v>
      </c>
      <c r="J54" s="421">
        <v>12744</v>
      </c>
      <c r="K54" s="422">
        <v>210640.43999999997</v>
      </c>
    </row>
    <row r="55" spans="1:11" ht="14.4" customHeight="1" x14ac:dyDescent="0.3">
      <c r="A55" s="417" t="s">
        <v>393</v>
      </c>
      <c r="B55" s="418" t="s">
        <v>394</v>
      </c>
      <c r="C55" s="419" t="s">
        <v>398</v>
      </c>
      <c r="D55" s="420" t="s">
        <v>467</v>
      </c>
      <c r="E55" s="419" t="s">
        <v>975</v>
      </c>
      <c r="F55" s="420" t="s">
        <v>976</v>
      </c>
      <c r="G55" s="419" t="s">
        <v>583</v>
      </c>
      <c r="H55" s="419" t="s">
        <v>584</v>
      </c>
      <c r="I55" s="421">
        <v>17.548333333333332</v>
      </c>
      <c r="J55" s="421">
        <v>1320</v>
      </c>
      <c r="K55" s="422">
        <v>23159.4</v>
      </c>
    </row>
    <row r="56" spans="1:11" ht="14.4" customHeight="1" x14ac:dyDescent="0.3">
      <c r="A56" s="417" t="s">
        <v>393</v>
      </c>
      <c r="B56" s="418" t="s">
        <v>394</v>
      </c>
      <c r="C56" s="419" t="s">
        <v>398</v>
      </c>
      <c r="D56" s="420" t="s">
        <v>467</v>
      </c>
      <c r="E56" s="419" t="s">
        <v>975</v>
      </c>
      <c r="F56" s="420" t="s">
        <v>976</v>
      </c>
      <c r="G56" s="419" t="s">
        <v>585</v>
      </c>
      <c r="H56" s="419" t="s">
        <v>586</v>
      </c>
      <c r="I56" s="421">
        <v>10.37</v>
      </c>
      <c r="J56" s="421">
        <v>900</v>
      </c>
      <c r="K56" s="422">
        <v>9332.75</v>
      </c>
    </row>
    <row r="57" spans="1:11" ht="14.4" customHeight="1" x14ac:dyDescent="0.3">
      <c r="A57" s="417" t="s">
        <v>393</v>
      </c>
      <c r="B57" s="418" t="s">
        <v>394</v>
      </c>
      <c r="C57" s="419" t="s">
        <v>398</v>
      </c>
      <c r="D57" s="420" t="s">
        <v>467</v>
      </c>
      <c r="E57" s="419" t="s">
        <v>975</v>
      </c>
      <c r="F57" s="420" t="s">
        <v>976</v>
      </c>
      <c r="G57" s="419" t="s">
        <v>587</v>
      </c>
      <c r="H57" s="419" t="s">
        <v>588</v>
      </c>
      <c r="I57" s="421">
        <v>18.75</v>
      </c>
      <c r="J57" s="421">
        <v>648</v>
      </c>
      <c r="K57" s="422">
        <v>12153.240000000002</v>
      </c>
    </row>
    <row r="58" spans="1:11" ht="14.4" customHeight="1" x14ac:dyDescent="0.3">
      <c r="A58" s="417" t="s">
        <v>393</v>
      </c>
      <c r="B58" s="418" t="s">
        <v>394</v>
      </c>
      <c r="C58" s="419" t="s">
        <v>398</v>
      </c>
      <c r="D58" s="420" t="s">
        <v>467</v>
      </c>
      <c r="E58" s="419" t="s">
        <v>975</v>
      </c>
      <c r="F58" s="420" t="s">
        <v>976</v>
      </c>
      <c r="G58" s="419" t="s">
        <v>589</v>
      </c>
      <c r="H58" s="419" t="s">
        <v>590</v>
      </c>
      <c r="I58" s="421">
        <v>20.74</v>
      </c>
      <c r="J58" s="421">
        <v>140</v>
      </c>
      <c r="K58" s="422">
        <v>2903.5</v>
      </c>
    </row>
    <row r="59" spans="1:11" ht="14.4" customHeight="1" x14ac:dyDescent="0.3">
      <c r="A59" s="417" t="s">
        <v>393</v>
      </c>
      <c r="B59" s="418" t="s">
        <v>394</v>
      </c>
      <c r="C59" s="419" t="s">
        <v>398</v>
      </c>
      <c r="D59" s="420" t="s">
        <v>467</v>
      </c>
      <c r="E59" s="419" t="s">
        <v>975</v>
      </c>
      <c r="F59" s="420" t="s">
        <v>976</v>
      </c>
      <c r="G59" s="419" t="s">
        <v>591</v>
      </c>
      <c r="H59" s="419" t="s">
        <v>592</v>
      </c>
      <c r="I59" s="421">
        <v>12.960000000000004</v>
      </c>
      <c r="J59" s="421">
        <v>430</v>
      </c>
      <c r="K59" s="422">
        <v>5572.4400000000005</v>
      </c>
    </row>
    <row r="60" spans="1:11" ht="14.4" customHeight="1" x14ac:dyDescent="0.3">
      <c r="A60" s="417" t="s">
        <v>393</v>
      </c>
      <c r="B60" s="418" t="s">
        <v>394</v>
      </c>
      <c r="C60" s="419" t="s">
        <v>398</v>
      </c>
      <c r="D60" s="420" t="s">
        <v>467</v>
      </c>
      <c r="E60" s="419" t="s">
        <v>975</v>
      </c>
      <c r="F60" s="420" t="s">
        <v>976</v>
      </c>
      <c r="G60" s="419" t="s">
        <v>593</v>
      </c>
      <c r="H60" s="419" t="s">
        <v>594</v>
      </c>
      <c r="I60" s="421">
        <v>9.68</v>
      </c>
      <c r="J60" s="421">
        <v>1000</v>
      </c>
      <c r="K60" s="422">
        <v>9680</v>
      </c>
    </row>
    <row r="61" spans="1:11" ht="14.4" customHeight="1" x14ac:dyDescent="0.3">
      <c r="A61" s="417" t="s">
        <v>393</v>
      </c>
      <c r="B61" s="418" t="s">
        <v>394</v>
      </c>
      <c r="C61" s="419" t="s">
        <v>398</v>
      </c>
      <c r="D61" s="420" t="s">
        <v>467</v>
      </c>
      <c r="E61" s="419" t="s">
        <v>975</v>
      </c>
      <c r="F61" s="420" t="s">
        <v>976</v>
      </c>
      <c r="G61" s="419" t="s">
        <v>595</v>
      </c>
      <c r="H61" s="419" t="s">
        <v>596</v>
      </c>
      <c r="I61" s="421">
        <v>32.39</v>
      </c>
      <c r="J61" s="421">
        <v>140</v>
      </c>
      <c r="K61" s="422">
        <v>4534.83</v>
      </c>
    </row>
    <row r="62" spans="1:11" ht="14.4" customHeight="1" x14ac:dyDescent="0.3">
      <c r="A62" s="417" t="s">
        <v>393</v>
      </c>
      <c r="B62" s="418" t="s">
        <v>394</v>
      </c>
      <c r="C62" s="419" t="s">
        <v>398</v>
      </c>
      <c r="D62" s="420" t="s">
        <v>467</v>
      </c>
      <c r="E62" s="419" t="s">
        <v>975</v>
      </c>
      <c r="F62" s="420" t="s">
        <v>976</v>
      </c>
      <c r="G62" s="419" t="s">
        <v>597</v>
      </c>
      <c r="H62" s="419" t="s">
        <v>598</v>
      </c>
      <c r="I62" s="421">
        <v>43.56</v>
      </c>
      <c r="J62" s="421">
        <v>10</v>
      </c>
      <c r="K62" s="422">
        <v>435.6</v>
      </c>
    </row>
    <row r="63" spans="1:11" ht="14.4" customHeight="1" x14ac:dyDescent="0.3">
      <c r="A63" s="417" t="s">
        <v>393</v>
      </c>
      <c r="B63" s="418" t="s">
        <v>394</v>
      </c>
      <c r="C63" s="419" t="s">
        <v>398</v>
      </c>
      <c r="D63" s="420" t="s">
        <v>467</v>
      </c>
      <c r="E63" s="419" t="s">
        <v>975</v>
      </c>
      <c r="F63" s="420" t="s">
        <v>976</v>
      </c>
      <c r="G63" s="419" t="s">
        <v>599</v>
      </c>
      <c r="H63" s="419" t="s">
        <v>600</v>
      </c>
      <c r="I63" s="421">
        <v>11.650000000000002</v>
      </c>
      <c r="J63" s="421">
        <v>110</v>
      </c>
      <c r="K63" s="422">
        <v>1281.74</v>
      </c>
    </row>
    <row r="64" spans="1:11" ht="14.4" customHeight="1" x14ac:dyDescent="0.3">
      <c r="A64" s="417" t="s">
        <v>393</v>
      </c>
      <c r="B64" s="418" t="s">
        <v>394</v>
      </c>
      <c r="C64" s="419" t="s">
        <v>398</v>
      </c>
      <c r="D64" s="420" t="s">
        <v>467</v>
      </c>
      <c r="E64" s="419" t="s">
        <v>975</v>
      </c>
      <c r="F64" s="420" t="s">
        <v>976</v>
      </c>
      <c r="G64" s="419" t="s">
        <v>601</v>
      </c>
      <c r="H64" s="419" t="s">
        <v>602</v>
      </c>
      <c r="I64" s="421">
        <v>3414.62</v>
      </c>
      <c r="J64" s="421">
        <v>1</v>
      </c>
      <c r="K64" s="422">
        <v>3414.62</v>
      </c>
    </row>
    <row r="65" spans="1:11" ht="14.4" customHeight="1" x14ac:dyDescent="0.3">
      <c r="A65" s="417" t="s">
        <v>393</v>
      </c>
      <c r="B65" s="418" t="s">
        <v>394</v>
      </c>
      <c r="C65" s="419" t="s">
        <v>398</v>
      </c>
      <c r="D65" s="420" t="s">
        <v>467</v>
      </c>
      <c r="E65" s="419" t="s">
        <v>975</v>
      </c>
      <c r="F65" s="420" t="s">
        <v>976</v>
      </c>
      <c r="G65" s="419" t="s">
        <v>603</v>
      </c>
      <c r="H65" s="419" t="s">
        <v>604</v>
      </c>
      <c r="I65" s="421">
        <v>9196</v>
      </c>
      <c r="J65" s="421">
        <v>2</v>
      </c>
      <c r="K65" s="422">
        <v>18392</v>
      </c>
    </row>
    <row r="66" spans="1:11" ht="14.4" customHeight="1" x14ac:dyDescent="0.3">
      <c r="A66" s="417" t="s">
        <v>393</v>
      </c>
      <c r="B66" s="418" t="s">
        <v>394</v>
      </c>
      <c r="C66" s="419" t="s">
        <v>398</v>
      </c>
      <c r="D66" s="420" t="s">
        <v>467</v>
      </c>
      <c r="E66" s="419" t="s">
        <v>975</v>
      </c>
      <c r="F66" s="420" t="s">
        <v>976</v>
      </c>
      <c r="G66" s="419" t="s">
        <v>605</v>
      </c>
      <c r="H66" s="419" t="s">
        <v>606</v>
      </c>
      <c r="I66" s="421">
        <v>51.42</v>
      </c>
      <c r="J66" s="421">
        <v>100</v>
      </c>
      <c r="K66" s="422">
        <v>5142.2400000000016</v>
      </c>
    </row>
    <row r="67" spans="1:11" ht="14.4" customHeight="1" x14ac:dyDescent="0.3">
      <c r="A67" s="417" t="s">
        <v>393</v>
      </c>
      <c r="B67" s="418" t="s">
        <v>394</v>
      </c>
      <c r="C67" s="419" t="s">
        <v>398</v>
      </c>
      <c r="D67" s="420" t="s">
        <v>467</v>
      </c>
      <c r="E67" s="419" t="s">
        <v>975</v>
      </c>
      <c r="F67" s="420" t="s">
        <v>976</v>
      </c>
      <c r="G67" s="419" t="s">
        <v>607</v>
      </c>
      <c r="H67" s="419" t="s">
        <v>608</v>
      </c>
      <c r="I67" s="421">
        <v>51.42</v>
      </c>
      <c r="J67" s="421">
        <v>100</v>
      </c>
      <c r="K67" s="422">
        <v>5142.2000000000016</v>
      </c>
    </row>
    <row r="68" spans="1:11" ht="14.4" customHeight="1" x14ac:dyDescent="0.3">
      <c r="A68" s="417" t="s">
        <v>393</v>
      </c>
      <c r="B68" s="418" t="s">
        <v>394</v>
      </c>
      <c r="C68" s="419" t="s">
        <v>398</v>
      </c>
      <c r="D68" s="420" t="s">
        <v>467</v>
      </c>
      <c r="E68" s="419" t="s">
        <v>975</v>
      </c>
      <c r="F68" s="420" t="s">
        <v>976</v>
      </c>
      <c r="G68" s="419" t="s">
        <v>609</v>
      </c>
      <c r="H68" s="419" t="s">
        <v>610</v>
      </c>
      <c r="I68" s="421">
        <v>51.409999999999982</v>
      </c>
      <c r="J68" s="421">
        <v>100</v>
      </c>
      <c r="K68" s="422">
        <v>5141.0200000000004</v>
      </c>
    </row>
    <row r="69" spans="1:11" ht="14.4" customHeight="1" x14ac:dyDescent="0.3">
      <c r="A69" s="417" t="s">
        <v>393</v>
      </c>
      <c r="B69" s="418" t="s">
        <v>394</v>
      </c>
      <c r="C69" s="419" t="s">
        <v>398</v>
      </c>
      <c r="D69" s="420" t="s">
        <v>467</v>
      </c>
      <c r="E69" s="419" t="s">
        <v>975</v>
      </c>
      <c r="F69" s="420" t="s">
        <v>976</v>
      </c>
      <c r="G69" s="419" t="s">
        <v>611</v>
      </c>
      <c r="H69" s="419" t="s">
        <v>612</v>
      </c>
      <c r="I69" s="421">
        <v>51.409999999999982</v>
      </c>
      <c r="J69" s="421">
        <v>100</v>
      </c>
      <c r="K69" s="422">
        <v>5141.0000000000009</v>
      </c>
    </row>
    <row r="70" spans="1:11" ht="14.4" customHeight="1" x14ac:dyDescent="0.3">
      <c r="A70" s="417" t="s">
        <v>393</v>
      </c>
      <c r="B70" s="418" t="s">
        <v>394</v>
      </c>
      <c r="C70" s="419" t="s">
        <v>398</v>
      </c>
      <c r="D70" s="420" t="s">
        <v>467</v>
      </c>
      <c r="E70" s="419" t="s">
        <v>975</v>
      </c>
      <c r="F70" s="420" t="s">
        <v>976</v>
      </c>
      <c r="G70" s="419" t="s">
        <v>613</v>
      </c>
      <c r="H70" s="419" t="s">
        <v>614</v>
      </c>
      <c r="I70" s="421">
        <v>51.42</v>
      </c>
      <c r="J70" s="421">
        <v>300</v>
      </c>
      <c r="K70" s="422">
        <v>15426.840000000004</v>
      </c>
    </row>
    <row r="71" spans="1:11" ht="14.4" customHeight="1" x14ac:dyDescent="0.3">
      <c r="A71" s="417" t="s">
        <v>393</v>
      </c>
      <c r="B71" s="418" t="s">
        <v>394</v>
      </c>
      <c r="C71" s="419" t="s">
        <v>398</v>
      </c>
      <c r="D71" s="420" t="s">
        <v>467</v>
      </c>
      <c r="E71" s="419" t="s">
        <v>975</v>
      </c>
      <c r="F71" s="420" t="s">
        <v>976</v>
      </c>
      <c r="G71" s="419" t="s">
        <v>615</v>
      </c>
      <c r="H71" s="419" t="s">
        <v>616</v>
      </c>
      <c r="I71" s="421">
        <v>51.42</v>
      </c>
      <c r="J71" s="421">
        <v>300</v>
      </c>
      <c r="K71" s="422">
        <v>15426.7</v>
      </c>
    </row>
    <row r="72" spans="1:11" ht="14.4" customHeight="1" x14ac:dyDescent="0.3">
      <c r="A72" s="417" t="s">
        <v>393</v>
      </c>
      <c r="B72" s="418" t="s">
        <v>394</v>
      </c>
      <c r="C72" s="419" t="s">
        <v>398</v>
      </c>
      <c r="D72" s="420" t="s">
        <v>467</v>
      </c>
      <c r="E72" s="419" t="s">
        <v>975</v>
      </c>
      <c r="F72" s="420" t="s">
        <v>976</v>
      </c>
      <c r="G72" s="419" t="s">
        <v>617</v>
      </c>
      <c r="H72" s="419" t="s">
        <v>618</v>
      </c>
      <c r="I72" s="421">
        <v>4017.1999999999994</v>
      </c>
      <c r="J72" s="421">
        <v>4</v>
      </c>
      <c r="K72" s="422">
        <v>16068.8</v>
      </c>
    </row>
    <row r="73" spans="1:11" ht="14.4" customHeight="1" x14ac:dyDescent="0.3">
      <c r="A73" s="417" t="s">
        <v>393</v>
      </c>
      <c r="B73" s="418" t="s">
        <v>394</v>
      </c>
      <c r="C73" s="419" t="s">
        <v>398</v>
      </c>
      <c r="D73" s="420" t="s">
        <v>467</v>
      </c>
      <c r="E73" s="419" t="s">
        <v>975</v>
      </c>
      <c r="F73" s="420" t="s">
        <v>976</v>
      </c>
      <c r="G73" s="419" t="s">
        <v>619</v>
      </c>
      <c r="H73" s="419" t="s">
        <v>620</v>
      </c>
      <c r="I73" s="421">
        <v>90.27</v>
      </c>
      <c r="J73" s="421">
        <v>5</v>
      </c>
      <c r="K73" s="422">
        <v>451.33000000000004</v>
      </c>
    </row>
    <row r="74" spans="1:11" ht="14.4" customHeight="1" x14ac:dyDescent="0.3">
      <c r="A74" s="417" t="s">
        <v>393</v>
      </c>
      <c r="B74" s="418" t="s">
        <v>394</v>
      </c>
      <c r="C74" s="419" t="s">
        <v>398</v>
      </c>
      <c r="D74" s="420" t="s">
        <v>467</v>
      </c>
      <c r="E74" s="419" t="s">
        <v>975</v>
      </c>
      <c r="F74" s="420" t="s">
        <v>976</v>
      </c>
      <c r="G74" s="419" t="s">
        <v>621</v>
      </c>
      <c r="H74" s="419" t="s">
        <v>622</v>
      </c>
      <c r="I74" s="421">
        <v>4686.33</v>
      </c>
      <c r="J74" s="421">
        <v>2</v>
      </c>
      <c r="K74" s="422">
        <v>9372.66</v>
      </c>
    </row>
    <row r="75" spans="1:11" ht="14.4" customHeight="1" x14ac:dyDescent="0.3">
      <c r="A75" s="417" t="s">
        <v>393</v>
      </c>
      <c r="B75" s="418" t="s">
        <v>394</v>
      </c>
      <c r="C75" s="419" t="s">
        <v>398</v>
      </c>
      <c r="D75" s="420" t="s">
        <v>467</v>
      </c>
      <c r="E75" s="419" t="s">
        <v>975</v>
      </c>
      <c r="F75" s="420" t="s">
        <v>976</v>
      </c>
      <c r="G75" s="419" t="s">
        <v>623</v>
      </c>
      <c r="H75" s="419" t="s">
        <v>624</v>
      </c>
      <c r="I75" s="421">
        <v>8569.2199999999993</v>
      </c>
      <c r="J75" s="421">
        <v>3</v>
      </c>
      <c r="K75" s="422">
        <v>25707.659999999996</v>
      </c>
    </row>
    <row r="76" spans="1:11" ht="14.4" customHeight="1" x14ac:dyDescent="0.3">
      <c r="A76" s="417" t="s">
        <v>393</v>
      </c>
      <c r="B76" s="418" t="s">
        <v>394</v>
      </c>
      <c r="C76" s="419" t="s">
        <v>398</v>
      </c>
      <c r="D76" s="420" t="s">
        <v>467</v>
      </c>
      <c r="E76" s="419" t="s">
        <v>975</v>
      </c>
      <c r="F76" s="420" t="s">
        <v>976</v>
      </c>
      <c r="G76" s="419" t="s">
        <v>625</v>
      </c>
      <c r="H76" s="419" t="s">
        <v>626</v>
      </c>
      <c r="I76" s="421">
        <v>3346.86</v>
      </c>
      <c r="J76" s="421">
        <v>2</v>
      </c>
      <c r="K76" s="422">
        <v>6693.72</v>
      </c>
    </row>
    <row r="77" spans="1:11" ht="14.4" customHeight="1" x14ac:dyDescent="0.3">
      <c r="A77" s="417" t="s">
        <v>393</v>
      </c>
      <c r="B77" s="418" t="s">
        <v>394</v>
      </c>
      <c r="C77" s="419" t="s">
        <v>398</v>
      </c>
      <c r="D77" s="420" t="s">
        <v>467</v>
      </c>
      <c r="E77" s="419" t="s">
        <v>975</v>
      </c>
      <c r="F77" s="420" t="s">
        <v>976</v>
      </c>
      <c r="G77" s="419" t="s">
        <v>627</v>
      </c>
      <c r="H77" s="419" t="s">
        <v>628</v>
      </c>
      <c r="I77" s="421">
        <v>4646.3999999999996</v>
      </c>
      <c r="J77" s="421">
        <v>2</v>
      </c>
      <c r="K77" s="422">
        <v>9292.7999999999993</v>
      </c>
    </row>
    <row r="78" spans="1:11" ht="14.4" customHeight="1" x14ac:dyDescent="0.3">
      <c r="A78" s="417" t="s">
        <v>393</v>
      </c>
      <c r="B78" s="418" t="s">
        <v>394</v>
      </c>
      <c r="C78" s="419" t="s">
        <v>398</v>
      </c>
      <c r="D78" s="420" t="s">
        <v>467</v>
      </c>
      <c r="E78" s="419" t="s">
        <v>975</v>
      </c>
      <c r="F78" s="420" t="s">
        <v>976</v>
      </c>
      <c r="G78" s="419" t="s">
        <v>629</v>
      </c>
      <c r="H78" s="419" t="s">
        <v>630</v>
      </c>
      <c r="I78" s="421">
        <v>18.79</v>
      </c>
      <c r="J78" s="421">
        <v>360</v>
      </c>
      <c r="K78" s="422">
        <v>6764.88</v>
      </c>
    </row>
    <row r="79" spans="1:11" ht="14.4" customHeight="1" x14ac:dyDescent="0.3">
      <c r="A79" s="417" t="s">
        <v>393</v>
      </c>
      <c r="B79" s="418" t="s">
        <v>394</v>
      </c>
      <c r="C79" s="419" t="s">
        <v>398</v>
      </c>
      <c r="D79" s="420" t="s">
        <v>467</v>
      </c>
      <c r="E79" s="419" t="s">
        <v>975</v>
      </c>
      <c r="F79" s="420" t="s">
        <v>976</v>
      </c>
      <c r="G79" s="419" t="s">
        <v>631</v>
      </c>
      <c r="H79" s="419" t="s">
        <v>632</v>
      </c>
      <c r="I79" s="421">
        <v>4356</v>
      </c>
      <c r="J79" s="421">
        <v>12</v>
      </c>
      <c r="K79" s="422">
        <v>52272</v>
      </c>
    </row>
    <row r="80" spans="1:11" ht="14.4" customHeight="1" x14ac:dyDescent="0.3">
      <c r="A80" s="417" t="s">
        <v>393</v>
      </c>
      <c r="B80" s="418" t="s">
        <v>394</v>
      </c>
      <c r="C80" s="419" t="s">
        <v>398</v>
      </c>
      <c r="D80" s="420" t="s">
        <v>467</v>
      </c>
      <c r="E80" s="419" t="s">
        <v>975</v>
      </c>
      <c r="F80" s="420" t="s">
        <v>976</v>
      </c>
      <c r="G80" s="419" t="s">
        <v>633</v>
      </c>
      <c r="H80" s="419" t="s">
        <v>634</v>
      </c>
      <c r="I80" s="421">
        <v>4356</v>
      </c>
      <c r="J80" s="421">
        <v>12</v>
      </c>
      <c r="K80" s="422">
        <v>52272</v>
      </c>
    </row>
    <row r="81" spans="1:11" ht="14.4" customHeight="1" x14ac:dyDescent="0.3">
      <c r="A81" s="417" t="s">
        <v>393</v>
      </c>
      <c r="B81" s="418" t="s">
        <v>394</v>
      </c>
      <c r="C81" s="419" t="s">
        <v>398</v>
      </c>
      <c r="D81" s="420" t="s">
        <v>467</v>
      </c>
      <c r="E81" s="419" t="s">
        <v>975</v>
      </c>
      <c r="F81" s="420" t="s">
        <v>976</v>
      </c>
      <c r="G81" s="419" t="s">
        <v>635</v>
      </c>
      <c r="H81" s="419" t="s">
        <v>636</v>
      </c>
      <c r="I81" s="421">
        <v>4356</v>
      </c>
      <c r="J81" s="421">
        <v>12</v>
      </c>
      <c r="K81" s="422">
        <v>52272</v>
      </c>
    </row>
    <row r="82" spans="1:11" ht="14.4" customHeight="1" x14ac:dyDescent="0.3">
      <c r="A82" s="417" t="s">
        <v>393</v>
      </c>
      <c r="B82" s="418" t="s">
        <v>394</v>
      </c>
      <c r="C82" s="419" t="s">
        <v>398</v>
      </c>
      <c r="D82" s="420" t="s">
        <v>467</v>
      </c>
      <c r="E82" s="419" t="s">
        <v>975</v>
      </c>
      <c r="F82" s="420" t="s">
        <v>976</v>
      </c>
      <c r="G82" s="419" t="s">
        <v>637</v>
      </c>
      <c r="H82" s="419" t="s">
        <v>638</v>
      </c>
      <c r="I82" s="421">
        <v>9663.75</v>
      </c>
      <c r="J82" s="421">
        <v>6</v>
      </c>
      <c r="K82" s="422">
        <v>57982.490000000005</v>
      </c>
    </row>
    <row r="83" spans="1:11" ht="14.4" customHeight="1" x14ac:dyDescent="0.3">
      <c r="A83" s="417" t="s">
        <v>393</v>
      </c>
      <c r="B83" s="418" t="s">
        <v>394</v>
      </c>
      <c r="C83" s="419" t="s">
        <v>398</v>
      </c>
      <c r="D83" s="420" t="s">
        <v>467</v>
      </c>
      <c r="E83" s="419" t="s">
        <v>975</v>
      </c>
      <c r="F83" s="420" t="s">
        <v>976</v>
      </c>
      <c r="G83" s="419" t="s">
        <v>639</v>
      </c>
      <c r="H83" s="419" t="s">
        <v>640</v>
      </c>
      <c r="I83" s="421">
        <v>13706.88</v>
      </c>
      <c r="J83" s="421">
        <v>7</v>
      </c>
      <c r="K83" s="422">
        <v>95948.159999999989</v>
      </c>
    </row>
    <row r="84" spans="1:11" ht="14.4" customHeight="1" x14ac:dyDescent="0.3">
      <c r="A84" s="417" t="s">
        <v>393</v>
      </c>
      <c r="B84" s="418" t="s">
        <v>394</v>
      </c>
      <c r="C84" s="419" t="s">
        <v>398</v>
      </c>
      <c r="D84" s="420" t="s">
        <v>467</v>
      </c>
      <c r="E84" s="419" t="s">
        <v>975</v>
      </c>
      <c r="F84" s="420" t="s">
        <v>976</v>
      </c>
      <c r="G84" s="419" t="s">
        <v>641</v>
      </c>
      <c r="H84" s="419" t="s">
        <v>642</v>
      </c>
      <c r="I84" s="421">
        <v>100.57499999999999</v>
      </c>
      <c r="J84" s="421">
        <v>2</v>
      </c>
      <c r="K84" s="422">
        <v>201.14999999999998</v>
      </c>
    </row>
    <row r="85" spans="1:11" ht="14.4" customHeight="1" x14ac:dyDescent="0.3">
      <c r="A85" s="417" t="s">
        <v>393</v>
      </c>
      <c r="B85" s="418" t="s">
        <v>394</v>
      </c>
      <c r="C85" s="419" t="s">
        <v>398</v>
      </c>
      <c r="D85" s="420" t="s">
        <v>467</v>
      </c>
      <c r="E85" s="419" t="s">
        <v>975</v>
      </c>
      <c r="F85" s="420" t="s">
        <v>976</v>
      </c>
      <c r="G85" s="419" t="s">
        <v>643</v>
      </c>
      <c r="H85" s="419" t="s">
        <v>644</v>
      </c>
      <c r="I85" s="421">
        <v>25.27</v>
      </c>
      <c r="J85" s="421">
        <v>40</v>
      </c>
      <c r="K85" s="422">
        <v>1010.6</v>
      </c>
    </row>
    <row r="86" spans="1:11" ht="14.4" customHeight="1" x14ac:dyDescent="0.3">
      <c r="A86" s="417" t="s">
        <v>393</v>
      </c>
      <c r="B86" s="418" t="s">
        <v>394</v>
      </c>
      <c r="C86" s="419" t="s">
        <v>398</v>
      </c>
      <c r="D86" s="420" t="s">
        <v>467</v>
      </c>
      <c r="E86" s="419" t="s">
        <v>975</v>
      </c>
      <c r="F86" s="420" t="s">
        <v>976</v>
      </c>
      <c r="G86" s="419" t="s">
        <v>645</v>
      </c>
      <c r="H86" s="419" t="s">
        <v>646</v>
      </c>
      <c r="I86" s="421">
        <v>4017.1999999999994</v>
      </c>
      <c r="J86" s="421">
        <v>4</v>
      </c>
      <c r="K86" s="422">
        <v>16068.8</v>
      </c>
    </row>
    <row r="87" spans="1:11" ht="14.4" customHeight="1" x14ac:dyDescent="0.3">
      <c r="A87" s="417" t="s">
        <v>393</v>
      </c>
      <c r="B87" s="418" t="s">
        <v>394</v>
      </c>
      <c r="C87" s="419" t="s">
        <v>398</v>
      </c>
      <c r="D87" s="420" t="s">
        <v>467</v>
      </c>
      <c r="E87" s="419" t="s">
        <v>975</v>
      </c>
      <c r="F87" s="420" t="s">
        <v>976</v>
      </c>
      <c r="G87" s="419" t="s">
        <v>647</v>
      </c>
      <c r="H87" s="419" t="s">
        <v>648</v>
      </c>
      <c r="I87" s="421">
        <v>7872.2599999999993</v>
      </c>
      <c r="J87" s="421">
        <v>5</v>
      </c>
      <c r="K87" s="422">
        <v>39361.300000000003</v>
      </c>
    </row>
    <row r="88" spans="1:11" ht="14.4" customHeight="1" x14ac:dyDescent="0.3">
      <c r="A88" s="417" t="s">
        <v>393</v>
      </c>
      <c r="B88" s="418" t="s">
        <v>394</v>
      </c>
      <c r="C88" s="419" t="s">
        <v>398</v>
      </c>
      <c r="D88" s="420" t="s">
        <v>467</v>
      </c>
      <c r="E88" s="419" t="s">
        <v>975</v>
      </c>
      <c r="F88" s="420" t="s">
        <v>976</v>
      </c>
      <c r="G88" s="419" t="s">
        <v>649</v>
      </c>
      <c r="H88" s="419" t="s">
        <v>650</v>
      </c>
      <c r="I88" s="421">
        <v>7235.8</v>
      </c>
      <c r="J88" s="421">
        <v>21</v>
      </c>
      <c r="K88" s="422">
        <v>151951.80000000002</v>
      </c>
    </row>
    <row r="89" spans="1:11" ht="14.4" customHeight="1" x14ac:dyDescent="0.3">
      <c r="A89" s="417" t="s">
        <v>393</v>
      </c>
      <c r="B89" s="418" t="s">
        <v>394</v>
      </c>
      <c r="C89" s="419" t="s">
        <v>398</v>
      </c>
      <c r="D89" s="420" t="s">
        <v>467</v>
      </c>
      <c r="E89" s="419" t="s">
        <v>975</v>
      </c>
      <c r="F89" s="420" t="s">
        <v>976</v>
      </c>
      <c r="G89" s="419" t="s">
        <v>651</v>
      </c>
      <c r="H89" s="419" t="s">
        <v>652</v>
      </c>
      <c r="I89" s="421">
        <v>2178</v>
      </c>
      <c r="J89" s="421">
        <v>3</v>
      </c>
      <c r="K89" s="422">
        <v>6534</v>
      </c>
    </row>
    <row r="90" spans="1:11" ht="14.4" customHeight="1" x14ac:dyDescent="0.3">
      <c r="A90" s="417" t="s">
        <v>393</v>
      </c>
      <c r="B90" s="418" t="s">
        <v>394</v>
      </c>
      <c r="C90" s="419" t="s">
        <v>398</v>
      </c>
      <c r="D90" s="420" t="s">
        <v>467</v>
      </c>
      <c r="E90" s="419" t="s">
        <v>975</v>
      </c>
      <c r="F90" s="420" t="s">
        <v>976</v>
      </c>
      <c r="G90" s="419" t="s">
        <v>653</v>
      </c>
      <c r="H90" s="419" t="s">
        <v>654</v>
      </c>
      <c r="I90" s="421">
        <v>9663.75</v>
      </c>
      <c r="J90" s="421">
        <v>6</v>
      </c>
      <c r="K90" s="422">
        <v>57982.509999999995</v>
      </c>
    </row>
    <row r="91" spans="1:11" ht="14.4" customHeight="1" x14ac:dyDescent="0.3">
      <c r="A91" s="417" t="s">
        <v>393</v>
      </c>
      <c r="B91" s="418" t="s">
        <v>394</v>
      </c>
      <c r="C91" s="419" t="s">
        <v>398</v>
      </c>
      <c r="D91" s="420" t="s">
        <v>467</v>
      </c>
      <c r="E91" s="419" t="s">
        <v>975</v>
      </c>
      <c r="F91" s="420" t="s">
        <v>976</v>
      </c>
      <c r="G91" s="419" t="s">
        <v>655</v>
      </c>
      <c r="H91" s="419" t="s">
        <v>656</v>
      </c>
      <c r="I91" s="421">
        <v>3567.08</v>
      </c>
      <c r="J91" s="421">
        <v>1</v>
      </c>
      <c r="K91" s="422">
        <v>3567.08</v>
      </c>
    </row>
    <row r="92" spans="1:11" ht="14.4" customHeight="1" x14ac:dyDescent="0.3">
      <c r="A92" s="417" t="s">
        <v>393</v>
      </c>
      <c r="B92" s="418" t="s">
        <v>394</v>
      </c>
      <c r="C92" s="419" t="s">
        <v>398</v>
      </c>
      <c r="D92" s="420" t="s">
        <v>467</v>
      </c>
      <c r="E92" s="419" t="s">
        <v>975</v>
      </c>
      <c r="F92" s="420" t="s">
        <v>976</v>
      </c>
      <c r="G92" s="419" t="s">
        <v>657</v>
      </c>
      <c r="H92" s="419" t="s">
        <v>658</v>
      </c>
      <c r="I92" s="421">
        <v>274.68</v>
      </c>
      <c r="J92" s="421">
        <v>2</v>
      </c>
      <c r="K92" s="422">
        <v>549.36</v>
      </c>
    </row>
    <row r="93" spans="1:11" ht="14.4" customHeight="1" x14ac:dyDescent="0.3">
      <c r="A93" s="417" t="s">
        <v>393</v>
      </c>
      <c r="B93" s="418" t="s">
        <v>394</v>
      </c>
      <c r="C93" s="419" t="s">
        <v>398</v>
      </c>
      <c r="D93" s="420" t="s">
        <v>467</v>
      </c>
      <c r="E93" s="419" t="s">
        <v>975</v>
      </c>
      <c r="F93" s="420" t="s">
        <v>976</v>
      </c>
      <c r="G93" s="419" t="s">
        <v>659</v>
      </c>
      <c r="H93" s="419" t="s">
        <v>660</v>
      </c>
      <c r="I93" s="421">
        <v>396.47666666666669</v>
      </c>
      <c r="J93" s="421">
        <v>3</v>
      </c>
      <c r="K93" s="422">
        <v>1189.43</v>
      </c>
    </row>
    <row r="94" spans="1:11" ht="14.4" customHeight="1" x14ac:dyDescent="0.3">
      <c r="A94" s="417" t="s">
        <v>393</v>
      </c>
      <c r="B94" s="418" t="s">
        <v>394</v>
      </c>
      <c r="C94" s="419" t="s">
        <v>398</v>
      </c>
      <c r="D94" s="420" t="s">
        <v>467</v>
      </c>
      <c r="E94" s="419" t="s">
        <v>975</v>
      </c>
      <c r="F94" s="420" t="s">
        <v>976</v>
      </c>
      <c r="G94" s="419" t="s">
        <v>661</v>
      </c>
      <c r="H94" s="419" t="s">
        <v>662</v>
      </c>
      <c r="I94" s="421">
        <v>7871.05</v>
      </c>
      <c r="J94" s="421">
        <v>5</v>
      </c>
      <c r="K94" s="422">
        <v>39355.25</v>
      </c>
    </row>
    <row r="95" spans="1:11" ht="14.4" customHeight="1" x14ac:dyDescent="0.3">
      <c r="A95" s="417" t="s">
        <v>393</v>
      </c>
      <c r="B95" s="418" t="s">
        <v>394</v>
      </c>
      <c r="C95" s="419" t="s">
        <v>398</v>
      </c>
      <c r="D95" s="420" t="s">
        <v>467</v>
      </c>
      <c r="E95" s="419" t="s">
        <v>975</v>
      </c>
      <c r="F95" s="420" t="s">
        <v>976</v>
      </c>
      <c r="G95" s="419" t="s">
        <v>663</v>
      </c>
      <c r="H95" s="419" t="s">
        <v>664</v>
      </c>
      <c r="I95" s="421">
        <v>7235.8</v>
      </c>
      <c r="J95" s="421">
        <v>21</v>
      </c>
      <c r="K95" s="422">
        <v>151951.80000000002</v>
      </c>
    </row>
    <row r="96" spans="1:11" ht="14.4" customHeight="1" x14ac:dyDescent="0.3">
      <c r="A96" s="417" t="s">
        <v>393</v>
      </c>
      <c r="B96" s="418" t="s">
        <v>394</v>
      </c>
      <c r="C96" s="419" t="s">
        <v>398</v>
      </c>
      <c r="D96" s="420" t="s">
        <v>467</v>
      </c>
      <c r="E96" s="419" t="s">
        <v>975</v>
      </c>
      <c r="F96" s="420" t="s">
        <v>976</v>
      </c>
      <c r="G96" s="419" t="s">
        <v>665</v>
      </c>
      <c r="H96" s="419" t="s">
        <v>666</v>
      </c>
      <c r="I96" s="421">
        <v>9110.09</v>
      </c>
      <c r="J96" s="421">
        <v>7</v>
      </c>
      <c r="K96" s="422">
        <v>63770.630000000005</v>
      </c>
    </row>
    <row r="97" spans="1:11" ht="14.4" customHeight="1" x14ac:dyDescent="0.3">
      <c r="A97" s="417" t="s">
        <v>393</v>
      </c>
      <c r="B97" s="418" t="s">
        <v>394</v>
      </c>
      <c r="C97" s="419" t="s">
        <v>398</v>
      </c>
      <c r="D97" s="420" t="s">
        <v>467</v>
      </c>
      <c r="E97" s="419" t="s">
        <v>975</v>
      </c>
      <c r="F97" s="420" t="s">
        <v>976</v>
      </c>
      <c r="G97" s="419" t="s">
        <v>667</v>
      </c>
      <c r="H97" s="419" t="s">
        <v>668</v>
      </c>
      <c r="I97" s="421">
        <v>623.9</v>
      </c>
      <c r="J97" s="421">
        <v>1</v>
      </c>
      <c r="K97" s="422">
        <v>623.9</v>
      </c>
    </row>
    <row r="98" spans="1:11" ht="14.4" customHeight="1" x14ac:dyDescent="0.3">
      <c r="A98" s="417" t="s">
        <v>393</v>
      </c>
      <c r="B98" s="418" t="s">
        <v>394</v>
      </c>
      <c r="C98" s="419" t="s">
        <v>398</v>
      </c>
      <c r="D98" s="420" t="s">
        <v>467</v>
      </c>
      <c r="E98" s="419" t="s">
        <v>975</v>
      </c>
      <c r="F98" s="420" t="s">
        <v>976</v>
      </c>
      <c r="G98" s="419" t="s">
        <v>669</v>
      </c>
      <c r="H98" s="419" t="s">
        <v>670</v>
      </c>
      <c r="I98" s="421">
        <v>344.8</v>
      </c>
      <c r="J98" s="421">
        <v>7</v>
      </c>
      <c r="K98" s="422">
        <v>2413.6</v>
      </c>
    </row>
    <row r="99" spans="1:11" ht="14.4" customHeight="1" x14ac:dyDescent="0.3">
      <c r="A99" s="417" t="s">
        <v>393</v>
      </c>
      <c r="B99" s="418" t="s">
        <v>394</v>
      </c>
      <c r="C99" s="419" t="s">
        <v>398</v>
      </c>
      <c r="D99" s="420" t="s">
        <v>467</v>
      </c>
      <c r="E99" s="419" t="s">
        <v>975</v>
      </c>
      <c r="F99" s="420" t="s">
        <v>976</v>
      </c>
      <c r="G99" s="419" t="s">
        <v>671</v>
      </c>
      <c r="H99" s="419" t="s">
        <v>672</v>
      </c>
      <c r="I99" s="421">
        <v>1086.58</v>
      </c>
      <c r="J99" s="421">
        <v>10</v>
      </c>
      <c r="K99" s="422">
        <v>10865.8</v>
      </c>
    </row>
    <row r="100" spans="1:11" ht="14.4" customHeight="1" x14ac:dyDescent="0.3">
      <c r="A100" s="417" t="s">
        <v>393</v>
      </c>
      <c r="B100" s="418" t="s">
        <v>394</v>
      </c>
      <c r="C100" s="419" t="s">
        <v>398</v>
      </c>
      <c r="D100" s="420" t="s">
        <v>467</v>
      </c>
      <c r="E100" s="419" t="s">
        <v>975</v>
      </c>
      <c r="F100" s="420" t="s">
        <v>976</v>
      </c>
      <c r="G100" s="419" t="s">
        <v>673</v>
      </c>
      <c r="H100" s="419" t="s">
        <v>674</v>
      </c>
      <c r="I100" s="421">
        <v>26517.27</v>
      </c>
      <c r="J100" s="421">
        <v>3</v>
      </c>
      <c r="K100" s="422">
        <v>79551.81</v>
      </c>
    </row>
    <row r="101" spans="1:11" ht="14.4" customHeight="1" x14ac:dyDescent="0.3">
      <c r="A101" s="417" t="s">
        <v>393</v>
      </c>
      <c r="B101" s="418" t="s">
        <v>394</v>
      </c>
      <c r="C101" s="419" t="s">
        <v>398</v>
      </c>
      <c r="D101" s="420" t="s">
        <v>467</v>
      </c>
      <c r="E101" s="419" t="s">
        <v>975</v>
      </c>
      <c r="F101" s="420" t="s">
        <v>976</v>
      </c>
      <c r="G101" s="419" t="s">
        <v>675</v>
      </c>
      <c r="H101" s="419" t="s">
        <v>676</v>
      </c>
      <c r="I101" s="421">
        <v>6976.86</v>
      </c>
      <c r="J101" s="421">
        <v>9</v>
      </c>
      <c r="K101" s="422">
        <v>62791.740000000005</v>
      </c>
    </row>
    <row r="102" spans="1:11" ht="14.4" customHeight="1" x14ac:dyDescent="0.3">
      <c r="A102" s="417" t="s">
        <v>393</v>
      </c>
      <c r="B102" s="418" t="s">
        <v>394</v>
      </c>
      <c r="C102" s="419" t="s">
        <v>398</v>
      </c>
      <c r="D102" s="420" t="s">
        <v>467</v>
      </c>
      <c r="E102" s="419" t="s">
        <v>975</v>
      </c>
      <c r="F102" s="420" t="s">
        <v>976</v>
      </c>
      <c r="G102" s="419" t="s">
        <v>677</v>
      </c>
      <c r="H102" s="419" t="s">
        <v>678</v>
      </c>
      <c r="I102" s="421">
        <v>13103.09</v>
      </c>
      <c r="J102" s="421">
        <v>5</v>
      </c>
      <c r="K102" s="422">
        <v>65515.450000000004</v>
      </c>
    </row>
    <row r="103" spans="1:11" ht="14.4" customHeight="1" x14ac:dyDescent="0.3">
      <c r="A103" s="417" t="s">
        <v>393</v>
      </c>
      <c r="B103" s="418" t="s">
        <v>394</v>
      </c>
      <c r="C103" s="419" t="s">
        <v>398</v>
      </c>
      <c r="D103" s="420" t="s">
        <v>467</v>
      </c>
      <c r="E103" s="419" t="s">
        <v>975</v>
      </c>
      <c r="F103" s="420" t="s">
        <v>976</v>
      </c>
      <c r="G103" s="419" t="s">
        <v>679</v>
      </c>
      <c r="H103" s="419" t="s">
        <v>680</v>
      </c>
      <c r="I103" s="421">
        <v>9110.09</v>
      </c>
      <c r="J103" s="421">
        <v>7</v>
      </c>
      <c r="K103" s="422">
        <v>63770.630000000005</v>
      </c>
    </row>
    <row r="104" spans="1:11" ht="14.4" customHeight="1" x14ac:dyDescent="0.3">
      <c r="A104" s="417" t="s">
        <v>393</v>
      </c>
      <c r="B104" s="418" t="s">
        <v>394</v>
      </c>
      <c r="C104" s="419" t="s">
        <v>398</v>
      </c>
      <c r="D104" s="420" t="s">
        <v>467</v>
      </c>
      <c r="E104" s="419" t="s">
        <v>975</v>
      </c>
      <c r="F104" s="420" t="s">
        <v>976</v>
      </c>
      <c r="G104" s="419" t="s">
        <v>681</v>
      </c>
      <c r="H104" s="419" t="s">
        <v>682</v>
      </c>
      <c r="I104" s="421">
        <v>4942.8500000000004</v>
      </c>
      <c r="J104" s="421">
        <v>3</v>
      </c>
      <c r="K104" s="422">
        <v>14828.550000000001</v>
      </c>
    </row>
    <row r="105" spans="1:11" ht="14.4" customHeight="1" x14ac:dyDescent="0.3">
      <c r="A105" s="417" t="s">
        <v>393</v>
      </c>
      <c r="B105" s="418" t="s">
        <v>394</v>
      </c>
      <c r="C105" s="419" t="s">
        <v>398</v>
      </c>
      <c r="D105" s="420" t="s">
        <v>467</v>
      </c>
      <c r="E105" s="419" t="s">
        <v>975</v>
      </c>
      <c r="F105" s="420" t="s">
        <v>976</v>
      </c>
      <c r="G105" s="419" t="s">
        <v>683</v>
      </c>
      <c r="H105" s="419" t="s">
        <v>684</v>
      </c>
      <c r="I105" s="421">
        <v>7364.06</v>
      </c>
      <c r="J105" s="421">
        <v>9</v>
      </c>
      <c r="K105" s="422">
        <v>66276.540000000008</v>
      </c>
    </row>
    <row r="106" spans="1:11" ht="14.4" customHeight="1" x14ac:dyDescent="0.3">
      <c r="A106" s="417" t="s">
        <v>393</v>
      </c>
      <c r="B106" s="418" t="s">
        <v>394</v>
      </c>
      <c r="C106" s="419" t="s">
        <v>398</v>
      </c>
      <c r="D106" s="420" t="s">
        <v>467</v>
      </c>
      <c r="E106" s="419" t="s">
        <v>975</v>
      </c>
      <c r="F106" s="420" t="s">
        <v>976</v>
      </c>
      <c r="G106" s="419" t="s">
        <v>685</v>
      </c>
      <c r="H106" s="419" t="s">
        <v>686</v>
      </c>
      <c r="I106" s="421">
        <v>1744.82</v>
      </c>
      <c r="J106" s="421">
        <v>5</v>
      </c>
      <c r="K106" s="422">
        <v>8724.1</v>
      </c>
    </row>
    <row r="107" spans="1:11" ht="14.4" customHeight="1" x14ac:dyDescent="0.3">
      <c r="A107" s="417" t="s">
        <v>393</v>
      </c>
      <c r="B107" s="418" t="s">
        <v>394</v>
      </c>
      <c r="C107" s="419" t="s">
        <v>398</v>
      </c>
      <c r="D107" s="420" t="s">
        <v>467</v>
      </c>
      <c r="E107" s="419" t="s">
        <v>975</v>
      </c>
      <c r="F107" s="420" t="s">
        <v>976</v>
      </c>
      <c r="G107" s="419" t="s">
        <v>687</v>
      </c>
      <c r="H107" s="419" t="s">
        <v>688</v>
      </c>
      <c r="I107" s="421">
        <v>32101.3</v>
      </c>
      <c r="J107" s="421">
        <v>3</v>
      </c>
      <c r="K107" s="422">
        <v>96303.9</v>
      </c>
    </row>
    <row r="108" spans="1:11" ht="14.4" customHeight="1" x14ac:dyDescent="0.3">
      <c r="A108" s="417" t="s">
        <v>393</v>
      </c>
      <c r="B108" s="418" t="s">
        <v>394</v>
      </c>
      <c r="C108" s="419" t="s">
        <v>398</v>
      </c>
      <c r="D108" s="420" t="s">
        <v>467</v>
      </c>
      <c r="E108" s="419" t="s">
        <v>975</v>
      </c>
      <c r="F108" s="420" t="s">
        <v>976</v>
      </c>
      <c r="G108" s="419" t="s">
        <v>689</v>
      </c>
      <c r="H108" s="419" t="s">
        <v>690</v>
      </c>
      <c r="I108" s="421">
        <v>9110.09</v>
      </c>
      <c r="J108" s="421">
        <v>7</v>
      </c>
      <c r="K108" s="422">
        <v>63770.630000000005</v>
      </c>
    </row>
    <row r="109" spans="1:11" ht="14.4" customHeight="1" x14ac:dyDescent="0.3">
      <c r="A109" s="417" t="s">
        <v>393</v>
      </c>
      <c r="B109" s="418" t="s">
        <v>394</v>
      </c>
      <c r="C109" s="419" t="s">
        <v>398</v>
      </c>
      <c r="D109" s="420" t="s">
        <v>467</v>
      </c>
      <c r="E109" s="419" t="s">
        <v>975</v>
      </c>
      <c r="F109" s="420" t="s">
        <v>976</v>
      </c>
      <c r="G109" s="419" t="s">
        <v>691</v>
      </c>
      <c r="H109" s="419" t="s">
        <v>692</v>
      </c>
      <c r="I109" s="421">
        <v>271.04000000000002</v>
      </c>
      <c r="J109" s="421">
        <v>2</v>
      </c>
      <c r="K109" s="422">
        <v>542.08000000000004</v>
      </c>
    </row>
    <row r="110" spans="1:11" ht="14.4" customHeight="1" x14ac:dyDescent="0.3">
      <c r="A110" s="417" t="s">
        <v>393</v>
      </c>
      <c r="B110" s="418" t="s">
        <v>394</v>
      </c>
      <c r="C110" s="419" t="s">
        <v>398</v>
      </c>
      <c r="D110" s="420" t="s">
        <v>467</v>
      </c>
      <c r="E110" s="419" t="s">
        <v>975</v>
      </c>
      <c r="F110" s="420" t="s">
        <v>976</v>
      </c>
      <c r="G110" s="419" t="s">
        <v>693</v>
      </c>
      <c r="H110" s="419" t="s">
        <v>694</v>
      </c>
      <c r="I110" s="421">
        <v>3346.86</v>
      </c>
      <c r="J110" s="421">
        <v>1</v>
      </c>
      <c r="K110" s="422">
        <v>3346.86</v>
      </c>
    </row>
    <row r="111" spans="1:11" ht="14.4" customHeight="1" x14ac:dyDescent="0.3">
      <c r="A111" s="417" t="s">
        <v>393</v>
      </c>
      <c r="B111" s="418" t="s">
        <v>394</v>
      </c>
      <c r="C111" s="419" t="s">
        <v>398</v>
      </c>
      <c r="D111" s="420" t="s">
        <v>467</v>
      </c>
      <c r="E111" s="419" t="s">
        <v>975</v>
      </c>
      <c r="F111" s="420" t="s">
        <v>976</v>
      </c>
      <c r="G111" s="419" t="s">
        <v>695</v>
      </c>
      <c r="H111" s="419" t="s">
        <v>696</v>
      </c>
      <c r="I111" s="421">
        <v>14534.519999999999</v>
      </c>
      <c r="J111" s="421">
        <v>3</v>
      </c>
      <c r="K111" s="422">
        <v>43603.56</v>
      </c>
    </row>
    <row r="112" spans="1:11" ht="14.4" customHeight="1" x14ac:dyDescent="0.3">
      <c r="A112" s="417" t="s">
        <v>393</v>
      </c>
      <c r="B112" s="418" t="s">
        <v>394</v>
      </c>
      <c r="C112" s="419" t="s">
        <v>398</v>
      </c>
      <c r="D112" s="420" t="s">
        <v>467</v>
      </c>
      <c r="E112" s="419" t="s">
        <v>975</v>
      </c>
      <c r="F112" s="420" t="s">
        <v>976</v>
      </c>
      <c r="G112" s="419" t="s">
        <v>697</v>
      </c>
      <c r="H112" s="419" t="s">
        <v>698</v>
      </c>
      <c r="I112" s="421">
        <v>5355.46</v>
      </c>
      <c r="J112" s="421">
        <v>3</v>
      </c>
      <c r="K112" s="422">
        <v>16066.38</v>
      </c>
    </row>
    <row r="113" spans="1:11" ht="14.4" customHeight="1" x14ac:dyDescent="0.3">
      <c r="A113" s="417" t="s">
        <v>393</v>
      </c>
      <c r="B113" s="418" t="s">
        <v>394</v>
      </c>
      <c r="C113" s="419" t="s">
        <v>398</v>
      </c>
      <c r="D113" s="420" t="s">
        <v>467</v>
      </c>
      <c r="E113" s="419" t="s">
        <v>975</v>
      </c>
      <c r="F113" s="420" t="s">
        <v>976</v>
      </c>
      <c r="G113" s="419" t="s">
        <v>699</v>
      </c>
      <c r="H113" s="419" t="s">
        <v>700</v>
      </c>
      <c r="I113" s="421">
        <v>3633.63</v>
      </c>
      <c r="J113" s="421">
        <v>2</v>
      </c>
      <c r="K113" s="422">
        <v>7267.26</v>
      </c>
    </row>
    <row r="114" spans="1:11" ht="14.4" customHeight="1" x14ac:dyDescent="0.3">
      <c r="A114" s="417" t="s">
        <v>393</v>
      </c>
      <c r="B114" s="418" t="s">
        <v>394</v>
      </c>
      <c r="C114" s="419" t="s">
        <v>398</v>
      </c>
      <c r="D114" s="420" t="s">
        <v>467</v>
      </c>
      <c r="E114" s="419" t="s">
        <v>975</v>
      </c>
      <c r="F114" s="420" t="s">
        <v>976</v>
      </c>
      <c r="G114" s="419" t="s">
        <v>701</v>
      </c>
      <c r="H114" s="419" t="s">
        <v>702</v>
      </c>
      <c r="I114" s="421">
        <v>5929</v>
      </c>
      <c r="J114" s="421">
        <v>2</v>
      </c>
      <c r="K114" s="422">
        <v>11858</v>
      </c>
    </row>
    <row r="115" spans="1:11" ht="14.4" customHeight="1" x14ac:dyDescent="0.3">
      <c r="A115" s="417" t="s">
        <v>393</v>
      </c>
      <c r="B115" s="418" t="s">
        <v>394</v>
      </c>
      <c r="C115" s="419" t="s">
        <v>398</v>
      </c>
      <c r="D115" s="420" t="s">
        <v>467</v>
      </c>
      <c r="E115" s="419" t="s">
        <v>975</v>
      </c>
      <c r="F115" s="420" t="s">
        <v>976</v>
      </c>
      <c r="G115" s="419" t="s">
        <v>703</v>
      </c>
      <c r="H115" s="419" t="s">
        <v>704</v>
      </c>
      <c r="I115" s="421">
        <v>139.15</v>
      </c>
      <c r="J115" s="421">
        <v>1</v>
      </c>
      <c r="K115" s="422">
        <v>139.15</v>
      </c>
    </row>
    <row r="116" spans="1:11" ht="14.4" customHeight="1" x14ac:dyDescent="0.3">
      <c r="A116" s="417" t="s">
        <v>393</v>
      </c>
      <c r="B116" s="418" t="s">
        <v>394</v>
      </c>
      <c r="C116" s="419" t="s">
        <v>398</v>
      </c>
      <c r="D116" s="420" t="s">
        <v>467</v>
      </c>
      <c r="E116" s="419" t="s">
        <v>975</v>
      </c>
      <c r="F116" s="420" t="s">
        <v>976</v>
      </c>
      <c r="G116" s="419" t="s">
        <v>705</v>
      </c>
      <c r="H116" s="419" t="s">
        <v>706</v>
      </c>
      <c r="I116" s="421">
        <v>13.61</v>
      </c>
      <c r="J116" s="421">
        <v>600</v>
      </c>
      <c r="K116" s="422">
        <v>8167.5</v>
      </c>
    </row>
    <row r="117" spans="1:11" ht="14.4" customHeight="1" x14ac:dyDescent="0.3">
      <c r="A117" s="417" t="s">
        <v>393</v>
      </c>
      <c r="B117" s="418" t="s">
        <v>394</v>
      </c>
      <c r="C117" s="419" t="s">
        <v>398</v>
      </c>
      <c r="D117" s="420" t="s">
        <v>467</v>
      </c>
      <c r="E117" s="419" t="s">
        <v>975</v>
      </c>
      <c r="F117" s="420" t="s">
        <v>976</v>
      </c>
      <c r="G117" s="419" t="s">
        <v>707</v>
      </c>
      <c r="H117" s="419" t="s">
        <v>708</v>
      </c>
      <c r="I117" s="421">
        <v>459.79999999999995</v>
      </c>
      <c r="J117" s="421">
        <v>6</v>
      </c>
      <c r="K117" s="422">
        <v>2758.8</v>
      </c>
    </row>
    <row r="118" spans="1:11" ht="14.4" customHeight="1" x14ac:dyDescent="0.3">
      <c r="A118" s="417" t="s">
        <v>393</v>
      </c>
      <c r="B118" s="418" t="s">
        <v>394</v>
      </c>
      <c r="C118" s="419" t="s">
        <v>398</v>
      </c>
      <c r="D118" s="420" t="s">
        <v>467</v>
      </c>
      <c r="E118" s="419" t="s">
        <v>975</v>
      </c>
      <c r="F118" s="420" t="s">
        <v>976</v>
      </c>
      <c r="G118" s="419" t="s">
        <v>709</v>
      </c>
      <c r="H118" s="419" t="s">
        <v>710</v>
      </c>
      <c r="I118" s="421">
        <v>5104.9449999999997</v>
      </c>
      <c r="J118" s="421">
        <v>4</v>
      </c>
      <c r="K118" s="422">
        <v>20419.78</v>
      </c>
    </row>
    <row r="119" spans="1:11" ht="14.4" customHeight="1" x14ac:dyDescent="0.3">
      <c r="A119" s="417" t="s">
        <v>393</v>
      </c>
      <c r="B119" s="418" t="s">
        <v>394</v>
      </c>
      <c r="C119" s="419" t="s">
        <v>398</v>
      </c>
      <c r="D119" s="420" t="s">
        <v>467</v>
      </c>
      <c r="E119" s="419" t="s">
        <v>975</v>
      </c>
      <c r="F119" s="420" t="s">
        <v>976</v>
      </c>
      <c r="G119" s="419" t="s">
        <v>711</v>
      </c>
      <c r="H119" s="419" t="s">
        <v>712</v>
      </c>
      <c r="I119" s="421">
        <v>7626.63</v>
      </c>
      <c r="J119" s="421">
        <v>5</v>
      </c>
      <c r="K119" s="422">
        <v>38133.15</v>
      </c>
    </row>
    <row r="120" spans="1:11" ht="14.4" customHeight="1" x14ac:dyDescent="0.3">
      <c r="A120" s="417" t="s">
        <v>393</v>
      </c>
      <c r="B120" s="418" t="s">
        <v>394</v>
      </c>
      <c r="C120" s="419" t="s">
        <v>398</v>
      </c>
      <c r="D120" s="420" t="s">
        <v>467</v>
      </c>
      <c r="E120" s="419" t="s">
        <v>975</v>
      </c>
      <c r="F120" s="420" t="s">
        <v>976</v>
      </c>
      <c r="G120" s="419" t="s">
        <v>713</v>
      </c>
      <c r="H120" s="419" t="s">
        <v>714</v>
      </c>
      <c r="I120" s="421">
        <v>8569.2199999999993</v>
      </c>
      <c r="J120" s="421">
        <v>3</v>
      </c>
      <c r="K120" s="422">
        <v>25707.659999999996</v>
      </c>
    </row>
    <row r="121" spans="1:11" ht="14.4" customHeight="1" x14ac:dyDescent="0.3">
      <c r="A121" s="417" t="s">
        <v>393</v>
      </c>
      <c r="B121" s="418" t="s">
        <v>394</v>
      </c>
      <c r="C121" s="419" t="s">
        <v>398</v>
      </c>
      <c r="D121" s="420" t="s">
        <v>467</v>
      </c>
      <c r="E121" s="419" t="s">
        <v>975</v>
      </c>
      <c r="F121" s="420" t="s">
        <v>976</v>
      </c>
      <c r="G121" s="419" t="s">
        <v>715</v>
      </c>
      <c r="H121" s="419" t="s">
        <v>716</v>
      </c>
      <c r="I121" s="421">
        <v>3630</v>
      </c>
      <c r="J121" s="421">
        <v>16</v>
      </c>
      <c r="K121" s="422">
        <v>58080</v>
      </c>
    </row>
    <row r="122" spans="1:11" ht="14.4" customHeight="1" x14ac:dyDescent="0.3">
      <c r="A122" s="417" t="s">
        <v>393</v>
      </c>
      <c r="B122" s="418" t="s">
        <v>394</v>
      </c>
      <c r="C122" s="419" t="s">
        <v>398</v>
      </c>
      <c r="D122" s="420" t="s">
        <v>467</v>
      </c>
      <c r="E122" s="419" t="s">
        <v>975</v>
      </c>
      <c r="F122" s="420" t="s">
        <v>976</v>
      </c>
      <c r="G122" s="419" t="s">
        <v>717</v>
      </c>
      <c r="H122" s="419" t="s">
        <v>718</v>
      </c>
      <c r="I122" s="421">
        <v>5104.8900000000003</v>
      </c>
      <c r="J122" s="421">
        <v>2</v>
      </c>
      <c r="K122" s="422">
        <v>10209.780000000001</v>
      </c>
    </row>
    <row r="123" spans="1:11" ht="14.4" customHeight="1" x14ac:dyDescent="0.3">
      <c r="A123" s="417" t="s">
        <v>393</v>
      </c>
      <c r="B123" s="418" t="s">
        <v>394</v>
      </c>
      <c r="C123" s="419" t="s">
        <v>398</v>
      </c>
      <c r="D123" s="420" t="s">
        <v>467</v>
      </c>
      <c r="E123" s="419" t="s">
        <v>975</v>
      </c>
      <c r="F123" s="420" t="s">
        <v>976</v>
      </c>
      <c r="G123" s="419" t="s">
        <v>719</v>
      </c>
      <c r="H123" s="419" t="s">
        <v>720</v>
      </c>
      <c r="I123" s="421">
        <v>492.46500000000003</v>
      </c>
      <c r="J123" s="421">
        <v>5</v>
      </c>
      <c r="K123" s="422">
        <v>2462.33</v>
      </c>
    </row>
    <row r="124" spans="1:11" ht="14.4" customHeight="1" x14ac:dyDescent="0.3">
      <c r="A124" s="417" t="s">
        <v>393</v>
      </c>
      <c r="B124" s="418" t="s">
        <v>394</v>
      </c>
      <c r="C124" s="419" t="s">
        <v>398</v>
      </c>
      <c r="D124" s="420" t="s">
        <v>467</v>
      </c>
      <c r="E124" s="419" t="s">
        <v>975</v>
      </c>
      <c r="F124" s="420" t="s">
        <v>976</v>
      </c>
      <c r="G124" s="419" t="s">
        <v>721</v>
      </c>
      <c r="H124" s="419" t="s">
        <v>722</v>
      </c>
      <c r="I124" s="421">
        <v>5104.9633333333331</v>
      </c>
      <c r="J124" s="421">
        <v>3</v>
      </c>
      <c r="K124" s="422">
        <v>15314.89</v>
      </c>
    </row>
    <row r="125" spans="1:11" ht="14.4" customHeight="1" x14ac:dyDescent="0.3">
      <c r="A125" s="417" t="s">
        <v>393</v>
      </c>
      <c r="B125" s="418" t="s">
        <v>394</v>
      </c>
      <c r="C125" s="419" t="s">
        <v>398</v>
      </c>
      <c r="D125" s="420" t="s">
        <v>467</v>
      </c>
      <c r="E125" s="419" t="s">
        <v>975</v>
      </c>
      <c r="F125" s="420" t="s">
        <v>976</v>
      </c>
      <c r="G125" s="419" t="s">
        <v>723</v>
      </c>
      <c r="H125" s="419" t="s">
        <v>724</v>
      </c>
      <c r="I125" s="421">
        <v>4840</v>
      </c>
      <c r="J125" s="421">
        <v>1</v>
      </c>
      <c r="K125" s="422">
        <v>4840</v>
      </c>
    </row>
    <row r="126" spans="1:11" ht="14.4" customHeight="1" x14ac:dyDescent="0.3">
      <c r="A126" s="417" t="s">
        <v>393</v>
      </c>
      <c r="B126" s="418" t="s">
        <v>394</v>
      </c>
      <c r="C126" s="419" t="s">
        <v>398</v>
      </c>
      <c r="D126" s="420" t="s">
        <v>467</v>
      </c>
      <c r="E126" s="419" t="s">
        <v>975</v>
      </c>
      <c r="F126" s="420" t="s">
        <v>976</v>
      </c>
      <c r="G126" s="419" t="s">
        <v>725</v>
      </c>
      <c r="H126" s="419" t="s">
        <v>726</v>
      </c>
      <c r="I126" s="421">
        <v>5989.5</v>
      </c>
      <c r="J126" s="421">
        <v>1</v>
      </c>
      <c r="K126" s="422">
        <v>5989.5</v>
      </c>
    </row>
    <row r="127" spans="1:11" ht="14.4" customHeight="1" x14ac:dyDescent="0.3">
      <c r="A127" s="417" t="s">
        <v>393</v>
      </c>
      <c r="B127" s="418" t="s">
        <v>394</v>
      </c>
      <c r="C127" s="419" t="s">
        <v>398</v>
      </c>
      <c r="D127" s="420" t="s">
        <v>467</v>
      </c>
      <c r="E127" s="419" t="s">
        <v>975</v>
      </c>
      <c r="F127" s="420" t="s">
        <v>976</v>
      </c>
      <c r="G127" s="419" t="s">
        <v>727</v>
      </c>
      <c r="H127" s="419" t="s">
        <v>728</v>
      </c>
      <c r="I127" s="421">
        <v>7839.59</v>
      </c>
      <c r="J127" s="421">
        <v>1</v>
      </c>
      <c r="K127" s="422">
        <v>7839.59</v>
      </c>
    </row>
    <row r="128" spans="1:11" ht="14.4" customHeight="1" x14ac:dyDescent="0.3">
      <c r="A128" s="417" t="s">
        <v>393</v>
      </c>
      <c r="B128" s="418" t="s">
        <v>394</v>
      </c>
      <c r="C128" s="419" t="s">
        <v>398</v>
      </c>
      <c r="D128" s="420" t="s">
        <v>467</v>
      </c>
      <c r="E128" s="419" t="s">
        <v>975</v>
      </c>
      <c r="F128" s="420" t="s">
        <v>976</v>
      </c>
      <c r="G128" s="419" t="s">
        <v>729</v>
      </c>
      <c r="H128" s="419" t="s">
        <v>730</v>
      </c>
      <c r="I128" s="421">
        <v>18.14</v>
      </c>
      <c r="J128" s="421">
        <v>480</v>
      </c>
      <c r="K128" s="422">
        <v>8706.2000000000007</v>
      </c>
    </row>
    <row r="129" spans="1:11" ht="14.4" customHeight="1" x14ac:dyDescent="0.3">
      <c r="A129" s="417" t="s">
        <v>393</v>
      </c>
      <c r="B129" s="418" t="s">
        <v>394</v>
      </c>
      <c r="C129" s="419" t="s">
        <v>398</v>
      </c>
      <c r="D129" s="420" t="s">
        <v>467</v>
      </c>
      <c r="E129" s="419" t="s">
        <v>975</v>
      </c>
      <c r="F129" s="420" t="s">
        <v>976</v>
      </c>
      <c r="G129" s="419" t="s">
        <v>731</v>
      </c>
      <c r="H129" s="419" t="s">
        <v>732</v>
      </c>
      <c r="I129" s="421">
        <v>5104.9449999999997</v>
      </c>
      <c r="J129" s="421">
        <v>2</v>
      </c>
      <c r="K129" s="422">
        <v>10209.89</v>
      </c>
    </row>
    <row r="130" spans="1:11" ht="14.4" customHeight="1" x14ac:dyDescent="0.3">
      <c r="A130" s="417" t="s">
        <v>393</v>
      </c>
      <c r="B130" s="418" t="s">
        <v>394</v>
      </c>
      <c r="C130" s="419" t="s">
        <v>398</v>
      </c>
      <c r="D130" s="420" t="s">
        <v>467</v>
      </c>
      <c r="E130" s="419" t="s">
        <v>975</v>
      </c>
      <c r="F130" s="420" t="s">
        <v>976</v>
      </c>
      <c r="G130" s="419" t="s">
        <v>733</v>
      </c>
      <c r="H130" s="419" t="s">
        <v>734</v>
      </c>
      <c r="I130" s="421">
        <v>7008.32</v>
      </c>
      <c r="J130" s="421">
        <v>5</v>
      </c>
      <c r="K130" s="422">
        <v>35041.599999999999</v>
      </c>
    </row>
    <row r="131" spans="1:11" ht="14.4" customHeight="1" x14ac:dyDescent="0.3">
      <c r="A131" s="417" t="s">
        <v>393</v>
      </c>
      <c r="B131" s="418" t="s">
        <v>394</v>
      </c>
      <c r="C131" s="419" t="s">
        <v>398</v>
      </c>
      <c r="D131" s="420" t="s">
        <v>467</v>
      </c>
      <c r="E131" s="419" t="s">
        <v>975</v>
      </c>
      <c r="F131" s="420" t="s">
        <v>976</v>
      </c>
      <c r="G131" s="419" t="s">
        <v>735</v>
      </c>
      <c r="H131" s="419" t="s">
        <v>736</v>
      </c>
      <c r="I131" s="421">
        <v>8985.4599999999991</v>
      </c>
      <c r="J131" s="421">
        <v>4</v>
      </c>
      <c r="K131" s="422">
        <v>35941.839999999997</v>
      </c>
    </row>
    <row r="132" spans="1:11" ht="14.4" customHeight="1" x14ac:dyDescent="0.3">
      <c r="A132" s="417" t="s">
        <v>393</v>
      </c>
      <c r="B132" s="418" t="s">
        <v>394</v>
      </c>
      <c r="C132" s="419" t="s">
        <v>398</v>
      </c>
      <c r="D132" s="420" t="s">
        <v>467</v>
      </c>
      <c r="E132" s="419" t="s">
        <v>975</v>
      </c>
      <c r="F132" s="420" t="s">
        <v>976</v>
      </c>
      <c r="G132" s="419" t="s">
        <v>737</v>
      </c>
      <c r="H132" s="419" t="s">
        <v>738</v>
      </c>
      <c r="I132" s="421">
        <v>6594.5</v>
      </c>
      <c r="J132" s="421">
        <v>2</v>
      </c>
      <c r="K132" s="422">
        <v>13189</v>
      </c>
    </row>
    <row r="133" spans="1:11" ht="14.4" customHeight="1" x14ac:dyDescent="0.3">
      <c r="A133" s="417" t="s">
        <v>393</v>
      </c>
      <c r="B133" s="418" t="s">
        <v>394</v>
      </c>
      <c r="C133" s="419" t="s">
        <v>398</v>
      </c>
      <c r="D133" s="420" t="s">
        <v>467</v>
      </c>
      <c r="E133" s="419" t="s">
        <v>975</v>
      </c>
      <c r="F133" s="420" t="s">
        <v>976</v>
      </c>
      <c r="G133" s="419" t="s">
        <v>739</v>
      </c>
      <c r="H133" s="419" t="s">
        <v>740</v>
      </c>
      <c r="I133" s="421">
        <v>274.67</v>
      </c>
      <c r="J133" s="421">
        <v>30</v>
      </c>
      <c r="K133" s="422">
        <v>8240.0499999999993</v>
      </c>
    </row>
    <row r="134" spans="1:11" ht="14.4" customHeight="1" x14ac:dyDescent="0.3">
      <c r="A134" s="417" t="s">
        <v>393</v>
      </c>
      <c r="B134" s="418" t="s">
        <v>394</v>
      </c>
      <c r="C134" s="419" t="s">
        <v>398</v>
      </c>
      <c r="D134" s="420" t="s">
        <v>467</v>
      </c>
      <c r="E134" s="419" t="s">
        <v>975</v>
      </c>
      <c r="F134" s="420" t="s">
        <v>976</v>
      </c>
      <c r="G134" s="419" t="s">
        <v>741</v>
      </c>
      <c r="H134" s="419" t="s">
        <v>742</v>
      </c>
      <c r="I134" s="421">
        <v>492.47</v>
      </c>
      <c r="J134" s="421">
        <v>5</v>
      </c>
      <c r="K134" s="422">
        <v>2462.3500000000004</v>
      </c>
    </row>
    <row r="135" spans="1:11" ht="14.4" customHeight="1" x14ac:dyDescent="0.3">
      <c r="A135" s="417" t="s">
        <v>393</v>
      </c>
      <c r="B135" s="418" t="s">
        <v>394</v>
      </c>
      <c r="C135" s="419" t="s">
        <v>398</v>
      </c>
      <c r="D135" s="420" t="s">
        <v>467</v>
      </c>
      <c r="E135" s="419" t="s">
        <v>975</v>
      </c>
      <c r="F135" s="420" t="s">
        <v>976</v>
      </c>
      <c r="G135" s="419" t="s">
        <v>743</v>
      </c>
      <c r="H135" s="419" t="s">
        <v>744</v>
      </c>
      <c r="I135" s="421">
        <v>492.47</v>
      </c>
      <c r="J135" s="421">
        <v>5</v>
      </c>
      <c r="K135" s="422">
        <v>2462.3500000000004</v>
      </c>
    </row>
    <row r="136" spans="1:11" ht="14.4" customHeight="1" x14ac:dyDescent="0.3">
      <c r="A136" s="417" t="s">
        <v>393</v>
      </c>
      <c r="B136" s="418" t="s">
        <v>394</v>
      </c>
      <c r="C136" s="419" t="s">
        <v>398</v>
      </c>
      <c r="D136" s="420" t="s">
        <v>467</v>
      </c>
      <c r="E136" s="419" t="s">
        <v>975</v>
      </c>
      <c r="F136" s="420" t="s">
        <v>976</v>
      </c>
      <c r="G136" s="419" t="s">
        <v>745</v>
      </c>
      <c r="H136" s="419" t="s">
        <v>746</v>
      </c>
      <c r="I136" s="421">
        <v>33.659999999999997</v>
      </c>
      <c r="J136" s="421">
        <v>960</v>
      </c>
      <c r="K136" s="422">
        <v>32315.699999999997</v>
      </c>
    </row>
    <row r="137" spans="1:11" ht="14.4" customHeight="1" x14ac:dyDescent="0.3">
      <c r="A137" s="417" t="s">
        <v>393</v>
      </c>
      <c r="B137" s="418" t="s">
        <v>394</v>
      </c>
      <c r="C137" s="419" t="s">
        <v>398</v>
      </c>
      <c r="D137" s="420" t="s">
        <v>467</v>
      </c>
      <c r="E137" s="419" t="s">
        <v>975</v>
      </c>
      <c r="F137" s="420" t="s">
        <v>976</v>
      </c>
      <c r="G137" s="419" t="s">
        <v>747</v>
      </c>
      <c r="H137" s="419" t="s">
        <v>748</v>
      </c>
      <c r="I137" s="421">
        <v>492.47</v>
      </c>
      <c r="J137" s="421">
        <v>5</v>
      </c>
      <c r="K137" s="422">
        <v>2462.3500000000004</v>
      </c>
    </row>
    <row r="138" spans="1:11" ht="14.4" customHeight="1" x14ac:dyDescent="0.3">
      <c r="A138" s="417" t="s">
        <v>393</v>
      </c>
      <c r="B138" s="418" t="s">
        <v>394</v>
      </c>
      <c r="C138" s="419" t="s">
        <v>398</v>
      </c>
      <c r="D138" s="420" t="s">
        <v>467</v>
      </c>
      <c r="E138" s="419" t="s">
        <v>975</v>
      </c>
      <c r="F138" s="420" t="s">
        <v>976</v>
      </c>
      <c r="G138" s="419" t="s">
        <v>749</v>
      </c>
      <c r="H138" s="419" t="s">
        <v>750</v>
      </c>
      <c r="I138" s="421">
        <v>274.67</v>
      </c>
      <c r="J138" s="421">
        <v>5</v>
      </c>
      <c r="K138" s="422">
        <v>1373.34</v>
      </c>
    </row>
    <row r="139" spans="1:11" ht="14.4" customHeight="1" x14ac:dyDescent="0.3">
      <c r="A139" s="417" t="s">
        <v>393</v>
      </c>
      <c r="B139" s="418" t="s">
        <v>394</v>
      </c>
      <c r="C139" s="419" t="s">
        <v>398</v>
      </c>
      <c r="D139" s="420" t="s">
        <v>467</v>
      </c>
      <c r="E139" s="419" t="s">
        <v>975</v>
      </c>
      <c r="F139" s="420" t="s">
        <v>976</v>
      </c>
      <c r="G139" s="419" t="s">
        <v>751</v>
      </c>
      <c r="H139" s="419" t="s">
        <v>752</v>
      </c>
      <c r="I139" s="421">
        <v>17.63</v>
      </c>
      <c r="J139" s="421">
        <v>60</v>
      </c>
      <c r="K139" s="422">
        <v>1057.77</v>
      </c>
    </row>
    <row r="140" spans="1:11" ht="14.4" customHeight="1" x14ac:dyDescent="0.3">
      <c r="A140" s="417" t="s">
        <v>393</v>
      </c>
      <c r="B140" s="418" t="s">
        <v>394</v>
      </c>
      <c r="C140" s="419" t="s">
        <v>398</v>
      </c>
      <c r="D140" s="420" t="s">
        <v>467</v>
      </c>
      <c r="E140" s="419" t="s">
        <v>975</v>
      </c>
      <c r="F140" s="420" t="s">
        <v>976</v>
      </c>
      <c r="G140" s="419" t="s">
        <v>753</v>
      </c>
      <c r="H140" s="419" t="s">
        <v>754</v>
      </c>
      <c r="I140" s="421">
        <v>492.47</v>
      </c>
      <c r="J140" s="421">
        <v>5</v>
      </c>
      <c r="K140" s="422">
        <v>2462.3500000000004</v>
      </c>
    </row>
    <row r="141" spans="1:11" ht="14.4" customHeight="1" x14ac:dyDescent="0.3">
      <c r="A141" s="417" t="s">
        <v>393</v>
      </c>
      <c r="B141" s="418" t="s">
        <v>394</v>
      </c>
      <c r="C141" s="419" t="s">
        <v>398</v>
      </c>
      <c r="D141" s="420" t="s">
        <v>467</v>
      </c>
      <c r="E141" s="419" t="s">
        <v>975</v>
      </c>
      <c r="F141" s="420" t="s">
        <v>976</v>
      </c>
      <c r="G141" s="419" t="s">
        <v>755</v>
      </c>
      <c r="H141" s="419" t="s">
        <v>756</v>
      </c>
      <c r="I141" s="421">
        <v>121</v>
      </c>
      <c r="J141" s="421">
        <v>3</v>
      </c>
      <c r="K141" s="422">
        <v>363</v>
      </c>
    </row>
    <row r="142" spans="1:11" ht="14.4" customHeight="1" x14ac:dyDescent="0.3">
      <c r="A142" s="417" t="s">
        <v>393</v>
      </c>
      <c r="B142" s="418" t="s">
        <v>394</v>
      </c>
      <c r="C142" s="419" t="s">
        <v>398</v>
      </c>
      <c r="D142" s="420" t="s">
        <v>467</v>
      </c>
      <c r="E142" s="419" t="s">
        <v>975</v>
      </c>
      <c r="F142" s="420" t="s">
        <v>976</v>
      </c>
      <c r="G142" s="419" t="s">
        <v>757</v>
      </c>
      <c r="H142" s="419" t="s">
        <v>758</v>
      </c>
      <c r="I142" s="421">
        <v>1076.9000000000001</v>
      </c>
      <c r="J142" s="421">
        <v>3</v>
      </c>
      <c r="K142" s="422">
        <v>3230.7000000000003</v>
      </c>
    </row>
    <row r="143" spans="1:11" ht="14.4" customHeight="1" x14ac:dyDescent="0.3">
      <c r="A143" s="417" t="s">
        <v>393</v>
      </c>
      <c r="B143" s="418" t="s">
        <v>394</v>
      </c>
      <c r="C143" s="419" t="s">
        <v>398</v>
      </c>
      <c r="D143" s="420" t="s">
        <v>467</v>
      </c>
      <c r="E143" s="419" t="s">
        <v>975</v>
      </c>
      <c r="F143" s="420" t="s">
        <v>976</v>
      </c>
      <c r="G143" s="419" t="s">
        <v>759</v>
      </c>
      <c r="H143" s="419" t="s">
        <v>760</v>
      </c>
      <c r="I143" s="421">
        <v>16740.349999999999</v>
      </c>
      <c r="J143" s="421">
        <v>1</v>
      </c>
      <c r="K143" s="422">
        <v>16740.349999999999</v>
      </c>
    </row>
    <row r="144" spans="1:11" ht="14.4" customHeight="1" x14ac:dyDescent="0.3">
      <c r="A144" s="417" t="s">
        <v>393</v>
      </c>
      <c r="B144" s="418" t="s">
        <v>394</v>
      </c>
      <c r="C144" s="419" t="s">
        <v>398</v>
      </c>
      <c r="D144" s="420" t="s">
        <v>467</v>
      </c>
      <c r="E144" s="419" t="s">
        <v>975</v>
      </c>
      <c r="F144" s="420" t="s">
        <v>976</v>
      </c>
      <c r="G144" s="419" t="s">
        <v>761</v>
      </c>
      <c r="H144" s="419" t="s">
        <v>762</v>
      </c>
      <c r="I144" s="421">
        <v>4840</v>
      </c>
      <c r="J144" s="421">
        <v>1</v>
      </c>
      <c r="K144" s="422">
        <v>4840</v>
      </c>
    </row>
    <row r="145" spans="1:11" ht="14.4" customHeight="1" x14ac:dyDescent="0.3">
      <c r="A145" s="417" t="s">
        <v>393</v>
      </c>
      <c r="B145" s="418" t="s">
        <v>394</v>
      </c>
      <c r="C145" s="419" t="s">
        <v>398</v>
      </c>
      <c r="D145" s="420" t="s">
        <v>467</v>
      </c>
      <c r="E145" s="419" t="s">
        <v>975</v>
      </c>
      <c r="F145" s="420" t="s">
        <v>976</v>
      </c>
      <c r="G145" s="419" t="s">
        <v>763</v>
      </c>
      <c r="H145" s="419" t="s">
        <v>764</v>
      </c>
      <c r="I145" s="421">
        <v>9196</v>
      </c>
      <c r="J145" s="421">
        <v>4</v>
      </c>
      <c r="K145" s="422">
        <v>36784</v>
      </c>
    </row>
    <row r="146" spans="1:11" ht="14.4" customHeight="1" x14ac:dyDescent="0.3">
      <c r="A146" s="417" t="s">
        <v>393</v>
      </c>
      <c r="B146" s="418" t="s">
        <v>394</v>
      </c>
      <c r="C146" s="419" t="s">
        <v>398</v>
      </c>
      <c r="D146" s="420" t="s">
        <v>467</v>
      </c>
      <c r="E146" s="419" t="s">
        <v>975</v>
      </c>
      <c r="F146" s="420" t="s">
        <v>976</v>
      </c>
      <c r="G146" s="419" t="s">
        <v>765</v>
      </c>
      <c r="H146" s="419" t="s">
        <v>766</v>
      </c>
      <c r="I146" s="421">
        <v>5105</v>
      </c>
      <c r="J146" s="421">
        <v>3</v>
      </c>
      <c r="K146" s="422">
        <v>15315</v>
      </c>
    </row>
    <row r="147" spans="1:11" ht="14.4" customHeight="1" x14ac:dyDescent="0.3">
      <c r="A147" s="417" t="s">
        <v>393</v>
      </c>
      <c r="B147" s="418" t="s">
        <v>394</v>
      </c>
      <c r="C147" s="419" t="s">
        <v>398</v>
      </c>
      <c r="D147" s="420" t="s">
        <v>467</v>
      </c>
      <c r="E147" s="419" t="s">
        <v>975</v>
      </c>
      <c r="F147" s="420" t="s">
        <v>976</v>
      </c>
      <c r="G147" s="419" t="s">
        <v>767</v>
      </c>
      <c r="H147" s="419" t="s">
        <v>768</v>
      </c>
      <c r="I147" s="421">
        <v>5104.8900000000003</v>
      </c>
      <c r="J147" s="421">
        <v>2</v>
      </c>
      <c r="K147" s="422">
        <v>10209.780000000001</v>
      </c>
    </row>
    <row r="148" spans="1:11" ht="14.4" customHeight="1" x14ac:dyDescent="0.3">
      <c r="A148" s="417" t="s">
        <v>393</v>
      </c>
      <c r="B148" s="418" t="s">
        <v>394</v>
      </c>
      <c r="C148" s="419" t="s">
        <v>398</v>
      </c>
      <c r="D148" s="420" t="s">
        <v>467</v>
      </c>
      <c r="E148" s="419" t="s">
        <v>975</v>
      </c>
      <c r="F148" s="420" t="s">
        <v>976</v>
      </c>
      <c r="G148" s="419" t="s">
        <v>769</v>
      </c>
      <c r="H148" s="419" t="s">
        <v>770</v>
      </c>
      <c r="I148" s="421">
        <v>492.47</v>
      </c>
      <c r="J148" s="421">
        <v>5</v>
      </c>
      <c r="K148" s="422">
        <v>2462.3500000000004</v>
      </c>
    </row>
    <row r="149" spans="1:11" ht="14.4" customHeight="1" x14ac:dyDescent="0.3">
      <c r="A149" s="417" t="s">
        <v>393</v>
      </c>
      <c r="B149" s="418" t="s">
        <v>394</v>
      </c>
      <c r="C149" s="419" t="s">
        <v>398</v>
      </c>
      <c r="D149" s="420" t="s">
        <v>467</v>
      </c>
      <c r="E149" s="419" t="s">
        <v>975</v>
      </c>
      <c r="F149" s="420" t="s">
        <v>976</v>
      </c>
      <c r="G149" s="419" t="s">
        <v>771</v>
      </c>
      <c r="H149" s="419" t="s">
        <v>772</v>
      </c>
      <c r="I149" s="421">
        <v>274.67</v>
      </c>
      <c r="J149" s="421">
        <v>3</v>
      </c>
      <c r="K149" s="422">
        <v>824.01</v>
      </c>
    </row>
    <row r="150" spans="1:11" ht="14.4" customHeight="1" x14ac:dyDescent="0.3">
      <c r="A150" s="417" t="s">
        <v>393</v>
      </c>
      <c r="B150" s="418" t="s">
        <v>394</v>
      </c>
      <c r="C150" s="419" t="s">
        <v>398</v>
      </c>
      <c r="D150" s="420" t="s">
        <v>467</v>
      </c>
      <c r="E150" s="419" t="s">
        <v>975</v>
      </c>
      <c r="F150" s="420" t="s">
        <v>976</v>
      </c>
      <c r="G150" s="419" t="s">
        <v>773</v>
      </c>
      <c r="H150" s="419" t="s">
        <v>774</v>
      </c>
      <c r="I150" s="421">
        <v>3639.68</v>
      </c>
      <c r="J150" s="421">
        <v>8</v>
      </c>
      <c r="K150" s="422">
        <v>29117.440000000002</v>
      </c>
    </row>
    <row r="151" spans="1:11" ht="14.4" customHeight="1" x14ac:dyDescent="0.3">
      <c r="A151" s="417" t="s">
        <v>393</v>
      </c>
      <c r="B151" s="418" t="s">
        <v>394</v>
      </c>
      <c r="C151" s="419" t="s">
        <v>398</v>
      </c>
      <c r="D151" s="420" t="s">
        <v>467</v>
      </c>
      <c r="E151" s="419" t="s">
        <v>975</v>
      </c>
      <c r="F151" s="420" t="s">
        <v>976</v>
      </c>
      <c r="G151" s="419" t="s">
        <v>775</v>
      </c>
      <c r="H151" s="419" t="s">
        <v>776</v>
      </c>
      <c r="I151" s="421">
        <v>5104.9400000000005</v>
      </c>
      <c r="J151" s="421">
        <v>2</v>
      </c>
      <c r="K151" s="422">
        <v>10209.880000000001</v>
      </c>
    </row>
    <row r="152" spans="1:11" ht="14.4" customHeight="1" x14ac:dyDescent="0.3">
      <c r="A152" s="417" t="s">
        <v>393</v>
      </c>
      <c r="B152" s="418" t="s">
        <v>394</v>
      </c>
      <c r="C152" s="419" t="s">
        <v>398</v>
      </c>
      <c r="D152" s="420" t="s">
        <v>467</v>
      </c>
      <c r="E152" s="419" t="s">
        <v>975</v>
      </c>
      <c r="F152" s="420" t="s">
        <v>976</v>
      </c>
      <c r="G152" s="419" t="s">
        <v>777</v>
      </c>
      <c r="H152" s="419" t="s">
        <v>778</v>
      </c>
      <c r="I152" s="421">
        <v>3523.52</v>
      </c>
      <c r="J152" s="421">
        <v>3</v>
      </c>
      <c r="K152" s="422">
        <v>10570.56</v>
      </c>
    </row>
    <row r="153" spans="1:11" ht="14.4" customHeight="1" x14ac:dyDescent="0.3">
      <c r="A153" s="417" t="s">
        <v>393</v>
      </c>
      <c r="B153" s="418" t="s">
        <v>394</v>
      </c>
      <c r="C153" s="419" t="s">
        <v>398</v>
      </c>
      <c r="D153" s="420" t="s">
        <v>467</v>
      </c>
      <c r="E153" s="419" t="s">
        <v>975</v>
      </c>
      <c r="F153" s="420" t="s">
        <v>976</v>
      </c>
      <c r="G153" s="419" t="s">
        <v>779</v>
      </c>
      <c r="H153" s="419" t="s">
        <v>780</v>
      </c>
      <c r="I153" s="421">
        <v>1159.92</v>
      </c>
      <c r="J153" s="421">
        <v>15</v>
      </c>
      <c r="K153" s="422">
        <v>17160.510000000002</v>
      </c>
    </row>
    <row r="154" spans="1:11" ht="14.4" customHeight="1" x14ac:dyDescent="0.3">
      <c r="A154" s="417" t="s">
        <v>393</v>
      </c>
      <c r="B154" s="418" t="s">
        <v>394</v>
      </c>
      <c r="C154" s="419" t="s">
        <v>398</v>
      </c>
      <c r="D154" s="420" t="s">
        <v>467</v>
      </c>
      <c r="E154" s="419" t="s">
        <v>975</v>
      </c>
      <c r="F154" s="420" t="s">
        <v>976</v>
      </c>
      <c r="G154" s="419" t="s">
        <v>781</v>
      </c>
      <c r="H154" s="419" t="s">
        <v>782</v>
      </c>
      <c r="I154" s="421">
        <v>239.58</v>
      </c>
      <c r="J154" s="421">
        <v>1</v>
      </c>
      <c r="K154" s="422">
        <v>239.58</v>
      </c>
    </row>
    <row r="155" spans="1:11" ht="14.4" customHeight="1" x14ac:dyDescent="0.3">
      <c r="A155" s="417" t="s">
        <v>393</v>
      </c>
      <c r="B155" s="418" t="s">
        <v>394</v>
      </c>
      <c r="C155" s="419" t="s">
        <v>398</v>
      </c>
      <c r="D155" s="420" t="s">
        <v>467</v>
      </c>
      <c r="E155" s="419" t="s">
        <v>975</v>
      </c>
      <c r="F155" s="420" t="s">
        <v>976</v>
      </c>
      <c r="G155" s="419" t="s">
        <v>783</v>
      </c>
      <c r="H155" s="419" t="s">
        <v>784</v>
      </c>
      <c r="I155" s="421">
        <v>4719</v>
      </c>
      <c r="J155" s="421">
        <v>3</v>
      </c>
      <c r="K155" s="422">
        <v>14157</v>
      </c>
    </row>
    <row r="156" spans="1:11" ht="14.4" customHeight="1" x14ac:dyDescent="0.3">
      <c r="A156" s="417" t="s">
        <v>393</v>
      </c>
      <c r="B156" s="418" t="s">
        <v>394</v>
      </c>
      <c r="C156" s="419" t="s">
        <v>398</v>
      </c>
      <c r="D156" s="420" t="s">
        <v>467</v>
      </c>
      <c r="E156" s="419" t="s">
        <v>975</v>
      </c>
      <c r="F156" s="420" t="s">
        <v>976</v>
      </c>
      <c r="G156" s="419" t="s">
        <v>785</v>
      </c>
      <c r="H156" s="419" t="s">
        <v>786</v>
      </c>
      <c r="I156" s="421">
        <v>4961</v>
      </c>
      <c r="J156" s="421">
        <v>2</v>
      </c>
      <c r="K156" s="422">
        <v>9922</v>
      </c>
    </row>
    <row r="157" spans="1:11" ht="14.4" customHeight="1" x14ac:dyDescent="0.3">
      <c r="A157" s="417" t="s">
        <v>393</v>
      </c>
      <c r="B157" s="418" t="s">
        <v>394</v>
      </c>
      <c r="C157" s="419" t="s">
        <v>398</v>
      </c>
      <c r="D157" s="420" t="s">
        <v>467</v>
      </c>
      <c r="E157" s="419" t="s">
        <v>975</v>
      </c>
      <c r="F157" s="420" t="s">
        <v>976</v>
      </c>
      <c r="G157" s="419" t="s">
        <v>787</v>
      </c>
      <c r="H157" s="419" t="s">
        <v>788</v>
      </c>
      <c r="I157" s="421">
        <v>5717.835</v>
      </c>
      <c r="J157" s="421">
        <v>2</v>
      </c>
      <c r="K157" s="422">
        <v>11435.67</v>
      </c>
    </row>
    <row r="158" spans="1:11" ht="14.4" customHeight="1" x14ac:dyDescent="0.3">
      <c r="A158" s="417" t="s">
        <v>393</v>
      </c>
      <c r="B158" s="418" t="s">
        <v>394</v>
      </c>
      <c r="C158" s="419" t="s">
        <v>398</v>
      </c>
      <c r="D158" s="420" t="s">
        <v>467</v>
      </c>
      <c r="E158" s="419" t="s">
        <v>975</v>
      </c>
      <c r="F158" s="420" t="s">
        <v>976</v>
      </c>
      <c r="G158" s="419" t="s">
        <v>789</v>
      </c>
      <c r="H158" s="419" t="s">
        <v>790</v>
      </c>
      <c r="I158" s="421">
        <v>274.67</v>
      </c>
      <c r="J158" s="421">
        <v>5</v>
      </c>
      <c r="K158" s="422">
        <v>1373.34</v>
      </c>
    </row>
    <row r="159" spans="1:11" ht="14.4" customHeight="1" x14ac:dyDescent="0.3">
      <c r="A159" s="417" t="s">
        <v>393</v>
      </c>
      <c r="B159" s="418" t="s">
        <v>394</v>
      </c>
      <c r="C159" s="419" t="s">
        <v>398</v>
      </c>
      <c r="D159" s="420" t="s">
        <v>467</v>
      </c>
      <c r="E159" s="419" t="s">
        <v>975</v>
      </c>
      <c r="F159" s="420" t="s">
        <v>976</v>
      </c>
      <c r="G159" s="419" t="s">
        <v>791</v>
      </c>
      <c r="H159" s="419" t="s">
        <v>792</v>
      </c>
      <c r="I159" s="421">
        <v>274.67</v>
      </c>
      <c r="J159" s="421">
        <v>7</v>
      </c>
      <c r="K159" s="422">
        <v>1922.69</v>
      </c>
    </row>
    <row r="160" spans="1:11" ht="14.4" customHeight="1" x14ac:dyDescent="0.3">
      <c r="A160" s="417" t="s">
        <v>393</v>
      </c>
      <c r="B160" s="418" t="s">
        <v>394</v>
      </c>
      <c r="C160" s="419" t="s">
        <v>398</v>
      </c>
      <c r="D160" s="420" t="s">
        <v>467</v>
      </c>
      <c r="E160" s="419" t="s">
        <v>975</v>
      </c>
      <c r="F160" s="420" t="s">
        <v>976</v>
      </c>
      <c r="G160" s="419" t="s">
        <v>793</v>
      </c>
      <c r="H160" s="419" t="s">
        <v>794</v>
      </c>
      <c r="I160" s="421">
        <v>274.68</v>
      </c>
      <c r="J160" s="421">
        <v>10</v>
      </c>
      <c r="K160" s="422">
        <v>2746.8100000000004</v>
      </c>
    </row>
    <row r="161" spans="1:11" ht="14.4" customHeight="1" x14ac:dyDescent="0.3">
      <c r="A161" s="417" t="s">
        <v>393</v>
      </c>
      <c r="B161" s="418" t="s">
        <v>394</v>
      </c>
      <c r="C161" s="419" t="s">
        <v>398</v>
      </c>
      <c r="D161" s="420" t="s">
        <v>467</v>
      </c>
      <c r="E161" s="419" t="s">
        <v>975</v>
      </c>
      <c r="F161" s="420" t="s">
        <v>976</v>
      </c>
      <c r="G161" s="419" t="s">
        <v>795</v>
      </c>
      <c r="H161" s="419" t="s">
        <v>796</v>
      </c>
      <c r="I161" s="421">
        <v>4719</v>
      </c>
      <c r="J161" s="421">
        <v>2</v>
      </c>
      <c r="K161" s="422">
        <v>9438</v>
      </c>
    </row>
    <row r="162" spans="1:11" ht="14.4" customHeight="1" x14ac:dyDescent="0.3">
      <c r="A162" s="417" t="s">
        <v>393</v>
      </c>
      <c r="B162" s="418" t="s">
        <v>394</v>
      </c>
      <c r="C162" s="419" t="s">
        <v>398</v>
      </c>
      <c r="D162" s="420" t="s">
        <v>467</v>
      </c>
      <c r="E162" s="419" t="s">
        <v>975</v>
      </c>
      <c r="F162" s="420" t="s">
        <v>976</v>
      </c>
      <c r="G162" s="419" t="s">
        <v>797</v>
      </c>
      <c r="H162" s="419" t="s">
        <v>798</v>
      </c>
      <c r="I162" s="421">
        <v>274.67</v>
      </c>
      <c r="J162" s="421">
        <v>8</v>
      </c>
      <c r="K162" s="422">
        <v>2197.35</v>
      </c>
    </row>
    <row r="163" spans="1:11" ht="14.4" customHeight="1" x14ac:dyDescent="0.3">
      <c r="A163" s="417" t="s">
        <v>393</v>
      </c>
      <c r="B163" s="418" t="s">
        <v>394</v>
      </c>
      <c r="C163" s="419" t="s">
        <v>398</v>
      </c>
      <c r="D163" s="420" t="s">
        <v>467</v>
      </c>
      <c r="E163" s="419" t="s">
        <v>975</v>
      </c>
      <c r="F163" s="420" t="s">
        <v>976</v>
      </c>
      <c r="G163" s="419" t="s">
        <v>799</v>
      </c>
      <c r="H163" s="419" t="s">
        <v>800</v>
      </c>
      <c r="I163" s="421">
        <v>274.67</v>
      </c>
      <c r="J163" s="421">
        <v>10</v>
      </c>
      <c r="K163" s="422">
        <v>2746.68</v>
      </c>
    </row>
    <row r="164" spans="1:11" ht="14.4" customHeight="1" x14ac:dyDescent="0.3">
      <c r="A164" s="417" t="s">
        <v>393</v>
      </c>
      <c r="B164" s="418" t="s">
        <v>394</v>
      </c>
      <c r="C164" s="419" t="s">
        <v>398</v>
      </c>
      <c r="D164" s="420" t="s">
        <v>467</v>
      </c>
      <c r="E164" s="419" t="s">
        <v>975</v>
      </c>
      <c r="F164" s="420" t="s">
        <v>976</v>
      </c>
      <c r="G164" s="419" t="s">
        <v>801</v>
      </c>
      <c r="H164" s="419" t="s">
        <v>802</v>
      </c>
      <c r="I164" s="421">
        <v>271.04000000000002</v>
      </c>
      <c r="J164" s="421">
        <v>18</v>
      </c>
      <c r="K164" s="422">
        <v>4917.4399999999996</v>
      </c>
    </row>
    <row r="165" spans="1:11" ht="14.4" customHeight="1" x14ac:dyDescent="0.3">
      <c r="A165" s="417" t="s">
        <v>393</v>
      </c>
      <c r="B165" s="418" t="s">
        <v>394</v>
      </c>
      <c r="C165" s="419" t="s">
        <v>398</v>
      </c>
      <c r="D165" s="420" t="s">
        <v>467</v>
      </c>
      <c r="E165" s="419" t="s">
        <v>975</v>
      </c>
      <c r="F165" s="420" t="s">
        <v>976</v>
      </c>
      <c r="G165" s="419" t="s">
        <v>803</v>
      </c>
      <c r="H165" s="419" t="s">
        <v>804</v>
      </c>
      <c r="I165" s="421">
        <v>24.87</v>
      </c>
      <c r="J165" s="421">
        <v>10</v>
      </c>
      <c r="K165" s="422">
        <v>248.66</v>
      </c>
    </row>
    <row r="166" spans="1:11" ht="14.4" customHeight="1" x14ac:dyDescent="0.3">
      <c r="A166" s="417" t="s">
        <v>393</v>
      </c>
      <c r="B166" s="418" t="s">
        <v>394</v>
      </c>
      <c r="C166" s="419" t="s">
        <v>398</v>
      </c>
      <c r="D166" s="420" t="s">
        <v>467</v>
      </c>
      <c r="E166" s="419" t="s">
        <v>975</v>
      </c>
      <c r="F166" s="420" t="s">
        <v>976</v>
      </c>
      <c r="G166" s="419" t="s">
        <v>805</v>
      </c>
      <c r="H166" s="419" t="s">
        <v>806</v>
      </c>
      <c r="I166" s="421">
        <v>5717.66</v>
      </c>
      <c r="J166" s="421">
        <v>2</v>
      </c>
      <c r="K166" s="422">
        <v>11435.33</v>
      </c>
    </row>
    <row r="167" spans="1:11" ht="14.4" customHeight="1" x14ac:dyDescent="0.3">
      <c r="A167" s="417" t="s">
        <v>393</v>
      </c>
      <c r="B167" s="418" t="s">
        <v>394</v>
      </c>
      <c r="C167" s="419" t="s">
        <v>398</v>
      </c>
      <c r="D167" s="420" t="s">
        <v>467</v>
      </c>
      <c r="E167" s="419" t="s">
        <v>975</v>
      </c>
      <c r="F167" s="420" t="s">
        <v>976</v>
      </c>
      <c r="G167" s="419" t="s">
        <v>807</v>
      </c>
      <c r="H167" s="419" t="s">
        <v>808</v>
      </c>
      <c r="I167" s="421">
        <v>12213.735000000001</v>
      </c>
      <c r="J167" s="421">
        <v>2</v>
      </c>
      <c r="K167" s="422">
        <v>24427.47</v>
      </c>
    </row>
    <row r="168" spans="1:11" ht="14.4" customHeight="1" x14ac:dyDescent="0.3">
      <c r="A168" s="417" t="s">
        <v>393</v>
      </c>
      <c r="B168" s="418" t="s">
        <v>394</v>
      </c>
      <c r="C168" s="419" t="s">
        <v>398</v>
      </c>
      <c r="D168" s="420" t="s">
        <v>467</v>
      </c>
      <c r="E168" s="419" t="s">
        <v>975</v>
      </c>
      <c r="F168" s="420" t="s">
        <v>976</v>
      </c>
      <c r="G168" s="419" t="s">
        <v>809</v>
      </c>
      <c r="H168" s="419" t="s">
        <v>810</v>
      </c>
      <c r="I168" s="421">
        <v>2141.6999999999998</v>
      </c>
      <c r="J168" s="421">
        <v>1</v>
      </c>
      <c r="K168" s="422">
        <v>2141.6999999999998</v>
      </c>
    </row>
    <row r="169" spans="1:11" ht="14.4" customHeight="1" x14ac:dyDescent="0.3">
      <c r="A169" s="417" t="s">
        <v>393</v>
      </c>
      <c r="B169" s="418" t="s">
        <v>394</v>
      </c>
      <c r="C169" s="419" t="s">
        <v>398</v>
      </c>
      <c r="D169" s="420" t="s">
        <v>467</v>
      </c>
      <c r="E169" s="419" t="s">
        <v>975</v>
      </c>
      <c r="F169" s="420" t="s">
        <v>976</v>
      </c>
      <c r="G169" s="419" t="s">
        <v>811</v>
      </c>
      <c r="H169" s="419" t="s">
        <v>812</v>
      </c>
      <c r="I169" s="421">
        <v>10890</v>
      </c>
      <c r="J169" s="421">
        <v>1</v>
      </c>
      <c r="K169" s="422">
        <v>10890</v>
      </c>
    </row>
    <row r="170" spans="1:11" ht="14.4" customHeight="1" x14ac:dyDescent="0.3">
      <c r="A170" s="417" t="s">
        <v>393</v>
      </c>
      <c r="B170" s="418" t="s">
        <v>394</v>
      </c>
      <c r="C170" s="419" t="s">
        <v>398</v>
      </c>
      <c r="D170" s="420" t="s">
        <v>467</v>
      </c>
      <c r="E170" s="419" t="s">
        <v>975</v>
      </c>
      <c r="F170" s="420" t="s">
        <v>976</v>
      </c>
      <c r="G170" s="419" t="s">
        <v>813</v>
      </c>
      <c r="H170" s="419" t="s">
        <v>814</v>
      </c>
      <c r="I170" s="421">
        <v>3414.62</v>
      </c>
      <c r="J170" s="421">
        <v>1</v>
      </c>
      <c r="K170" s="422">
        <v>3414.62</v>
      </c>
    </row>
    <row r="171" spans="1:11" ht="14.4" customHeight="1" x14ac:dyDescent="0.3">
      <c r="A171" s="417" t="s">
        <v>393</v>
      </c>
      <c r="B171" s="418" t="s">
        <v>394</v>
      </c>
      <c r="C171" s="419" t="s">
        <v>398</v>
      </c>
      <c r="D171" s="420" t="s">
        <v>467</v>
      </c>
      <c r="E171" s="419" t="s">
        <v>975</v>
      </c>
      <c r="F171" s="420" t="s">
        <v>976</v>
      </c>
      <c r="G171" s="419" t="s">
        <v>815</v>
      </c>
      <c r="H171" s="419" t="s">
        <v>816</v>
      </c>
      <c r="I171" s="421">
        <v>9110.09</v>
      </c>
      <c r="J171" s="421">
        <v>1</v>
      </c>
      <c r="K171" s="422">
        <v>9110.09</v>
      </c>
    </row>
    <row r="172" spans="1:11" ht="14.4" customHeight="1" x14ac:dyDescent="0.3">
      <c r="A172" s="417" t="s">
        <v>393</v>
      </c>
      <c r="B172" s="418" t="s">
        <v>394</v>
      </c>
      <c r="C172" s="419" t="s">
        <v>398</v>
      </c>
      <c r="D172" s="420" t="s">
        <v>467</v>
      </c>
      <c r="E172" s="419" t="s">
        <v>975</v>
      </c>
      <c r="F172" s="420" t="s">
        <v>976</v>
      </c>
      <c r="G172" s="419" t="s">
        <v>817</v>
      </c>
      <c r="H172" s="419" t="s">
        <v>818</v>
      </c>
      <c r="I172" s="421">
        <v>70.22999999999999</v>
      </c>
      <c r="J172" s="421">
        <v>7</v>
      </c>
      <c r="K172" s="422">
        <v>491.6</v>
      </c>
    </row>
    <row r="173" spans="1:11" ht="14.4" customHeight="1" x14ac:dyDescent="0.3">
      <c r="A173" s="417" t="s">
        <v>393</v>
      </c>
      <c r="B173" s="418" t="s">
        <v>394</v>
      </c>
      <c r="C173" s="419" t="s">
        <v>398</v>
      </c>
      <c r="D173" s="420" t="s">
        <v>467</v>
      </c>
      <c r="E173" s="419" t="s">
        <v>975</v>
      </c>
      <c r="F173" s="420" t="s">
        <v>976</v>
      </c>
      <c r="G173" s="419" t="s">
        <v>819</v>
      </c>
      <c r="H173" s="419" t="s">
        <v>820</v>
      </c>
      <c r="I173" s="421">
        <v>20.09</v>
      </c>
      <c r="J173" s="421">
        <v>40</v>
      </c>
      <c r="K173" s="422">
        <v>803.44</v>
      </c>
    </row>
    <row r="174" spans="1:11" ht="14.4" customHeight="1" x14ac:dyDescent="0.3">
      <c r="A174" s="417" t="s">
        <v>393</v>
      </c>
      <c r="B174" s="418" t="s">
        <v>394</v>
      </c>
      <c r="C174" s="419" t="s">
        <v>398</v>
      </c>
      <c r="D174" s="420" t="s">
        <v>467</v>
      </c>
      <c r="E174" s="419" t="s">
        <v>975</v>
      </c>
      <c r="F174" s="420" t="s">
        <v>976</v>
      </c>
      <c r="G174" s="419" t="s">
        <v>821</v>
      </c>
      <c r="H174" s="419" t="s">
        <v>822</v>
      </c>
      <c r="I174" s="421">
        <v>4967.66</v>
      </c>
      <c r="J174" s="421">
        <v>1</v>
      </c>
      <c r="K174" s="422">
        <v>4967.66</v>
      </c>
    </row>
    <row r="175" spans="1:11" ht="14.4" customHeight="1" x14ac:dyDescent="0.3">
      <c r="A175" s="417" t="s">
        <v>393</v>
      </c>
      <c r="B175" s="418" t="s">
        <v>394</v>
      </c>
      <c r="C175" s="419" t="s">
        <v>398</v>
      </c>
      <c r="D175" s="420" t="s">
        <v>467</v>
      </c>
      <c r="E175" s="419" t="s">
        <v>975</v>
      </c>
      <c r="F175" s="420" t="s">
        <v>976</v>
      </c>
      <c r="G175" s="419" t="s">
        <v>823</v>
      </c>
      <c r="H175" s="419" t="s">
        <v>824</v>
      </c>
      <c r="I175" s="421">
        <v>45.35</v>
      </c>
      <c r="J175" s="421">
        <v>10</v>
      </c>
      <c r="K175" s="422">
        <v>453.51</v>
      </c>
    </row>
    <row r="176" spans="1:11" ht="14.4" customHeight="1" x14ac:dyDescent="0.3">
      <c r="A176" s="417" t="s">
        <v>393</v>
      </c>
      <c r="B176" s="418" t="s">
        <v>394</v>
      </c>
      <c r="C176" s="419" t="s">
        <v>398</v>
      </c>
      <c r="D176" s="420" t="s">
        <v>467</v>
      </c>
      <c r="E176" s="419" t="s">
        <v>975</v>
      </c>
      <c r="F176" s="420" t="s">
        <v>976</v>
      </c>
      <c r="G176" s="419" t="s">
        <v>825</v>
      </c>
      <c r="H176" s="419" t="s">
        <v>826</v>
      </c>
      <c r="I176" s="421">
        <v>21.05</v>
      </c>
      <c r="J176" s="421">
        <v>756</v>
      </c>
      <c r="K176" s="422">
        <v>15916.81</v>
      </c>
    </row>
    <row r="177" spans="1:11" ht="14.4" customHeight="1" x14ac:dyDescent="0.3">
      <c r="A177" s="417" t="s">
        <v>393</v>
      </c>
      <c r="B177" s="418" t="s">
        <v>394</v>
      </c>
      <c r="C177" s="419" t="s">
        <v>398</v>
      </c>
      <c r="D177" s="420" t="s">
        <v>467</v>
      </c>
      <c r="E177" s="419" t="s">
        <v>975</v>
      </c>
      <c r="F177" s="420" t="s">
        <v>976</v>
      </c>
      <c r="G177" s="419" t="s">
        <v>827</v>
      </c>
      <c r="H177" s="419" t="s">
        <v>828</v>
      </c>
      <c r="I177" s="421">
        <v>2783</v>
      </c>
      <c r="J177" s="421">
        <v>3</v>
      </c>
      <c r="K177" s="422">
        <v>8349</v>
      </c>
    </row>
    <row r="178" spans="1:11" ht="14.4" customHeight="1" x14ac:dyDescent="0.3">
      <c r="A178" s="417" t="s">
        <v>393</v>
      </c>
      <c r="B178" s="418" t="s">
        <v>394</v>
      </c>
      <c r="C178" s="419" t="s">
        <v>398</v>
      </c>
      <c r="D178" s="420" t="s">
        <v>467</v>
      </c>
      <c r="E178" s="419" t="s">
        <v>975</v>
      </c>
      <c r="F178" s="420" t="s">
        <v>976</v>
      </c>
      <c r="G178" s="419" t="s">
        <v>829</v>
      </c>
      <c r="H178" s="419" t="s">
        <v>830</v>
      </c>
      <c r="I178" s="421">
        <v>8985.4599999999991</v>
      </c>
      <c r="J178" s="421">
        <v>4</v>
      </c>
      <c r="K178" s="422">
        <v>35941.839999999997</v>
      </c>
    </row>
    <row r="179" spans="1:11" ht="14.4" customHeight="1" x14ac:dyDescent="0.3">
      <c r="A179" s="417" t="s">
        <v>393</v>
      </c>
      <c r="B179" s="418" t="s">
        <v>394</v>
      </c>
      <c r="C179" s="419" t="s">
        <v>398</v>
      </c>
      <c r="D179" s="420" t="s">
        <v>467</v>
      </c>
      <c r="E179" s="419" t="s">
        <v>975</v>
      </c>
      <c r="F179" s="420" t="s">
        <v>976</v>
      </c>
      <c r="G179" s="419" t="s">
        <v>831</v>
      </c>
      <c r="H179" s="419" t="s">
        <v>832</v>
      </c>
      <c r="I179" s="421">
        <v>3049</v>
      </c>
      <c r="J179" s="421">
        <v>2</v>
      </c>
      <c r="K179" s="422">
        <v>6098</v>
      </c>
    </row>
    <row r="180" spans="1:11" ht="14.4" customHeight="1" x14ac:dyDescent="0.3">
      <c r="A180" s="417" t="s">
        <v>393</v>
      </c>
      <c r="B180" s="418" t="s">
        <v>394</v>
      </c>
      <c r="C180" s="419" t="s">
        <v>398</v>
      </c>
      <c r="D180" s="420" t="s">
        <v>467</v>
      </c>
      <c r="E180" s="419" t="s">
        <v>975</v>
      </c>
      <c r="F180" s="420" t="s">
        <v>976</v>
      </c>
      <c r="G180" s="419" t="s">
        <v>833</v>
      </c>
      <c r="H180" s="419" t="s">
        <v>834</v>
      </c>
      <c r="I180" s="421">
        <v>3346.86</v>
      </c>
      <c r="J180" s="421">
        <v>1</v>
      </c>
      <c r="K180" s="422">
        <v>3346.86</v>
      </c>
    </row>
    <row r="181" spans="1:11" ht="14.4" customHeight="1" x14ac:dyDescent="0.3">
      <c r="A181" s="417" t="s">
        <v>393</v>
      </c>
      <c r="B181" s="418" t="s">
        <v>394</v>
      </c>
      <c r="C181" s="419" t="s">
        <v>398</v>
      </c>
      <c r="D181" s="420" t="s">
        <v>467</v>
      </c>
      <c r="E181" s="419" t="s">
        <v>975</v>
      </c>
      <c r="F181" s="420" t="s">
        <v>976</v>
      </c>
      <c r="G181" s="419" t="s">
        <v>835</v>
      </c>
      <c r="H181" s="419" t="s">
        <v>836</v>
      </c>
      <c r="I181" s="421">
        <v>5178.8</v>
      </c>
      <c r="J181" s="421">
        <v>2</v>
      </c>
      <c r="K181" s="422">
        <v>10357.6</v>
      </c>
    </row>
    <row r="182" spans="1:11" ht="14.4" customHeight="1" x14ac:dyDescent="0.3">
      <c r="A182" s="417" t="s">
        <v>393</v>
      </c>
      <c r="B182" s="418" t="s">
        <v>394</v>
      </c>
      <c r="C182" s="419" t="s">
        <v>398</v>
      </c>
      <c r="D182" s="420" t="s">
        <v>467</v>
      </c>
      <c r="E182" s="419" t="s">
        <v>975</v>
      </c>
      <c r="F182" s="420" t="s">
        <v>976</v>
      </c>
      <c r="G182" s="419" t="s">
        <v>837</v>
      </c>
      <c r="H182" s="419" t="s">
        <v>838</v>
      </c>
      <c r="I182" s="421">
        <v>129.47</v>
      </c>
      <c r="J182" s="421">
        <v>1</v>
      </c>
      <c r="K182" s="422">
        <v>129.47</v>
      </c>
    </row>
    <row r="183" spans="1:11" ht="14.4" customHeight="1" x14ac:dyDescent="0.3">
      <c r="A183" s="417" t="s">
        <v>393</v>
      </c>
      <c r="B183" s="418" t="s">
        <v>394</v>
      </c>
      <c r="C183" s="419" t="s">
        <v>398</v>
      </c>
      <c r="D183" s="420" t="s">
        <v>467</v>
      </c>
      <c r="E183" s="419" t="s">
        <v>975</v>
      </c>
      <c r="F183" s="420" t="s">
        <v>976</v>
      </c>
      <c r="G183" s="419" t="s">
        <v>839</v>
      </c>
      <c r="H183" s="419" t="s">
        <v>840</v>
      </c>
      <c r="I183" s="421">
        <v>160.32499999999999</v>
      </c>
      <c r="J183" s="421">
        <v>4</v>
      </c>
      <c r="K183" s="422">
        <v>641.29999999999995</v>
      </c>
    </row>
    <row r="184" spans="1:11" ht="14.4" customHeight="1" x14ac:dyDescent="0.3">
      <c r="A184" s="417" t="s">
        <v>393</v>
      </c>
      <c r="B184" s="418" t="s">
        <v>394</v>
      </c>
      <c r="C184" s="419" t="s">
        <v>398</v>
      </c>
      <c r="D184" s="420" t="s">
        <v>467</v>
      </c>
      <c r="E184" s="419" t="s">
        <v>975</v>
      </c>
      <c r="F184" s="420" t="s">
        <v>976</v>
      </c>
      <c r="G184" s="419" t="s">
        <v>841</v>
      </c>
      <c r="H184" s="419" t="s">
        <v>842</v>
      </c>
      <c r="I184" s="421">
        <v>3346.86</v>
      </c>
      <c r="J184" s="421">
        <v>20</v>
      </c>
      <c r="K184" s="422">
        <v>66937.2</v>
      </c>
    </row>
    <row r="185" spans="1:11" ht="14.4" customHeight="1" x14ac:dyDescent="0.3">
      <c r="A185" s="417" t="s">
        <v>393</v>
      </c>
      <c r="B185" s="418" t="s">
        <v>394</v>
      </c>
      <c r="C185" s="419" t="s">
        <v>398</v>
      </c>
      <c r="D185" s="420" t="s">
        <v>467</v>
      </c>
      <c r="E185" s="419" t="s">
        <v>975</v>
      </c>
      <c r="F185" s="420" t="s">
        <v>976</v>
      </c>
      <c r="G185" s="419" t="s">
        <v>843</v>
      </c>
      <c r="H185" s="419" t="s">
        <v>844</v>
      </c>
      <c r="I185" s="421">
        <v>3414.62</v>
      </c>
      <c r="J185" s="421">
        <v>1</v>
      </c>
      <c r="K185" s="422">
        <v>3414.62</v>
      </c>
    </row>
    <row r="186" spans="1:11" ht="14.4" customHeight="1" x14ac:dyDescent="0.3">
      <c r="A186" s="417" t="s">
        <v>393</v>
      </c>
      <c r="B186" s="418" t="s">
        <v>394</v>
      </c>
      <c r="C186" s="419" t="s">
        <v>398</v>
      </c>
      <c r="D186" s="420" t="s">
        <v>467</v>
      </c>
      <c r="E186" s="419" t="s">
        <v>975</v>
      </c>
      <c r="F186" s="420" t="s">
        <v>976</v>
      </c>
      <c r="G186" s="419" t="s">
        <v>845</v>
      </c>
      <c r="H186" s="419" t="s">
        <v>846</v>
      </c>
      <c r="I186" s="421">
        <v>2565.15</v>
      </c>
      <c r="J186" s="421">
        <v>9</v>
      </c>
      <c r="K186" s="422">
        <v>23086.6</v>
      </c>
    </row>
    <row r="187" spans="1:11" ht="14.4" customHeight="1" x14ac:dyDescent="0.3">
      <c r="A187" s="417" t="s">
        <v>393</v>
      </c>
      <c r="B187" s="418" t="s">
        <v>394</v>
      </c>
      <c r="C187" s="419" t="s">
        <v>398</v>
      </c>
      <c r="D187" s="420" t="s">
        <v>467</v>
      </c>
      <c r="E187" s="419" t="s">
        <v>975</v>
      </c>
      <c r="F187" s="420" t="s">
        <v>976</v>
      </c>
      <c r="G187" s="419" t="s">
        <v>847</v>
      </c>
      <c r="H187" s="419" t="s">
        <v>848</v>
      </c>
      <c r="I187" s="421">
        <v>3346.86</v>
      </c>
      <c r="J187" s="421">
        <v>1</v>
      </c>
      <c r="K187" s="422">
        <v>3346.86</v>
      </c>
    </row>
    <row r="188" spans="1:11" ht="14.4" customHeight="1" x14ac:dyDescent="0.3">
      <c r="A188" s="417" t="s">
        <v>393</v>
      </c>
      <c r="B188" s="418" t="s">
        <v>394</v>
      </c>
      <c r="C188" s="419" t="s">
        <v>398</v>
      </c>
      <c r="D188" s="420" t="s">
        <v>467</v>
      </c>
      <c r="E188" s="419" t="s">
        <v>975</v>
      </c>
      <c r="F188" s="420" t="s">
        <v>976</v>
      </c>
      <c r="G188" s="419" t="s">
        <v>849</v>
      </c>
      <c r="H188" s="419" t="s">
        <v>850</v>
      </c>
      <c r="I188" s="421">
        <v>1833.15</v>
      </c>
      <c r="J188" s="421">
        <v>1</v>
      </c>
      <c r="K188" s="422">
        <v>1833.15</v>
      </c>
    </row>
    <row r="189" spans="1:11" ht="14.4" customHeight="1" x14ac:dyDescent="0.3">
      <c r="A189" s="417" t="s">
        <v>393</v>
      </c>
      <c r="B189" s="418" t="s">
        <v>394</v>
      </c>
      <c r="C189" s="419" t="s">
        <v>398</v>
      </c>
      <c r="D189" s="420" t="s">
        <v>467</v>
      </c>
      <c r="E189" s="419" t="s">
        <v>975</v>
      </c>
      <c r="F189" s="420" t="s">
        <v>976</v>
      </c>
      <c r="G189" s="419" t="s">
        <v>851</v>
      </c>
      <c r="H189" s="419" t="s">
        <v>852</v>
      </c>
      <c r="I189" s="421">
        <v>274.68</v>
      </c>
      <c r="J189" s="421">
        <v>4</v>
      </c>
      <c r="K189" s="422">
        <v>1098.72</v>
      </c>
    </row>
    <row r="190" spans="1:11" ht="14.4" customHeight="1" x14ac:dyDescent="0.3">
      <c r="A190" s="417" t="s">
        <v>393</v>
      </c>
      <c r="B190" s="418" t="s">
        <v>394</v>
      </c>
      <c r="C190" s="419" t="s">
        <v>398</v>
      </c>
      <c r="D190" s="420" t="s">
        <v>467</v>
      </c>
      <c r="E190" s="419" t="s">
        <v>975</v>
      </c>
      <c r="F190" s="420" t="s">
        <v>976</v>
      </c>
      <c r="G190" s="419" t="s">
        <v>853</v>
      </c>
      <c r="H190" s="419" t="s">
        <v>854</v>
      </c>
      <c r="I190" s="421">
        <v>160.32499999999999</v>
      </c>
      <c r="J190" s="421">
        <v>4</v>
      </c>
      <c r="K190" s="422">
        <v>641.29999999999995</v>
      </c>
    </row>
    <row r="191" spans="1:11" ht="14.4" customHeight="1" x14ac:dyDescent="0.3">
      <c r="A191" s="417" t="s">
        <v>393</v>
      </c>
      <c r="B191" s="418" t="s">
        <v>394</v>
      </c>
      <c r="C191" s="419" t="s">
        <v>398</v>
      </c>
      <c r="D191" s="420" t="s">
        <v>467</v>
      </c>
      <c r="E191" s="419" t="s">
        <v>975</v>
      </c>
      <c r="F191" s="420" t="s">
        <v>976</v>
      </c>
      <c r="G191" s="419" t="s">
        <v>855</v>
      </c>
      <c r="H191" s="419" t="s">
        <v>856</v>
      </c>
      <c r="I191" s="421">
        <v>5009.3999999999996</v>
      </c>
      <c r="J191" s="421">
        <v>1</v>
      </c>
      <c r="K191" s="422">
        <v>5009.3999999999996</v>
      </c>
    </row>
    <row r="192" spans="1:11" ht="14.4" customHeight="1" x14ac:dyDescent="0.3">
      <c r="A192" s="417" t="s">
        <v>393</v>
      </c>
      <c r="B192" s="418" t="s">
        <v>394</v>
      </c>
      <c r="C192" s="419" t="s">
        <v>398</v>
      </c>
      <c r="D192" s="420" t="s">
        <v>467</v>
      </c>
      <c r="E192" s="419" t="s">
        <v>975</v>
      </c>
      <c r="F192" s="420" t="s">
        <v>976</v>
      </c>
      <c r="G192" s="419" t="s">
        <v>857</v>
      </c>
      <c r="H192" s="419" t="s">
        <v>858</v>
      </c>
      <c r="I192" s="421">
        <v>9114</v>
      </c>
      <c r="J192" s="421">
        <v>1</v>
      </c>
      <c r="K192" s="422">
        <v>9114</v>
      </c>
    </row>
    <row r="193" spans="1:11" ht="14.4" customHeight="1" x14ac:dyDescent="0.3">
      <c r="A193" s="417" t="s">
        <v>393</v>
      </c>
      <c r="B193" s="418" t="s">
        <v>394</v>
      </c>
      <c r="C193" s="419" t="s">
        <v>398</v>
      </c>
      <c r="D193" s="420" t="s">
        <v>467</v>
      </c>
      <c r="E193" s="419" t="s">
        <v>975</v>
      </c>
      <c r="F193" s="420" t="s">
        <v>976</v>
      </c>
      <c r="G193" s="419" t="s">
        <v>859</v>
      </c>
      <c r="H193" s="419" t="s">
        <v>860</v>
      </c>
      <c r="I193" s="421">
        <v>3346.86</v>
      </c>
      <c r="J193" s="421">
        <v>1</v>
      </c>
      <c r="K193" s="422">
        <v>3346.86</v>
      </c>
    </row>
    <row r="194" spans="1:11" ht="14.4" customHeight="1" x14ac:dyDescent="0.3">
      <c r="A194" s="417" t="s">
        <v>393</v>
      </c>
      <c r="B194" s="418" t="s">
        <v>394</v>
      </c>
      <c r="C194" s="419" t="s">
        <v>398</v>
      </c>
      <c r="D194" s="420" t="s">
        <v>467</v>
      </c>
      <c r="E194" s="419" t="s">
        <v>975</v>
      </c>
      <c r="F194" s="420" t="s">
        <v>976</v>
      </c>
      <c r="G194" s="419" t="s">
        <v>861</v>
      </c>
      <c r="H194" s="419" t="s">
        <v>862</v>
      </c>
      <c r="I194" s="421">
        <v>3633.63</v>
      </c>
      <c r="J194" s="421">
        <v>2</v>
      </c>
      <c r="K194" s="422">
        <v>7267.26</v>
      </c>
    </row>
    <row r="195" spans="1:11" ht="14.4" customHeight="1" x14ac:dyDescent="0.3">
      <c r="A195" s="417" t="s">
        <v>393</v>
      </c>
      <c r="B195" s="418" t="s">
        <v>394</v>
      </c>
      <c r="C195" s="419" t="s">
        <v>398</v>
      </c>
      <c r="D195" s="420" t="s">
        <v>467</v>
      </c>
      <c r="E195" s="419" t="s">
        <v>975</v>
      </c>
      <c r="F195" s="420" t="s">
        <v>976</v>
      </c>
      <c r="G195" s="419" t="s">
        <v>863</v>
      </c>
      <c r="H195" s="419" t="s">
        <v>864</v>
      </c>
      <c r="I195" s="421">
        <v>8.35</v>
      </c>
      <c r="J195" s="421">
        <v>4900</v>
      </c>
      <c r="K195" s="422">
        <v>40910.100000000006</v>
      </c>
    </row>
    <row r="196" spans="1:11" ht="14.4" customHeight="1" x14ac:dyDescent="0.3">
      <c r="A196" s="417" t="s">
        <v>393</v>
      </c>
      <c r="B196" s="418" t="s">
        <v>394</v>
      </c>
      <c r="C196" s="419" t="s">
        <v>398</v>
      </c>
      <c r="D196" s="420" t="s">
        <v>467</v>
      </c>
      <c r="E196" s="419" t="s">
        <v>975</v>
      </c>
      <c r="F196" s="420" t="s">
        <v>976</v>
      </c>
      <c r="G196" s="419" t="s">
        <v>865</v>
      </c>
      <c r="H196" s="419" t="s">
        <v>866</v>
      </c>
      <c r="I196" s="421">
        <v>274.67</v>
      </c>
      <c r="J196" s="421">
        <v>2</v>
      </c>
      <c r="K196" s="422">
        <v>549.34</v>
      </c>
    </row>
    <row r="197" spans="1:11" ht="14.4" customHeight="1" x14ac:dyDescent="0.3">
      <c r="A197" s="417" t="s">
        <v>393</v>
      </c>
      <c r="B197" s="418" t="s">
        <v>394</v>
      </c>
      <c r="C197" s="419" t="s">
        <v>398</v>
      </c>
      <c r="D197" s="420" t="s">
        <v>467</v>
      </c>
      <c r="E197" s="419" t="s">
        <v>975</v>
      </c>
      <c r="F197" s="420" t="s">
        <v>976</v>
      </c>
      <c r="G197" s="419" t="s">
        <v>867</v>
      </c>
      <c r="H197" s="419" t="s">
        <v>868</v>
      </c>
      <c r="I197" s="421">
        <v>3859.98</v>
      </c>
      <c r="J197" s="421">
        <v>5</v>
      </c>
      <c r="K197" s="422">
        <v>19299.88</v>
      </c>
    </row>
    <row r="198" spans="1:11" ht="14.4" customHeight="1" x14ac:dyDescent="0.3">
      <c r="A198" s="417" t="s">
        <v>393</v>
      </c>
      <c r="B198" s="418" t="s">
        <v>394</v>
      </c>
      <c r="C198" s="419" t="s">
        <v>398</v>
      </c>
      <c r="D198" s="420" t="s">
        <v>467</v>
      </c>
      <c r="E198" s="419" t="s">
        <v>975</v>
      </c>
      <c r="F198" s="420" t="s">
        <v>976</v>
      </c>
      <c r="G198" s="419" t="s">
        <v>869</v>
      </c>
      <c r="H198" s="419" t="s">
        <v>870</v>
      </c>
      <c r="I198" s="421">
        <v>12100</v>
      </c>
      <c r="J198" s="421">
        <v>1</v>
      </c>
      <c r="K198" s="422">
        <v>12100</v>
      </c>
    </row>
    <row r="199" spans="1:11" ht="14.4" customHeight="1" x14ac:dyDescent="0.3">
      <c r="A199" s="417" t="s">
        <v>393</v>
      </c>
      <c r="B199" s="418" t="s">
        <v>394</v>
      </c>
      <c r="C199" s="419" t="s">
        <v>398</v>
      </c>
      <c r="D199" s="420" t="s">
        <v>467</v>
      </c>
      <c r="E199" s="419" t="s">
        <v>975</v>
      </c>
      <c r="F199" s="420" t="s">
        <v>976</v>
      </c>
      <c r="G199" s="419" t="s">
        <v>871</v>
      </c>
      <c r="H199" s="419" t="s">
        <v>872</v>
      </c>
      <c r="I199" s="421">
        <v>1131.3499999999999</v>
      </c>
      <c r="J199" s="421">
        <v>1</v>
      </c>
      <c r="K199" s="422">
        <v>1131.3499999999999</v>
      </c>
    </row>
    <row r="200" spans="1:11" ht="14.4" customHeight="1" x14ac:dyDescent="0.3">
      <c r="A200" s="417" t="s">
        <v>393</v>
      </c>
      <c r="B200" s="418" t="s">
        <v>394</v>
      </c>
      <c r="C200" s="419" t="s">
        <v>398</v>
      </c>
      <c r="D200" s="420" t="s">
        <v>467</v>
      </c>
      <c r="E200" s="419" t="s">
        <v>975</v>
      </c>
      <c r="F200" s="420" t="s">
        <v>976</v>
      </c>
      <c r="G200" s="419" t="s">
        <v>873</v>
      </c>
      <c r="H200" s="419" t="s">
        <v>874</v>
      </c>
      <c r="I200" s="421">
        <v>29342.5</v>
      </c>
      <c r="J200" s="421">
        <v>1</v>
      </c>
      <c r="K200" s="422">
        <v>29342.5</v>
      </c>
    </row>
    <row r="201" spans="1:11" ht="14.4" customHeight="1" x14ac:dyDescent="0.3">
      <c r="A201" s="417" t="s">
        <v>393</v>
      </c>
      <c r="B201" s="418" t="s">
        <v>394</v>
      </c>
      <c r="C201" s="419" t="s">
        <v>398</v>
      </c>
      <c r="D201" s="420" t="s">
        <v>467</v>
      </c>
      <c r="E201" s="419" t="s">
        <v>975</v>
      </c>
      <c r="F201" s="420" t="s">
        <v>976</v>
      </c>
      <c r="G201" s="419" t="s">
        <v>875</v>
      </c>
      <c r="H201" s="419" t="s">
        <v>876</v>
      </c>
      <c r="I201" s="421">
        <v>274.68</v>
      </c>
      <c r="J201" s="421">
        <v>5</v>
      </c>
      <c r="K201" s="422">
        <v>1373.4</v>
      </c>
    </row>
    <row r="202" spans="1:11" ht="14.4" customHeight="1" x14ac:dyDescent="0.3">
      <c r="A202" s="417" t="s">
        <v>393</v>
      </c>
      <c r="B202" s="418" t="s">
        <v>394</v>
      </c>
      <c r="C202" s="419" t="s">
        <v>398</v>
      </c>
      <c r="D202" s="420" t="s">
        <v>467</v>
      </c>
      <c r="E202" s="419" t="s">
        <v>975</v>
      </c>
      <c r="F202" s="420" t="s">
        <v>976</v>
      </c>
      <c r="G202" s="419" t="s">
        <v>877</v>
      </c>
      <c r="H202" s="419" t="s">
        <v>878</v>
      </c>
      <c r="I202" s="421">
        <v>1207.58</v>
      </c>
      <c r="J202" s="421">
        <v>8</v>
      </c>
      <c r="K202" s="422">
        <v>9660.630000000001</v>
      </c>
    </row>
    <row r="203" spans="1:11" ht="14.4" customHeight="1" x14ac:dyDescent="0.3">
      <c r="A203" s="417" t="s">
        <v>393</v>
      </c>
      <c r="B203" s="418" t="s">
        <v>394</v>
      </c>
      <c r="C203" s="419" t="s">
        <v>398</v>
      </c>
      <c r="D203" s="420" t="s">
        <v>467</v>
      </c>
      <c r="E203" s="419" t="s">
        <v>975</v>
      </c>
      <c r="F203" s="420" t="s">
        <v>976</v>
      </c>
      <c r="G203" s="419" t="s">
        <v>879</v>
      </c>
      <c r="H203" s="419" t="s">
        <v>880</v>
      </c>
      <c r="I203" s="421">
        <v>16089.34</v>
      </c>
      <c r="J203" s="421">
        <v>2</v>
      </c>
      <c r="K203" s="422">
        <v>32178.68</v>
      </c>
    </row>
    <row r="204" spans="1:11" ht="14.4" customHeight="1" x14ac:dyDescent="0.3">
      <c r="A204" s="417" t="s">
        <v>393</v>
      </c>
      <c r="B204" s="418" t="s">
        <v>394</v>
      </c>
      <c r="C204" s="419" t="s">
        <v>398</v>
      </c>
      <c r="D204" s="420" t="s">
        <v>467</v>
      </c>
      <c r="E204" s="419" t="s">
        <v>975</v>
      </c>
      <c r="F204" s="420" t="s">
        <v>976</v>
      </c>
      <c r="G204" s="419" t="s">
        <v>881</v>
      </c>
      <c r="H204" s="419" t="s">
        <v>882</v>
      </c>
      <c r="I204" s="421">
        <v>274.67</v>
      </c>
      <c r="J204" s="421">
        <v>15</v>
      </c>
      <c r="K204" s="422">
        <v>4120.0399999999991</v>
      </c>
    </row>
    <row r="205" spans="1:11" ht="14.4" customHeight="1" x14ac:dyDescent="0.3">
      <c r="A205" s="417" t="s">
        <v>393</v>
      </c>
      <c r="B205" s="418" t="s">
        <v>394</v>
      </c>
      <c r="C205" s="419" t="s">
        <v>398</v>
      </c>
      <c r="D205" s="420" t="s">
        <v>467</v>
      </c>
      <c r="E205" s="419" t="s">
        <v>975</v>
      </c>
      <c r="F205" s="420" t="s">
        <v>976</v>
      </c>
      <c r="G205" s="419" t="s">
        <v>883</v>
      </c>
      <c r="H205" s="419" t="s">
        <v>884</v>
      </c>
      <c r="I205" s="421">
        <v>510.62</v>
      </c>
      <c r="J205" s="421">
        <v>1</v>
      </c>
      <c r="K205" s="422">
        <v>510.62</v>
      </c>
    </row>
    <row r="206" spans="1:11" ht="14.4" customHeight="1" x14ac:dyDescent="0.3">
      <c r="A206" s="417" t="s">
        <v>393</v>
      </c>
      <c r="B206" s="418" t="s">
        <v>394</v>
      </c>
      <c r="C206" s="419" t="s">
        <v>398</v>
      </c>
      <c r="D206" s="420" t="s">
        <v>467</v>
      </c>
      <c r="E206" s="419" t="s">
        <v>975</v>
      </c>
      <c r="F206" s="420" t="s">
        <v>976</v>
      </c>
      <c r="G206" s="419" t="s">
        <v>885</v>
      </c>
      <c r="H206" s="419" t="s">
        <v>886</v>
      </c>
      <c r="I206" s="421">
        <v>119.79</v>
      </c>
      <c r="J206" s="421">
        <v>20</v>
      </c>
      <c r="K206" s="422">
        <v>2395.7800000000002</v>
      </c>
    </row>
    <row r="207" spans="1:11" ht="14.4" customHeight="1" x14ac:dyDescent="0.3">
      <c r="A207" s="417" t="s">
        <v>393</v>
      </c>
      <c r="B207" s="418" t="s">
        <v>394</v>
      </c>
      <c r="C207" s="419" t="s">
        <v>398</v>
      </c>
      <c r="D207" s="420" t="s">
        <v>467</v>
      </c>
      <c r="E207" s="419" t="s">
        <v>975</v>
      </c>
      <c r="F207" s="420" t="s">
        <v>976</v>
      </c>
      <c r="G207" s="419" t="s">
        <v>887</v>
      </c>
      <c r="H207" s="419" t="s">
        <v>888</v>
      </c>
      <c r="I207" s="421">
        <v>18667.28</v>
      </c>
      <c r="J207" s="421">
        <v>1</v>
      </c>
      <c r="K207" s="422">
        <v>18667.28</v>
      </c>
    </row>
    <row r="208" spans="1:11" ht="14.4" customHeight="1" x14ac:dyDescent="0.3">
      <c r="A208" s="417" t="s">
        <v>393</v>
      </c>
      <c r="B208" s="418" t="s">
        <v>394</v>
      </c>
      <c r="C208" s="419" t="s">
        <v>398</v>
      </c>
      <c r="D208" s="420" t="s">
        <v>467</v>
      </c>
      <c r="E208" s="419" t="s">
        <v>975</v>
      </c>
      <c r="F208" s="420" t="s">
        <v>976</v>
      </c>
      <c r="G208" s="419" t="s">
        <v>889</v>
      </c>
      <c r="H208" s="419" t="s">
        <v>890</v>
      </c>
      <c r="I208" s="421">
        <v>45254</v>
      </c>
      <c r="J208" s="421">
        <v>1</v>
      </c>
      <c r="K208" s="422">
        <v>45254</v>
      </c>
    </row>
    <row r="209" spans="1:11" ht="14.4" customHeight="1" x14ac:dyDescent="0.3">
      <c r="A209" s="417" t="s">
        <v>393</v>
      </c>
      <c r="B209" s="418" t="s">
        <v>394</v>
      </c>
      <c r="C209" s="419" t="s">
        <v>398</v>
      </c>
      <c r="D209" s="420" t="s">
        <v>467</v>
      </c>
      <c r="E209" s="419" t="s">
        <v>975</v>
      </c>
      <c r="F209" s="420" t="s">
        <v>976</v>
      </c>
      <c r="G209" s="419" t="s">
        <v>891</v>
      </c>
      <c r="H209" s="419" t="s">
        <v>892</v>
      </c>
      <c r="I209" s="421">
        <v>17514</v>
      </c>
      <c r="J209" s="421">
        <v>1</v>
      </c>
      <c r="K209" s="422">
        <v>17514</v>
      </c>
    </row>
    <row r="210" spans="1:11" ht="14.4" customHeight="1" x14ac:dyDescent="0.3">
      <c r="A210" s="417" t="s">
        <v>393</v>
      </c>
      <c r="B210" s="418" t="s">
        <v>394</v>
      </c>
      <c r="C210" s="419" t="s">
        <v>398</v>
      </c>
      <c r="D210" s="420" t="s">
        <v>467</v>
      </c>
      <c r="E210" s="419" t="s">
        <v>975</v>
      </c>
      <c r="F210" s="420" t="s">
        <v>976</v>
      </c>
      <c r="G210" s="419" t="s">
        <v>893</v>
      </c>
      <c r="H210" s="419" t="s">
        <v>894</v>
      </c>
      <c r="I210" s="421">
        <v>3414.62</v>
      </c>
      <c r="J210" s="421">
        <v>1</v>
      </c>
      <c r="K210" s="422">
        <v>3414.62</v>
      </c>
    </row>
    <row r="211" spans="1:11" ht="14.4" customHeight="1" x14ac:dyDescent="0.3">
      <c r="A211" s="417" t="s">
        <v>393</v>
      </c>
      <c r="B211" s="418" t="s">
        <v>394</v>
      </c>
      <c r="C211" s="419" t="s">
        <v>398</v>
      </c>
      <c r="D211" s="420" t="s">
        <v>467</v>
      </c>
      <c r="E211" s="419" t="s">
        <v>975</v>
      </c>
      <c r="F211" s="420" t="s">
        <v>976</v>
      </c>
      <c r="G211" s="419" t="s">
        <v>895</v>
      </c>
      <c r="H211" s="419" t="s">
        <v>896</v>
      </c>
      <c r="I211" s="421">
        <v>13124.87</v>
      </c>
      <c r="J211" s="421">
        <v>1</v>
      </c>
      <c r="K211" s="422">
        <v>13124.87</v>
      </c>
    </row>
    <row r="212" spans="1:11" ht="14.4" customHeight="1" x14ac:dyDescent="0.3">
      <c r="A212" s="417" t="s">
        <v>393</v>
      </c>
      <c r="B212" s="418" t="s">
        <v>394</v>
      </c>
      <c r="C212" s="419" t="s">
        <v>398</v>
      </c>
      <c r="D212" s="420" t="s">
        <v>467</v>
      </c>
      <c r="E212" s="419" t="s">
        <v>975</v>
      </c>
      <c r="F212" s="420" t="s">
        <v>976</v>
      </c>
      <c r="G212" s="419" t="s">
        <v>897</v>
      </c>
      <c r="H212" s="419" t="s">
        <v>898</v>
      </c>
      <c r="I212" s="421">
        <v>3259.74</v>
      </c>
      <c r="J212" s="421">
        <v>1</v>
      </c>
      <c r="K212" s="422">
        <v>3259.74</v>
      </c>
    </row>
    <row r="213" spans="1:11" ht="14.4" customHeight="1" x14ac:dyDescent="0.3">
      <c r="A213" s="417" t="s">
        <v>393</v>
      </c>
      <c r="B213" s="418" t="s">
        <v>394</v>
      </c>
      <c r="C213" s="419" t="s">
        <v>398</v>
      </c>
      <c r="D213" s="420" t="s">
        <v>467</v>
      </c>
      <c r="E213" s="419" t="s">
        <v>975</v>
      </c>
      <c r="F213" s="420" t="s">
        <v>976</v>
      </c>
      <c r="G213" s="419" t="s">
        <v>899</v>
      </c>
      <c r="H213" s="419" t="s">
        <v>900</v>
      </c>
      <c r="I213" s="421">
        <v>520.29999999999995</v>
      </c>
      <c r="J213" s="421">
        <v>1</v>
      </c>
      <c r="K213" s="422">
        <v>520.29999999999995</v>
      </c>
    </row>
    <row r="214" spans="1:11" ht="14.4" customHeight="1" x14ac:dyDescent="0.3">
      <c r="A214" s="417" t="s">
        <v>393</v>
      </c>
      <c r="B214" s="418" t="s">
        <v>394</v>
      </c>
      <c r="C214" s="419" t="s">
        <v>398</v>
      </c>
      <c r="D214" s="420" t="s">
        <v>467</v>
      </c>
      <c r="E214" s="419" t="s">
        <v>975</v>
      </c>
      <c r="F214" s="420" t="s">
        <v>976</v>
      </c>
      <c r="G214" s="419" t="s">
        <v>901</v>
      </c>
      <c r="H214" s="419" t="s">
        <v>902</v>
      </c>
      <c r="I214" s="421">
        <v>3744.4</v>
      </c>
      <c r="J214" s="421">
        <v>1</v>
      </c>
      <c r="K214" s="422">
        <v>3744.4</v>
      </c>
    </row>
    <row r="215" spans="1:11" ht="14.4" customHeight="1" x14ac:dyDescent="0.3">
      <c r="A215" s="417" t="s">
        <v>393</v>
      </c>
      <c r="B215" s="418" t="s">
        <v>394</v>
      </c>
      <c r="C215" s="419" t="s">
        <v>398</v>
      </c>
      <c r="D215" s="420" t="s">
        <v>467</v>
      </c>
      <c r="E215" s="419" t="s">
        <v>975</v>
      </c>
      <c r="F215" s="420" t="s">
        <v>976</v>
      </c>
      <c r="G215" s="419" t="s">
        <v>903</v>
      </c>
      <c r="H215" s="419" t="s">
        <v>904</v>
      </c>
      <c r="I215" s="421">
        <v>2591.8200000000002</v>
      </c>
      <c r="J215" s="421">
        <v>1</v>
      </c>
      <c r="K215" s="422">
        <v>2591.8200000000002</v>
      </c>
    </row>
    <row r="216" spans="1:11" ht="14.4" customHeight="1" x14ac:dyDescent="0.3">
      <c r="A216" s="417" t="s">
        <v>393</v>
      </c>
      <c r="B216" s="418" t="s">
        <v>394</v>
      </c>
      <c r="C216" s="419" t="s">
        <v>398</v>
      </c>
      <c r="D216" s="420" t="s">
        <v>467</v>
      </c>
      <c r="E216" s="419" t="s">
        <v>975</v>
      </c>
      <c r="F216" s="420" t="s">
        <v>976</v>
      </c>
      <c r="G216" s="419" t="s">
        <v>905</v>
      </c>
      <c r="H216" s="419" t="s">
        <v>906</v>
      </c>
      <c r="I216" s="421">
        <v>6897</v>
      </c>
      <c r="J216" s="421">
        <v>8</v>
      </c>
      <c r="K216" s="422">
        <v>55176</v>
      </c>
    </row>
    <row r="217" spans="1:11" ht="14.4" customHeight="1" x14ac:dyDescent="0.3">
      <c r="A217" s="417" t="s">
        <v>393</v>
      </c>
      <c r="B217" s="418" t="s">
        <v>394</v>
      </c>
      <c r="C217" s="419" t="s">
        <v>398</v>
      </c>
      <c r="D217" s="420" t="s">
        <v>467</v>
      </c>
      <c r="E217" s="419" t="s">
        <v>975</v>
      </c>
      <c r="F217" s="420" t="s">
        <v>976</v>
      </c>
      <c r="G217" s="419" t="s">
        <v>907</v>
      </c>
      <c r="H217" s="419" t="s">
        <v>908</v>
      </c>
      <c r="I217" s="421">
        <v>4011.15</v>
      </c>
      <c r="J217" s="421">
        <v>1</v>
      </c>
      <c r="K217" s="422">
        <v>4011.15</v>
      </c>
    </row>
    <row r="218" spans="1:11" ht="14.4" customHeight="1" x14ac:dyDescent="0.3">
      <c r="A218" s="417" t="s">
        <v>393</v>
      </c>
      <c r="B218" s="418" t="s">
        <v>394</v>
      </c>
      <c r="C218" s="419" t="s">
        <v>398</v>
      </c>
      <c r="D218" s="420" t="s">
        <v>467</v>
      </c>
      <c r="E218" s="419" t="s">
        <v>975</v>
      </c>
      <c r="F218" s="420" t="s">
        <v>976</v>
      </c>
      <c r="G218" s="419" t="s">
        <v>909</v>
      </c>
      <c r="H218" s="419" t="s">
        <v>910</v>
      </c>
      <c r="I218" s="421">
        <v>98.86</v>
      </c>
      <c r="J218" s="421">
        <v>1</v>
      </c>
      <c r="K218" s="422">
        <v>98.86</v>
      </c>
    </row>
    <row r="219" spans="1:11" ht="14.4" customHeight="1" x14ac:dyDescent="0.3">
      <c r="A219" s="417" t="s">
        <v>393</v>
      </c>
      <c r="B219" s="418" t="s">
        <v>394</v>
      </c>
      <c r="C219" s="419" t="s">
        <v>398</v>
      </c>
      <c r="D219" s="420" t="s">
        <v>467</v>
      </c>
      <c r="E219" s="419" t="s">
        <v>975</v>
      </c>
      <c r="F219" s="420" t="s">
        <v>976</v>
      </c>
      <c r="G219" s="419" t="s">
        <v>911</v>
      </c>
      <c r="H219" s="419" t="s">
        <v>912</v>
      </c>
      <c r="I219" s="421">
        <v>245.5</v>
      </c>
      <c r="J219" s="421">
        <v>2</v>
      </c>
      <c r="K219" s="422">
        <v>491</v>
      </c>
    </row>
    <row r="220" spans="1:11" ht="14.4" customHeight="1" x14ac:dyDescent="0.3">
      <c r="A220" s="417" t="s">
        <v>393</v>
      </c>
      <c r="B220" s="418" t="s">
        <v>394</v>
      </c>
      <c r="C220" s="419" t="s">
        <v>398</v>
      </c>
      <c r="D220" s="420" t="s">
        <v>467</v>
      </c>
      <c r="E220" s="419" t="s">
        <v>975</v>
      </c>
      <c r="F220" s="420" t="s">
        <v>976</v>
      </c>
      <c r="G220" s="419" t="s">
        <v>913</v>
      </c>
      <c r="H220" s="419" t="s">
        <v>914</v>
      </c>
      <c r="I220" s="421">
        <v>9559</v>
      </c>
      <c r="J220" s="421">
        <v>1</v>
      </c>
      <c r="K220" s="422">
        <v>9559</v>
      </c>
    </row>
    <row r="221" spans="1:11" ht="14.4" customHeight="1" x14ac:dyDescent="0.3">
      <c r="A221" s="417" t="s">
        <v>393</v>
      </c>
      <c r="B221" s="418" t="s">
        <v>394</v>
      </c>
      <c r="C221" s="419" t="s">
        <v>398</v>
      </c>
      <c r="D221" s="420" t="s">
        <v>467</v>
      </c>
      <c r="E221" s="419" t="s">
        <v>975</v>
      </c>
      <c r="F221" s="420" t="s">
        <v>976</v>
      </c>
      <c r="G221" s="419" t="s">
        <v>915</v>
      </c>
      <c r="H221" s="419" t="s">
        <v>916</v>
      </c>
      <c r="I221" s="421">
        <v>3346.86</v>
      </c>
      <c r="J221" s="421">
        <v>1</v>
      </c>
      <c r="K221" s="422">
        <v>3346.86</v>
      </c>
    </row>
    <row r="222" spans="1:11" ht="14.4" customHeight="1" x14ac:dyDescent="0.3">
      <c r="A222" s="417" t="s">
        <v>393</v>
      </c>
      <c r="B222" s="418" t="s">
        <v>394</v>
      </c>
      <c r="C222" s="419" t="s">
        <v>398</v>
      </c>
      <c r="D222" s="420" t="s">
        <v>467</v>
      </c>
      <c r="E222" s="419" t="s">
        <v>975</v>
      </c>
      <c r="F222" s="420" t="s">
        <v>976</v>
      </c>
      <c r="G222" s="419" t="s">
        <v>917</v>
      </c>
      <c r="H222" s="419" t="s">
        <v>918</v>
      </c>
      <c r="I222" s="421">
        <v>2420</v>
      </c>
      <c r="J222" s="421">
        <v>1</v>
      </c>
      <c r="K222" s="422">
        <v>2420</v>
      </c>
    </row>
    <row r="223" spans="1:11" ht="14.4" customHeight="1" x14ac:dyDescent="0.3">
      <c r="A223" s="417" t="s">
        <v>393</v>
      </c>
      <c r="B223" s="418" t="s">
        <v>394</v>
      </c>
      <c r="C223" s="419" t="s">
        <v>398</v>
      </c>
      <c r="D223" s="420" t="s">
        <v>467</v>
      </c>
      <c r="E223" s="419" t="s">
        <v>975</v>
      </c>
      <c r="F223" s="420" t="s">
        <v>976</v>
      </c>
      <c r="G223" s="419" t="s">
        <v>919</v>
      </c>
      <c r="H223" s="419" t="s">
        <v>920</v>
      </c>
      <c r="I223" s="421">
        <v>2420</v>
      </c>
      <c r="J223" s="421">
        <v>1</v>
      </c>
      <c r="K223" s="422">
        <v>2420</v>
      </c>
    </row>
    <row r="224" spans="1:11" ht="14.4" customHeight="1" x14ac:dyDescent="0.3">
      <c r="A224" s="417" t="s">
        <v>393</v>
      </c>
      <c r="B224" s="418" t="s">
        <v>394</v>
      </c>
      <c r="C224" s="419" t="s">
        <v>398</v>
      </c>
      <c r="D224" s="420" t="s">
        <v>467</v>
      </c>
      <c r="E224" s="419" t="s">
        <v>975</v>
      </c>
      <c r="F224" s="420" t="s">
        <v>976</v>
      </c>
      <c r="G224" s="419" t="s">
        <v>921</v>
      </c>
      <c r="H224" s="419" t="s">
        <v>922</v>
      </c>
      <c r="I224" s="421">
        <v>434.39</v>
      </c>
      <c r="J224" s="421">
        <v>6</v>
      </c>
      <c r="K224" s="422">
        <v>2606.34</v>
      </c>
    </row>
    <row r="225" spans="1:11" ht="14.4" customHeight="1" x14ac:dyDescent="0.3">
      <c r="A225" s="417" t="s">
        <v>393</v>
      </c>
      <c r="B225" s="418" t="s">
        <v>394</v>
      </c>
      <c r="C225" s="419" t="s">
        <v>398</v>
      </c>
      <c r="D225" s="420" t="s">
        <v>467</v>
      </c>
      <c r="E225" s="419" t="s">
        <v>975</v>
      </c>
      <c r="F225" s="420" t="s">
        <v>976</v>
      </c>
      <c r="G225" s="419" t="s">
        <v>923</v>
      </c>
      <c r="H225" s="419" t="s">
        <v>924</v>
      </c>
      <c r="I225" s="421">
        <v>2591.8200000000002</v>
      </c>
      <c r="J225" s="421">
        <v>1</v>
      </c>
      <c r="K225" s="422">
        <v>2591.8200000000002</v>
      </c>
    </row>
    <row r="226" spans="1:11" ht="14.4" customHeight="1" x14ac:dyDescent="0.3">
      <c r="A226" s="417" t="s">
        <v>393</v>
      </c>
      <c r="B226" s="418" t="s">
        <v>394</v>
      </c>
      <c r="C226" s="419" t="s">
        <v>398</v>
      </c>
      <c r="D226" s="420" t="s">
        <v>467</v>
      </c>
      <c r="E226" s="419" t="s">
        <v>975</v>
      </c>
      <c r="F226" s="420" t="s">
        <v>976</v>
      </c>
      <c r="G226" s="419" t="s">
        <v>925</v>
      </c>
      <c r="H226" s="419" t="s">
        <v>926</v>
      </c>
      <c r="I226" s="421">
        <v>274.67</v>
      </c>
      <c r="J226" s="421">
        <v>1</v>
      </c>
      <c r="K226" s="422">
        <v>274.67</v>
      </c>
    </row>
    <row r="227" spans="1:11" ht="14.4" customHeight="1" x14ac:dyDescent="0.3">
      <c r="A227" s="417" t="s">
        <v>393</v>
      </c>
      <c r="B227" s="418" t="s">
        <v>394</v>
      </c>
      <c r="C227" s="419" t="s">
        <v>398</v>
      </c>
      <c r="D227" s="420" t="s">
        <v>467</v>
      </c>
      <c r="E227" s="419" t="s">
        <v>975</v>
      </c>
      <c r="F227" s="420" t="s">
        <v>976</v>
      </c>
      <c r="G227" s="419" t="s">
        <v>927</v>
      </c>
      <c r="H227" s="419" t="s">
        <v>928</v>
      </c>
      <c r="I227" s="421">
        <v>139.15</v>
      </c>
      <c r="J227" s="421">
        <v>1</v>
      </c>
      <c r="K227" s="422">
        <v>139.15</v>
      </c>
    </row>
    <row r="228" spans="1:11" ht="14.4" customHeight="1" x14ac:dyDescent="0.3">
      <c r="A228" s="417" t="s">
        <v>393</v>
      </c>
      <c r="B228" s="418" t="s">
        <v>394</v>
      </c>
      <c r="C228" s="419" t="s">
        <v>398</v>
      </c>
      <c r="D228" s="420" t="s">
        <v>467</v>
      </c>
      <c r="E228" s="419" t="s">
        <v>975</v>
      </c>
      <c r="F228" s="420" t="s">
        <v>976</v>
      </c>
      <c r="G228" s="419" t="s">
        <v>929</v>
      </c>
      <c r="H228" s="419" t="s">
        <v>930</v>
      </c>
      <c r="I228" s="421">
        <v>248.06</v>
      </c>
      <c r="J228" s="421">
        <v>1</v>
      </c>
      <c r="K228" s="422">
        <v>248.06</v>
      </c>
    </row>
    <row r="229" spans="1:11" ht="14.4" customHeight="1" x14ac:dyDescent="0.3">
      <c r="A229" s="417" t="s">
        <v>393</v>
      </c>
      <c r="B229" s="418" t="s">
        <v>394</v>
      </c>
      <c r="C229" s="419" t="s">
        <v>398</v>
      </c>
      <c r="D229" s="420" t="s">
        <v>467</v>
      </c>
      <c r="E229" s="419" t="s">
        <v>975</v>
      </c>
      <c r="F229" s="420" t="s">
        <v>976</v>
      </c>
      <c r="G229" s="419" t="s">
        <v>931</v>
      </c>
      <c r="H229" s="419" t="s">
        <v>932</v>
      </c>
      <c r="I229" s="421">
        <v>249.27769356764617</v>
      </c>
      <c r="J229" s="421">
        <v>1</v>
      </c>
      <c r="K229" s="422">
        <v>249.27769356764617</v>
      </c>
    </row>
    <row r="230" spans="1:11" ht="14.4" customHeight="1" x14ac:dyDescent="0.3">
      <c r="A230" s="417" t="s">
        <v>393</v>
      </c>
      <c r="B230" s="418" t="s">
        <v>394</v>
      </c>
      <c r="C230" s="419" t="s">
        <v>398</v>
      </c>
      <c r="D230" s="420" t="s">
        <v>467</v>
      </c>
      <c r="E230" s="419" t="s">
        <v>975</v>
      </c>
      <c r="F230" s="420" t="s">
        <v>976</v>
      </c>
      <c r="G230" s="419" t="s">
        <v>933</v>
      </c>
      <c r="H230" s="419" t="s">
        <v>934</v>
      </c>
      <c r="I230" s="421">
        <v>6353.71</v>
      </c>
      <c r="J230" s="421">
        <v>1</v>
      </c>
      <c r="K230" s="422">
        <v>6353.71</v>
      </c>
    </row>
    <row r="231" spans="1:11" ht="14.4" customHeight="1" x14ac:dyDescent="0.3">
      <c r="A231" s="417" t="s">
        <v>393</v>
      </c>
      <c r="B231" s="418" t="s">
        <v>394</v>
      </c>
      <c r="C231" s="419" t="s">
        <v>398</v>
      </c>
      <c r="D231" s="420" t="s">
        <v>467</v>
      </c>
      <c r="E231" s="419" t="s">
        <v>975</v>
      </c>
      <c r="F231" s="420" t="s">
        <v>976</v>
      </c>
      <c r="G231" s="419" t="s">
        <v>935</v>
      </c>
      <c r="H231" s="419" t="s">
        <v>936</v>
      </c>
      <c r="I231" s="421">
        <v>8330.86</v>
      </c>
      <c r="J231" s="421">
        <v>2</v>
      </c>
      <c r="K231" s="422">
        <v>16661.72</v>
      </c>
    </row>
    <row r="232" spans="1:11" ht="14.4" customHeight="1" x14ac:dyDescent="0.3">
      <c r="A232" s="417" t="s">
        <v>393</v>
      </c>
      <c r="B232" s="418" t="s">
        <v>394</v>
      </c>
      <c r="C232" s="419" t="s">
        <v>398</v>
      </c>
      <c r="D232" s="420" t="s">
        <v>467</v>
      </c>
      <c r="E232" s="419" t="s">
        <v>975</v>
      </c>
      <c r="F232" s="420" t="s">
        <v>976</v>
      </c>
      <c r="G232" s="419" t="s">
        <v>937</v>
      </c>
      <c r="H232" s="419" t="s">
        <v>938</v>
      </c>
      <c r="I232" s="421">
        <v>1476.2</v>
      </c>
      <c r="J232" s="421">
        <v>1</v>
      </c>
      <c r="K232" s="422">
        <v>1476.2</v>
      </c>
    </row>
    <row r="233" spans="1:11" ht="14.4" customHeight="1" x14ac:dyDescent="0.3">
      <c r="A233" s="417" t="s">
        <v>393</v>
      </c>
      <c r="B233" s="418" t="s">
        <v>394</v>
      </c>
      <c r="C233" s="419" t="s">
        <v>398</v>
      </c>
      <c r="D233" s="420" t="s">
        <v>467</v>
      </c>
      <c r="E233" s="419" t="s">
        <v>975</v>
      </c>
      <c r="F233" s="420" t="s">
        <v>976</v>
      </c>
      <c r="G233" s="419" t="s">
        <v>939</v>
      </c>
      <c r="H233" s="419" t="s">
        <v>940</v>
      </c>
      <c r="I233" s="421">
        <v>1542.56</v>
      </c>
      <c r="J233" s="421">
        <v>1</v>
      </c>
      <c r="K233" s="422">
        <v>1542.56</v>
      </c>
    </row>
    <row r="234" spans="1:11" ht="14.4" customHeight="1" x14ac:dyDescent="0.3">
      <c r="A234" s="417" t="s">
        <v>393</v>
      </c>
      <c r="B234" s="418" t="s">
        <v>394</v>
      </c>
      <c r="C234" s="419" t="s">
        <v>398</v>
      </c>
      <c r="D234" s="420" t="s">
        <v>467</v>
      </c>
      <c r="E234" s="419" t="s">
        <v>975</v>
      </c>
      <c r="F234" s="420" t="s">
        <v>976</v>
      </c>
      <c r="G234" s="419" t="s">
        <v>941</v>
      </c>
      <c r="H234" s="419" t="s">
        <v>942</v>
      </c>
      <c r="I234" s="421">
        <v>5105</v>
      </c>
      <c r="J234" s="421">
        <v>2</v>
      </c>
      <c r="K234" s="422">
        <v>10210</v>
      </c>
    </row>
    <row r="235" spans="1:11" ht="14.4" customHeight="1" x14ac:dyDescent="0.3">
      <c r="A235" s="417" t="s">
        <v>393</v>
      </c>
      <c r="B235" s="418" t="s">
        <v>394</v>
      </c>
      <c r="C235" s="419" t="s">
        <v>398</v>
      </c>
      <c r="D235" s="420" t="s">
        <v>467</v>
      </c>
      <c r="E235" s="419" t="s">
        <v>975</v>
      </c>
      <c r="F235" s="420" t="s">
        <v>976</v>
      </c>
      <c r="G235" s="419" t="s">
        <v>943</v>
      </c>
      <c r="H235" s="419" t="s">
        <v>944</v>
      </c>
      <c r="I235" s="421">
        <v>2591.8200000000002</v>
      </c>
      <c r="J235" s="421">
        <v>2</v>
      </c>
      <c r="K235" s="422">
        <v>5183.6400000000003</v>
      </c>
    </row>
    <row r="236" spans="1:11" ht="14.4" customHeight="1" x14ac:dyDescent="0.3">
      <c r="A236" s="417" t="s">
        <v>393</v>
      </c>
      <c r="B236" s="418" t="s">
        <v>394</v>
      </c>
      <c r="C236" s="419" t="s">
        <v>398</v>
      </c>
      <c r="D236" s="420" t="s">
        <v>467</v>
      </c>
      <c r="E236" s="419" t="s">
        <v>975</v>
      </c>
      <c r="F236" s="420" t="s">
        <v>976</v>
      </c>
      <c r="G236" s="419" t="s">
        <v>945</v>
      </c>
      <c r="H236" s="419" t="s">
        <v>946</v>
      </c>
      <c r="I236" s="421">
        <v>2591.8200000000002</v>
      </c>
      <c r="J236" s="421">
        <v>1</v>
      </c>
      <c r="K236" s="422">
        <v>2591.8200000000002</v>
      </c>
    </row>
    <row r="237" spans="1:11" ht="14.4" customHeight="1" x14ac:dyDescent="0.3">
      <c r="A237" s="417" t="s">
        <v>393</v>
      </c>
      <c r="B237" s="418" t="s">
        <v>394</v>
      </c>
      <c r="C237" s="419" t="s">
        <v>398</v>
      </c>
      <c r="D237" s="420" t="s">
        <v>467</v>
      </c>
      <c r="E237" s="419" t="s">
        <v>975</v>
      </c>
      <c r="F237" s="420" t="s">
        <v>976</v>
      </c>
      <c r="G237" s="419" t="s">
        <v>947</v>
      </c>
      <c r="H237" s="419" t="s">
        <v>948</v>
      </c>
      <c r="I237" s="421">
        <v>903.87</v>
      </c>
      <c r="J237" s="421">
        <v>1</v>
      </c>
      <c r="K237" s="422">
        <v>903.87</v>
      </c>
    </row>
    <row r="238" spans="1:11" ht="14.4" customHeight="1" x14ac:dyDescent="0.3">
      <c r="A238" s="417" t="s">
        <v>393</v>
      </c>
      <c r="B238" s="418" t="s">
        <v>394</v>
      </c>
      <c r="C238" s="419" t="s">
        <v>398</v>
      </c>
      <c r="D238" s="420" t="s">
        <v>467</v>
      </c>
      <c r="E238" s="419" t="s">
        <v>975</v>
      </c>
      <c r="F238" s="420" t="s">
        <v>976</v>
      </c>
      <c r="G238" s="419" t="s">
        <v>949</v>
      </c>
      <c r="H238" s="419" t="s">
        <v>950</v>
      </c>
      <c r="I238" s="421">
        <v>235.95</v>
      </c>
      <c r="J238" s="421">
        <v>8</v>
      </c>
      <c r="K238" s="422">
        <v>1887.6</v>
      </c>
    </row>
    <row r="239" spans="1:11" ht="14.4" customHeight="1" x14ac:dyDescent="0.3">
      <c r="A239" s="417" t="s">
        <v>393</v>
      </c>
      <c r="B239" s="418" t="s">
        <v>394</v>
      </c>
      <c r="C239" s="419" t="s">
        <v>398</v>
      </c>
      <c r="D239" s="420" t="s">
        <v>467</v>
      </c>
      <c r="E239" s="419" t="s">
        <v>975</v>
      </c>
      <c r="F239" s="420" t="s">
        <v>976</v>
      </c>
      <c r="G239" s="419" t="s">
        <v>951</v>
      </c>
      <c r="H239" s="419" t="s">
        <v>952</v>
      </c>
      <c r="I239" s="421">
        <v>2190.1</v>
      </c>
      <c r="J239" s="421">
        <v>1</v>
      </c>
      <c r="K239" s="422">
        <v>2190.1</v>
      </c>
    </row>
    <row r="240" spans="1:11" ht="14.4" customHeight="1" x14ac:dyDescent="0.3">
      <c r="A240" s="417" t="s">
        <v>393</v>
      </c>
      <c r="B240" s="418" t="s">
        <v>394</v>
      </c>
      <c r="C240" s="419" t="s">
        <v>398</v>
      </c>
      <c r="D240" s="420" t="s">
        <v>467</v>
      </c>
      <c r="E240" s="419" t="s">
        <v>975</v>
      </c>
      <c r="F240" s="420" t="s">
        <v>976</v>
      </c>
      <c r="G240" s="419" t="s">
        <v>953</v>
      </c>
      <c r="H240" s="419" t="s">
        <v>954</v>
      </c>
      <c r="I240" s="421">
        <v>2591.8200000000002</v>
      </c>
      <c r="J240" s="421">
        <v>1</v>
      </c>
      <c r="K240" s="422">
        <v>2591.8200000000002</v>
      </c>
    </row>
    <row r="241" spans="1:11" ht="14.4" customHeight="1" x14ac:dyDescent="0.3">
      <c r="A241" s="417" t="s">
        <v>393</v>
      </c>
      <c r="B241" s="418" t="s">
        <v>394</v>
      </c>
      <c r="C241" s="419" t="s">
        <v>398</v>
      </c>
      <c r="D241" s="420" t="s">
        <v>467</v>
      </c>
      <c r="E241" s="419" t="s">
        <v>975</v>
      </c>
      <c r="F241" s="420" t="s">
        <v>976</v>
      </c>
      <c r="G241" s="419" t="s">
        <v>955</v>
      </c>
      <c r="H241" s="419" t="s">
        <v>956</v>
      </c>
      <c r="I241" s="421">
        <v>433.18</v>
      </c>
      <c r="J241" s="421">
        <v>1</v>
      </c>
      <c r="K241" s="422">
        <v>433.18</v>
      </c>
    </row>
    <row r="242" spans="1:11" ht="14.4" customHeight="1" x14ac:dyDescent="0.3">
      <c r="A242" s="417" t="s">
        <v>393</v>
      </c>
      <c r="B242" s="418" t="s">
        <v>394</v>
      </c>
      <c r="C242" s="419" t="s">
        <v>398</v>
      </c>
      <c r="D242" s="420" t="s">
        <v>467</v>
      </c>
      <c r="E242" s="419" t="s">
        <v>975</v>
      </c>
      <c r="F242" s="420" t="s">
        <v>976</v>
      </c>
      <c r="G242" s="419" t="s">
        <v>957</v>
      </c>
      <c r="H242" s="419" t="s">
        <v>958</v>
      </c>
      <c r="I242" s="421">
        <v>6200</v>
      </c>
      <c r="J242" s="421">
        <v>1</v>
      </c>
      <c r="K242" s="422">
        <v>6200</v>
      </c>
    </row>
    <row r="243" spans="1:11" ht="14.4" customHeight="1" x14ac:dyDescent="0.3">
      <c r="A243" s="417" t="s">
        <v>393</v>
      </c>
      <c r="B243" s="418" t="s">
        <v>394</v>
      </c>
      <c r="C243" s="419" t="s">
        <v>398</v>
      </c>
      <c r="D243" s="420" t="s">
        <v>467</v>
      </c>
      <c r="E243" s="419" t="s">
        <v>975</v>
      </c>
      <c r="F243" s="420" t="s">
        <v>976</v>
      </c>
      <c r="G243" s="419" t="s">
        <v>959</v>
      </c>
      <c r="H243" s="419" t="s">
        <v>960</v>
      </c>
      <c r="I243" s="421">
        <v>1078.1199999999999</v>
      </c>
      <c r="J243" s="421">
        <v>1</v>
      </c>
      <c r="K243" s="422">
        <v>1078.1199999999999</v>
      </c>
    </row>
    <row r="244" spans="1:11" ht="14.4" customHeight="1" x14ac:dyDescent="0.3">
      <c r="A244" s="417" t="s">
        <v>393</v>
      </c>
      <c r="B244" s="418" t="s">
        <v>394</v>
      </c>
      <c r="C244" s="419" t="s">
        <v>398</v>
      </c>
      <c r="D244" s="420" t="s">
        <v>467</v>
      </c>
      <c r="E244" s="419" t="s">
        <v>975</v>
      </c>
      <c r="F244" s="420" t="s">
        <v>976</v>
      </c>
      <c r="G244" s="419" t="s">
        <v>961</v>
      </c>
      <c r="H244" s="419" t="s">
        <v>962</v>
      </c>
      <c r="I244" s="421">
        <v>274.67</v>
      </c>
      <c r="J244" s="421">
        <v>1</v>
      </c>
      <c r="K244" s="422">
        <v>274.67</v>
      </c>
    </row>
    <row r="245" spans="1:11" ht="14.4" customHeight="1" thickBot="1" x14ac:dyDescent="0.35">
      <c r="A245" s="423" t="s">
        <v>393</v>
      </c>
      <c r="B245" s="424" t="s">
        <v>394</v>
      </c>
      <c r="C245" s="425" t="s">
        <v>398</v>
      </c>
      <c r="D245" s="426" t="s">
        <v>467</v>
      </c>
      <c r="E245" s="425" t="s">
        <v>975</v>
      </c>
      <c r="F245" s="426" t="s">
        <v>976</v>
      </c>
      <c r="G245" s="425" t="s">
        <v>963</v>
      </c>
      <c r="H245" s="425" t="s">
        <v>964</v>
      </c>
      <c r="I245" s="427">
        <v>87.06</v>
      </c>
      <c r="J245" s="427">
        <v>7</v>
      </c>
      <c r="K245" s="428">
        <v>609.4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J36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I1"/>
    </sheetView>
  </sheetViews>
  <sheetFormatPr defaultRowHeight="14.4" outlineLevelRow="1" x14ac:dyDescent="0.3"/>
  <cols>
    <col min="1" max="1" width="37.21875" customWidth="1"/>
    <col min="2" max="4" width="13.109375" customWidth="1"/>
    <col min="5" max="5" width="13.109375" hidden="1" customWidth="1"/>
    <col min="6" max="9" width="13.109375" customWidth="1"/>
  </cols>
  <sheetData>
    <row r="1" spans="1:10" ht="18.600000000000001" thickBot="1" x14ac:dyDescent="0.4">
      <c r="A1" s="348" t="s">
        <v>93</v>
      </c>
      <c r="B1" s="323"/>
      <c r="C1" s="323"/>
      <c r="D1" s="323"/>
      <c r="E1" s="323"/>
      <c r="F1" s="323"/>
      <c r="G1" s="323"/>
      <c r="H1" s="323"/>
      <c r="I1" s="323"/>
    </row>
    <row r="2" spans="1:10" ht="15" thickBot="1" x14ac:dyDescent="0.35">
      <c r="A2" s="214" t="s">
        <v>229</v>
      </c>
      <c r="B2" s="215"/>
      <c r="C2" s="215"/>
      <c r="D2" s="215"/>
      <c r="E2" s="215"/>
      <c r="F2" s="215"/>
    </row>
    <row r="3" spans="1:10" x14ac:dyDescent="0.3">
      <c r="A3" s="231" t="s">
        <v>175</v>
      </c>
      <c r="B3" s="346" t="s">
        <v>158</v>
      </c>
      <c r="C3" s="216">
        <v>99</v>
      </c>
      <c r="D3" s="234">
        <v>101</v>
      </c>
      <c r="E3" s="234">
        <v>302</v>
      </c>
      <c r="F3" s="234">
        <v>409</v>
      </c>
      <c r="G3" s="216">
        <v>642</v>
      </c>
      <c r="H3" s="216">
        <v>746</v>
      </c>
      <c r="I3" s="480">
        <v>930</v>
      </c>
      <c r="J3" s="495"/>
    </row>
    <row r="4" spans="1:10" ht="36.6" outlineLevel="1" thickBot="1" x14ac:dyDescent="0.35">
      <c r="A4" s="232">
        <v>2016</v>
      </c>
      <c r="B4" s="347"/>
      <c r="C4" s="217" t="s">
        <v>159</v>
      </c>
      <c r="D4" s="235" t="s">
        <v>203</v>
      </c>
      <c r="E4" s="235" t="s">
        <v>204</v>
      </c>
      <c r="F4" s="235" t="s">
        <v>183</v>
      </c>
      <c r="G4" s="217" t="s">
        <v>184</v>
      </c>
      <c r="H4" s="217" t="s">
        <v>185</v>
      </c>
      <c r="I4" s="481" t="s">
        <v>177</v>
      </c>
      <c r="J4" s="495"/>
    </row>
    <row r="5" spans="1:10" x14ac:dyDescent="0.3">
      <c r="A5" s="218" t="s">
        <v>160</v>
      </c>
      <c r="B5" s="248"/>
      <c r="C5" s="249"/>
      <c r="D5" s="249"/>
      <c r="E5" s="249"/>
      <c r="F5" s="249"/>
      <c r="G5" s="249"/>
      <c r="H5" s="249"/>
      <c r="I5" s="482"/>
      <c r="J5" s="495"/>
    </row>
    <row r="6" spans="1:10" ht="15" collapsed="1" thickBot="1" x14ac:dyDescent="0.35">
      <c r="A6" s="219" t="s">
        <v>60</v>
      </c>
      <c r="B6" s="250">
        <f xml:space="preserve">
TRUNC(IF($A$4&lt;=12,SUMIFS('ON Data'!F:F,'ON Data'!$D:$D,$A$4,'ON Data'!$E:$E,1),SUMIFS('ON Data'!F:F,'ON Data'!$E:$E,1)/'ON Data'!$D$3),1)</f>
        <v>31.7</v>
      </c>
      <c r="C6" s="251">
        <f xml:space="preserve">
TRUNC(IF($A$4&lt;=12,SUMIFS('ON Data'!I:I,'ON Data'!$D:$D,$A$4,'ON Data'!$E:$E,1),SUMIFS('ON Data'!I:I,'ON Data'!$E:$E,1)/'ON Data'!$D$3),1)</f>
        <v>0.2</v>
      </c>
      <c r="D6" s="251">
        <f xml:space="preserve">
TRUNC(IF($A$4&lt;=12,SUMIFS('ON Data'!K:K,'ON Data'!$D:$D,$A$4,'ON Data'!$E:$E,1),SUMIFS('ON Data'!K:K,'ON Data'!$E:$E,1)/'ON Data'!$D$3),1)</f>
        <v>3.5</v>
      </c>
      <c r="E6" s="251">
        <f xml:space="preserve">
TRUNC(IF($A$4&lt;=12,SUMIFS('ON Data'!O:O,'ON Data'!$D:$D,$A$4,'ON Data'!$E:$E,1),SUMIFS('ON Data'!O:O,'ON Data'!$E:$E,1)/'ON Data'!$D$3),1)</f>
        <v>0</v>
      </c>
      <c r="F6" s="251">
        <f xml:space="preserve">
TRUNC(IF($A$4&lt;=12,SUMIFS('ON Data'!V:V,'ON Data'!$D:$D,$A$4,'ON Data'!$E:$E,1),SUMIFS('ON Data'!V:V,'ON Data'!$E:$E,1)/'ON Data'!$D$3),1)</f>
        <v>19</v>
      </c>
      <c r="G6" s="251">
        <f xml:space="preserve">
TRUNC(IF($A$4&lt;=12,SUMIFS('ON Data'!AR:AR,'ON Data'!$D:$D,$A$4,'ON Data'!$E:$E,1),SUMIFS('ON Data'!AR:AR,'ON Data'!$E:$E,1)/'ON Data'!$D$3),1)</f>
        <v>3</v>
      </c>
      <c r="H6" s="251">
        <f xml:space="preserve">
TRUNC(IF($A$4&lt;=12,SUMIFS('ON Data'!AU:AU,'ON Data'!$D:$D,$A$4,'ON Data'!$E:$E,1),SUMIFS('ON Data'!AU:AU,'ON Data'!$E:$E,1)/'ON Data'!$D$3),1)</f>
        <v>5</v>
      </c>
      <c r="I6" s="483">
        <f xml:space="preserve">
TRUNC(IF($A$4&lt;=12,SUMIFS('ON Data'!AW:AW,'ON Data'!$D:$D,$A$4,'ON Data'!$E:$E,1),SUMIFS('ON Data'!AW:AW,'ON Data'!$E:$E,1)/'ON Data'!$D$3),1)</f>
        <v>1</v>
      </c>
      <c r="J6" s="495"/>
    </row>
    <row r="7" spans="1:10" ht="15" hidden="1" outlineLevel="1" thickBot="1" x14ac:dyDescent="0.35">
      <c r="A7" s="219" t="s">
        <v>94</v>
      </c>
      <c r="B7" s="250"/>
      <c r="C7" s="251"/>
      <c r="D7" s="251"/>
      <c r="E7" s="251"/>
      <c r="F7" s="251"/>
      <c r="G7" s="251"/>
      <c r="H7" s="251"/>
      <c r="I7" s="483"/>
      <c r="J7" s="495"/>
    </row>
    <row r="8" spans="1:10" ht="15" hidden="1" outlineLevel="1" thickBot="1" x14ac:dyDescent="0.35">
      <c r="A8" s="219" t="s">
        <v>62</v>
      </c>
      <c r="B8" s="250"/>
      <c r="C8" s="251"/>
      <c r="D8" s="251"/>
      <c r="E8" s="251"/>
      <c r="F8" s="251"/>
      <c r="G8" s="251"/>
      <c r="H8" s="251"/>
      <c r="I8" s="483"/>
      <c r="J8" s="495"/>
    </row>
    <row r="9" spans="1:10" ht="15" hidden="1" outlineLevel="1" thickBot="1" x14ac:dyDescent="0.35">
      <c r="A9" s="220" t="s">
        <v>55</v>
      </c>
      <c r="B9" s="252"/>
      <c r="C9" s="253"/>
      <c r="D9" s="253"/>
      <c r="E9" s="253"/>
      <c r="F9" s="253"/>
      <c r="G9" s="253"/>
      <c r="H9" s="253"/>
      <c r="I9" s="484"/>
      <c r="J9" s="495"/>
    </row>
    <row r="10" spans="1:10" x14ac:dyDescent="0.3">
      <c r="A10" s="221" t="s">
        <v>161</v>
      </c>
      <c r="B10" s="236"/>
      <c r="C10" s="237"/>
      <c r="D10" s="237"/>
      <c r="E10" s="237"/>
      <c r="F10" s="237"/>
      <c r="G10" s="237"/>
      <c r="H10" s="237"/>
      <c r="I10" s="485"/>
      <c r="J10" s="495"/>
    </row>
    <row r="11" spans="1:10" x14ac:dyDescent="0.3">
      <c r="A11" s="222" t="s">
        <v>162</v>
      </c>
      <c r="B11" s="238">
        <f xml:space="preserve">
IF($A$4&lt;=12,SUMIFS('ON Data'!F:F,'ON Data'!$D:$D,$A$4,'ON Data'!$E:$E,2),SUMIFS('ON Data'!F:F,'ON Data'!$E:$E,2))</f>
        <v>9885.7999999999993</v>
      </c>
      <c r="C11" s="239">
        <f xml:space="preserve">
IF($A$4&lt;=12,SUMIFS('ON Data'!I:I,'ON Data'!$D:$D,$A$4,'ON Data'!$E:$E,2),SUMIFS('ON Data'!I:I,'ON Data'!$E:$E,2))</f>
        <v>65.599999999999994</v>
      </c>
      <c r="D11" s="239">
        <f xml:space="preserve">
IF($A$4&lt;=12,SUMIFS('ON Data'!K:K,'ON Data'!$D:$D,$A$4,'ON Data'!$E:$E,2),SUMIFS('ON Data'!K:K,'ON Data'!$E:$E,2))</f>
        <v>1091.1999999999998</v>
      </c>
      <c r="E11" s="239">
        <f xml:space="preserve">
IF($A$4&lt;=12,SUMIFS('ON Data'!O:O,'ON Data'!$D:$D,$A$4,'ON Data'!$E:$E,2),SUMIFS('ON Data'!O:O,'ON Data'!$E:$E,2))</f>
        <v>0</v>
      </c>
      <c r="F11" s="239">
        <f xml:space="preserve">
IF($A$4&lt;=12,SUMIFS('ON Data'!V:V,'ON Data'!$D:$D,$A$4,'ON Data'!$E:$E,2),SUMIFS('ON Data'!V:V,'ON Data'!$E:$E,2))</f>
        <v>6025</v>
      </c>
      <c r="G11" s="239">
        <f xml:space="preserve">
IF($A$4&lt;=12,SUMIFS('ON Data'!AR:AR,'ON Data'!$D:$D,$A$4,'ON Data'!$E:$E,2),SUMIFS('ON Data'!AR:AR,'ON Data'!$E:$E,2))</f>
        <v>944</v>
      </c>
      <c r="H11" s="239">
        <f xml:space="preserve">
IF($A$4&lt;=12,SUMIFS('ON Data'!AU:AU,'ON Data'!$D:$D,$A$4,'ON Data'!$E:$E,2),SUMIFS('ON Data'!AU:AU,'ON Data'!$E:$E,2))</f>
        <v>1480</v>
      </c>
      <c r="I11" s="486">
        <f xml:space="preserve">
IF($A$4&lt;=12,SUMIFS('ON Data'!AW:AW,'ON Data'!$D:$D,$A$4,'ON Data'!$E:$E,2),SUMIFS('ON Data'!AW:AW,'ON Data'!$E:$E,2))</f>
        <v>280</v>
      </c>
      <c r="J11" s="495"/>
    </row>
    <row r="12" spans="1:10" x14ac:dyDescent="0.3">
      <c r="A12" s="222" t="s">
        <v>163</v>
      </c>
      <c r="B12" s="238">
        <f xml:space="preserve">
IF($A$4&lt;=12,SUMIFS('ON Data'!F:F,'ON Data'!$D:$D,$A$4,'ON Data'!$E:$E,3),SUMIFS('ON Data'!F:F,'ON Data'!$E:$E,3))</f>
        <v>85.9</v>
      </c>
      <c r="C12" s="239">
        <f xml:space="preserve">
IF($A$4&lt;=12,SUMIFS('ON Data'!I:I,'ON Data'!$D:$D,$A$4,'ON Data'!$E:$E,3),SUMIFS('ON Data'!I:I,'ON Data'!$E:$E,3))</f>
        <v>24</v>
      </c>
      <c r="D12" s="239">
        <f xml:space="preserve">
IF($A$4&lt;=12,SUMIFS('ON Data'!K:K,'ON Data'!$D:$D,$A$4,'ON Data'!$E:$E,3),SUMIFS('ON Data'!K:K,'ON Data'!$E:$E,3))</f>
        <v>50.9</v>
      </c>
      <c r="E12" s="239">
        <f xml:space="preserve">
IF($A$4&lt;=12,SUMIFS('ON Data'!O:O,'ON Data'!$D:$D,$A$4,'ON Data'!$E:$E,3),SUMIFS('ON Data'!O:O,'ON Data'!$E:$E,3))</f>
        <v>0</v>
      </c>
      <c r="F12" s="239">
        <f xml:space="preserve">
IF($A$4&lt;=12,SUMIFS('ON Data'!V:V,'ON Data'!$D:$D,$A$4,'ON Data'!$E:$E,3),SUMIFS('ON Data'!V:V,'ON Data'!$E:$E,3))</f>
        <v>11</v>
      </c>
      <c r="G12" s="239">
        <f xml:space="preserve">
IF($A$4&lt;=12,SUMIFS('ON Data'!AR:AR,'ON Data'!$D:$D,$A$4,'ON Data'!$E:$E,3),SUMIFS('ON Data'!AR:AR,'ON Data'!$E:$E,3))</f>
        <v>0</v>
      </c>
      <c r="H12" s="239">
        <f xml:space="preserve">
IF($A$4&lt;=12,SUMIFS('ON Data'!AU:AU,'ON Data'!$D:$D,$A$4,'ON Data'!$E:$E,3),SUMIFS('ON Data'!AU:AU,'ON Data'!$E:$E,3))</f>
        <v>0</v>
      </c>
      <c r="I12" s="486">
        <f xml:space="preserve">
IF($A$4&lt;=12,SUMIFS('ON Data'!AW:AW,'ON Data'!$D:$D,$A$4,'ON Data'!$E:$E,3),SUMIFS('ON Data'!AW:AW,'ON Data'!$E:$E,3))</f>
        <v>0</v>
      </c>
      <c r="J12" s="495"/>
    </row>
    <row r="13" spans="1:10" x14ac:dyDescent="0.3">
      <c r="A13" s="222" t="s">
        <v>170</v>
      </c>
      <c r="B13" s="238">
        <f xml:space="preserve">
IF($A$4&lt;=12,SUMIFS('ON Data'!F:F,'ON Data'!$D:$D,$A$4,'ON Data'!$E:$E,4),SUMIFS('ON Data'!F:F,'ON Data'!$E:$E,4))</f>
        <v>354</v>
      </c>
      <c r="C13" s="239">
        <f xml:space="preserve">
IF($A$4&lt;=12,SUMIFS('ON Data'!I:I,'ON Data'!$D:$D,$A$4,'ON Data'!$E:$E,4),SUMIFS('ON Data'!I:I,'ON Data'!$E:$E,4))</f>
        <v>0</v>
      </c>
      <c r="D13" s="239">
        <f xml:space="preserve">
IF($A$4&lt;=12,SUMIFS('ON Data'!K:K,'ON Data'!$D:$D,$A$4,'ON Data'!$E:$E,4),SUMIFS('ON Data'!K:K,'ON Data'!$E:$E,4))</f>
        <v>8</v>
      </c>
      <c r="E13" s="239">
        <f xml:space="preserve">
IF($A$4&lt;=12,SUMIFS('ON Data'!O:O,'ON Data'!$D:$D,$A$4,'ON Data'!$E:$E,4),SUMIFS('ON Data'!O:O,'ON Data'!$E:$E,4))</f>
        <v>0</v>
      </c>
      <c r="F13" s="239">
        <f xml:space="preserve">
IF($A$4&lt;=12,SUMIFS('ON Data'!V:V,'ON Data'!$D:$D,$A$4,'ON Data'!$E:$E,4),SUMIFS('ON Data'!V:V,'ON Data'!$E:$E,4))</f>
        <v>261</v>
      </c>
      <c r="G13" s="239">
        <f xml:space="preserve">
IF($A$4&lt;=12,SUMIFS('ON Data'!AR:AR,'ON Data'!$D:$D,$A$4,'ON Data'!$E:$E,4),SUMIFS('ON Data'!AR:AR,'ON Data'!$E:$E,4))</f>
        <v>0</v>
      </c>
      <c r="H13" s="239">
        <f xml:space="preserve">
IF($A$4&lt;=12,SUMIFS('ON Data'!AU:AU,'ON Data'!$D:$D,$A$4,'ON Data'!$E:$E,4),SUMIFS('ON Data'!AU:AU,'ON Data'!$E:$E,4))</f>
        <v>85</v>
      </c>
      <c r="I13" s="486">
        <f xml:space="preserve">
IF($A$4&lt;=12,SUMIFS('ON Data'!AW:AW,'ON Data'!$D:$D,$A$4,'ON Data'!$E:$E,4),SUMIFS('ON Data'!AW:AW,'ON Data'!$E:$E,4))</f>
        <v>0</v>
      </c>
      <c r="J13" s="495"/>
    </row>
    <row r="14" spans="1:10" ht="15" thickBot="1" x14ac:dyDescent="0.35">
      <c r="A14" s="223" t="s">
        <v>164</v>
      </c>
      <c r="B14" s="240">
        <f xml:space="preserve">
IF($A$4&lt;=12,SUMIFS('ON Data'!F:F,'ON Data'!$D:$D,$A$4,'ON Data'!$E:$E,5),SUMIFS('ON Data'!F:F,'ON Data'!$E:$E,5))</f>
        <v>0</v>
      </c>
      <c r="C14" s="241">
        <f xml:space="preserve">
IF($A$4&lt;=12,SUMIFS('ON Data'!I:I,'ON Data'!$D:$D,$A$4,'ON Data'!$E:$E,5),SUMIFS('ON Data'!I:I,'ON Data'!$E:$E,5))</f>
        <v>0</v>
      </c>
      <c r="D14" s="241">
        <f xml:space="preserve">
IF($A$4&lt;=12,SUMIFS('ON Data'!K:K,'ON Data'!$D:$D,$A$4,'ON Data'!$E:$E,5),SUMIFS('ON Data'!K:K,'ON Data'!$E:$E,5))</f>
        <v>0</v>
      </c>
      <c r="E14" s="241">
        <f xml:space="preserve">
IF($A$4&lt;=12,SUMIFS('ON Data'!O:O,'ON Data'!$D:$D,$A$4,'ON Data'!$E:$E,5),SUMIFS('ON Data'!O:O,'ON Data'!$E:$E,5))</f>
        <v>0</v>
      </c>
      <c r="F14" s="241">
        <f xml:space="preserve">
IF($A$4&lt;=12,SUMIFS('ON Data'!V:V,'ON Data'!$D:$D,$A$4,'ON Data'!$E:$E,5),SUMIFS('ON Data'!V:V,'ON Data'!$E:$E,5))</f>
        <v>0</v>
      </c>
      <c r="G14" s="241">
        <f xml:space="preserve">
IF($A$4&lt;=12,SUMIFS('ON Data'!AR:AR,'ON Data'!$D:$D,$A$4,'ON Data'!$E:$E,5),SUMIFS('ON Data'!AR:AR,'ON Data'!$E:$E,5))</f>
        <v>0</v>
      </c>
      <c r="H14" s="241">
        <f xml:space="preserve">
IF($A$4&lt;=12,SUMIFS('ON Data'!AU:AU,'ON Data'!$D:$D,$A$4,'ON Data'!$E:$E,5),SUMIFS('ON Data'!AU:AU,'ON Data'!$E:$E,5))</f>
        <v>0</v>
      </c>
      <c r="I14" s="487">
        <f xml:space="preserve">
IF($A$4&lt;=12,SUMIFS('ON Data'!AW:AW,'ON Data'!$D:$D,$A$4,'ON Data'!$E:$E,5),SUMIFS('ON Data'!AW:AW,'ON Data'!$E:$E,5))</f>
        <v>0</v>
      </c>
      <c r="J14" s="495"/>
    </row>
    <row r="15" spans="1:10" x14ac:dyDescent="0.3">
      <c r="A15" s="147" t="s">
        <v>174</v>
      </c>
      <c r="B15" s="242"/>
      <c r="C15" s="243"/>
      <c r="D15" s="243"/>
      <c r="E15" s="243"/>
      <c r="F15" s="243"/>
      <c r="G15" s="243"/>
      <c r="H15" s="243"/>
      <c r="I15" s="488"/>
      <c r="J15" s="495"/>
    </row>
    <row r="16" spans="1:10" x14ac:dyDescent="0.3">
      <c r="A16" s="224" t="s">
        <v>165</v>
      </c>
      <c r="B16" s="238">
        <f xml:space="preserve">
IF($A$4&lt;=12,SUMIFS('ON Data'!F:F,'ON Data'!$D:$D,$A$4,'ON Data'!$E:$E,7),SUMIFS('ON Data'!F:F,'ON Data'!$E:$E,7))</f>
        <v>0</v>
      </c>
      <c r="C16" s="239">
        <f xml:space="preserve">
IF($A$4&lt;=12,SUMIFS('ON Data'!I:I,'ON Data'!$D:$D,$A$4,'ON Data'!$E:$E,7),SUMIFS('ON Data'!I:I,'ON Data'!$E:$E,7))</f>
        <v>0</v>
      </c>
      <c r="D16" s="239">
        <f xml:space="preserve">
IF($A$4&lt;=12,SUMIFS('ON Data'!K:K,'ON Data'!$D:$D,$A$4,'ON Data'!$E:$E,7),SUMIFS('ON Data'!K:K,'ON Data'!$E:$E,7))</f>
        <v>0</v>
      </c>
      <c r="E16" s="239">
        <f xml:space="preserve">
IF($A$4&lt;=12,SUMIFS('ON Data'!O:O,'ON Data'!$D:$D,$A$4,'ON Data'!$E:$E,7),SUMIFS('ON Data'!O:O,'ON Data'!$E:$E,7))</f>
        <v>0</v>
      </c>
      <c r="F16" s="239">
        <f xml:space="preserve">
IF($A$4&lt;=12,SUMIFS('ON Data'!V:V,'ON Data'!$D:$D,$A$4,'ON Data'!$E:$E,7),SUMIFS('ON Data'!V:V,'ON Data'!$E:$E,7))</f>
        <v>0</v>
      </c>
      <c r="G16" s="239">
        <f xml:space="preserve">
IF($A$4&lt;=12,SUMIFS('ON Data'!AR:AR,'ON Data'!$D:$D,$A$4,'ON Data'!$E:$E,7),SUMIFS('ON Data'!AR:AR,'ON Data'!$E:$E,7))</f>
        <v>0</v>
      </c>
      <c r="H16" s="239">
        <f xml:space="preserve">
IF($A$4&lt;=12,SUMIFS('ON Data'!AU:AU,'ON Data'!$D:$D,$A$4,'ON Data'!$E:$E,7),SUMIFS('ON Data'!AU:AU,'ON Data'!$E:$E,7))</f>
        <v>0</v>
      </c>
      <c r="I16" s="486">
        <f xml:space="preserve">
IF($A$4&lt;=12,SUMIFS('ON Data'!AW:AW,'ON Data'!$D:$D,$A$4,'ON Data'!$E:$E,7),SUMIFS('ON Data'!AW:AW,'ON Data'!$E:$E,7))</f>
        <v>0</v>
      </c>
      <c r="J16" s="495"/>
    </row>
    <row r="17" spans="1:10" x14ac:dyDescent="0.3">
      <c r="A17" s="224" t="s">
        <v>166</v>
      </c>
      <c r="B17" s="238">
        <f xml:space="preserve">
IF($A$4&lt;=12,SUMIFS('ON Data'!F:F,'ON Data'!$D:$D,$A$4,'ON Data'!$E:$E,8),SUMIFS('ON Data'!F:F,'ON Data'!$E:$E,8))</f>
        <v>0</v>
      </c>
      <c r="C17" s="239">
        <f xml:space="preserve">
IF($A$4&lt;=12,SUMIFS('ON Data'!I:I,'ON Data'!$D:$D,$A$4,'ON Data'!$E:$E,8),SUMIFS('ON Data'!I:I,'ON Data'!$E:$E,8))</f>
        <v>0</v>
      </c>
      <c r="D17" s="239">
        <f xml:space="preserve">
IF($A$4&lt;=12,SUMIFS('ON Data'!K:K,'ON Data'!$D:$D,$A$4,'ON Data'!$E:$E,8),SUMIFS('ON Data'!K:K,'ON Data'!$E:$E,8))</f>
        <v>0</v>
      </c>
      <c r="E17" s="239">
        <f xml:space="preserve">
IF($A$4&lt;=12,SUMIFS('ON Data'!O:O,'ON Data'!$D:$D,$A$4,'ON Data'!$E:$E,8),SUMIFS('ON Data'!O:O,'ON Data'!$E:$E,8))</f>
        <v>0</v>
      </c>
      <c r="F17" s="239">
        <f xml:space="preserve">
IF($A$4&lt;=12,SUMIFS('ON Data'!V:V,'ON Data'!$D:$D,$A$4,'ON Data'!$E:$E,8),SUMIFS('ON Data'!V:V,'ON Data'!$E:$E,8))</f>
        <v>0</v>
      </c>
      <c r="G17" s="239">
        <f xml:space="preserve">
IF($A$4&lt;=12,SUMIFS('ON Data'!AR:AR,'ON Data'!$D:$D,$A$4,'ON Data'!$E:$E,8),SUMIFS('ON Data'!AR:AR,'ON Data'!$E:$E,8))</f>
        <v>0</v>
      </c>
      <c r="H17" s="239">
        <f xml:space="preserve">
IF($A$4&lt;=12,SUMIFS('ON Data'!AU:AU,'ON Data'!$D:$D,$A$4,'ON Data'!$E:$E,8),SUMIFS('ON Data'!AU:AU,'ON Data'!$E:$E,8))</f>
        <v>0</v>
      </c>
      <c r="I17" s="486">
        <f xml:space="preserve">
IF($A$4&lt;=12,SUMIFS('ON Data'!AW:AW,'ON Data'!$D:$D,$A$4,'ON Data'!$E:$E,8),SUMIFS('ON Data'!AW:AW,'ON Data'!$E:$E,8))</f>
        <v>0</v>
      </c>
      <c r="J17" s="495"/>
    </row>
    <row r="18" spans="1:10" x14ac:dyDescent="0.3">
      <c r="A18" s="224" t="s">
        <v>167</v>
      </c>
      <c r="B18" s="238">
        <f xml:space="preserve">
B19-B16-B17</f>
        <v>0</v>
      </c>
      <c r="C18" s="239">
        <f t="shared" ref="C18:D18" si="0" xml:space="preserve">
C19-C16-C17</f>
        <v>0</v>
      </c>
      <c r="D18" s="239">
        <f t="shared" si="0"/>
        <v>0</v>
      </c>
      <c r="E18" s="239">
        <f t="shared" ref="E18:F18" si="1" xml:space="preserve">
E19-E16-E17</f>
        <v>0</v>
      </c>
      <c r="F18" s="239">
        <f t="shared" si="1"/>
        <v>0</v>
      </c>
      <c r="G18" s="239">
        <f t="shared" ref="G18:I18" si="2" xml:space="preserve">
G19-G16-G17</f>
        <v>0</v>
      </c>
      <c r="H18" s="239">
        <f t="shared" si="2"/>
        <v>0</v>
      </c>
      <c r="I18" s="486">
        <f t="shared" si="2"/>
        <v>0</v>
      </c>
      <c r="J18" s="495"/>
    </row>
    <row r="19" spans="1:10" ht="15" thickBot="1" x14ac:dyDescent="0.35">
      <c r="A19" s="225" t="s">
        <v>168</v>
      </c>
      <c r="B19" s="244">
        <f xml:space="preserve">
IF($A$4&lt;=12,SUMIFS('ON Data'!F:F,'ON Data'!$D:$D,$A$4,'ON Data'!$E:$E,9),SUMIFS('ON Data'!F:F,'ON Data'!$E:$E,9))</f>
        <v>0</v>
      </c>
      <c r="C19" s="245">
        <f xml:space="preserve">
IF($A$4&lt;=12,SUMIFS('ON Data'!I:I,'ON Data'!$D:$D,$A$4,'ON Data'!$E:$E,9),SUMIFS('ON Data'!I:I,'ON Data'!$E:$E,9))</f>
        <v>0</v>
      </c>
      <c r="D19" s="245">
        <f xml:space="preserve">
IF($A$4&lt;=12,SUMIFS('ON Data'!K:K,'ON Data'!$D:$D,$A$4,'ON Data'!$E:$E,9),SUMIFS('ON Data'!K:K,'ON Data'!$E:$E,9))</f>
        <v>0</v>
      </c>
      <c r="E19" s="245">
        <f xml:space="preserve">
IF($A$4&lt;=12,SUMIFS('ON Data'!O:O,'ON Data'!$D:$D,$A$4,'ON Data'!$E:$E,9),SUMIFS('ON Data'!O:O,'ON Data'!$E:$E,9))</f>
        <v>0</v>
      </c>
      <c r="F19" s="245">
        <f xml:space="preserve">
IF($A$4&lt;=12,SUMIFS('ON Data'!V:V,'ON Data'!$D:$D,$A$4,'ON Data'!$E:$E,9),SUMIFS('ON Data'!V:V,'ON Data'!$E:$E,9))</f>
        <v>0</v>
      </c>
      <c r="G19" s="245">
        <f xml:space="preserve">
IF($A$4&lt;=12,SUMIFS('ON Data'!AR:AR,'ON Data'!$D:$D,$A$4,'ON Data'!$E:$E,9),SUMIFS('ON Data'!AR:AR,'ON Data'!$E:$E,9))</f>
        <v>0</v>
      </c>
      <c r="H19" s="245">
        <f xml:space="preserve">
IF($A$4&lt;=12,SUMIFS('ON Data'!AU:AU,'ON Data'!$D:$D,$A$4,'ON Data'!$E:$E,9),SUMIFS('ON Data'!AU:AU,'ON Data'!$E:$E,9))</f>
        <v>0</v>
      </c>
      <c r="I19" s="489">
        <f xml:space="preserve">
IF($A$4&lt;=12,SUMIFS('ON Data'!AW:AW,'ON Data'!$D:$D,$A$4,'ON Data'!$E:$E,9),SUMIFS('ON Data'!AW:AW,'ON Data'!$E:$E,9))</f>
        <v>0</v>
      </c>
      <c r="J19" s="495"/>
    </row>
    <row r="20" spans="1:10" ht="15" collapsed="1" thickBot="1" x14ac:dyDescent="0.35">
      <c r="A20" s="226" t="s">
        <v>60</v>
      </c>
      <c r="B20" s="246">
        <f xml:space="preserve">
IF($A$4&lt;=12,SUMIFS('ON Data'!F:F,'ON Data'!$D:$D,$A$4,'ON Data'!$E:$E,6),SUMIFS('ON Data'!F:F,'ON Data'!$E:$E,6))</f>
        <v>2274731</v>
      </c>
      <c r="C20" s="247">
        <f xml:space="preserve">
IF($A$4&lt;=12,SUMIFS('ON Data'!I:I,'ON Data'!$D:$D,$A$4,'ON Data'!$E:$E,6),SUMIFS('ON Data'!I:I,'ON Data'!$E:$E,6))</f>
        <v>20676</v>
      </c>
      <c r="D20" s="247">
        <f xml:space="preserve">
IF($A$4&lt;=12,SUMIFS('ON Data'!K:K,'ON Data'!$D:$D,$A$4,'ON Data'!$E:$E,6),SUMIFS('ON Data'!K:K,'ON Data'!$E:$E,6))</f>
        <v>587768</v>
      </c>
      <c r="E20" s="247">
        <f xml:space="preserve">
IF($A$4&lt;=12,SUMIFS('ON Data'!O:O,'ON Data'!$D:$D,$A$4,'ON Data'!$E:$E,6),SUMIFS('ON Data'!O:O,'ON Data'!$E:$E,6))</f>
        <v>0</v>
      </c>
      <c r="F20" s="247">
        <f xml:space="preserve">
IF($A$4&lt;=12,SUMIFS('ON Data'!V:V,'ON Data'!$D:$D,$A$4,'ON Data'!$E:$E,6),SUMIFS('ON Data'!V:V,'ON Data'!$E:$E,6))</f>
        <v>1162237</v>
      </c>
      <c r="G20" s="247">
        <f xml:space="preserve">
IF($A$4&lt;=12,SUMIFS('ON Data'!AR:AR,'ON Data'!$D:$D,$A$4,'ON Data'!$E:$E,6),SUMIFS('ON Data'!AR:AR,'ON Data'!$E:$E,6))</f>
        <v>106444</v>
      </c>
      <c r="H20" s="247">
        <f xml:space="preserve">
IF($A$4&lt;=12,SUMIFS('ON Data'!AU:AU,'ON Data'!$D:$D,$A$4,'ON Data'!$E:$E,6),SUMIFS('ON Data'!AU:AU,'ON Data'!$E:$E,6))</f>
        <v>361225</v>
      </c>
      <c r="I20" s="490">
        <f xml:space="preserve">
IF($A$4&lt;=12,SUMIFS('ON Data'!AW:AW,'ON Data'!$D:$D,$A$4,'ON Data'!$E:$E,6),SUMIFS('ON Data'!AW:AW,'ON Data'!$E:$E,6))</f>
        <v>36381</v>
      </c>
      <c r="J20" s="495"/>
    </row>
    <row r="21" spans="1:10" ht="15" hidden="1" outlineLevel="1" thickBot="1" x14ac:dyDescent="0.35">
      <c r="A21" s="219" t="s">
        <v>94</v>
      </c>
      <c r="B21" s="238">
        <f xml:space="preserve">
IF($A$4&lt;=12,SUMIFS('ON Data'!F:F,'ON Data'!$D:$D,$A$4,'ON Data'!$E:$E,12),SUMIFS('ON Data'!F:F,'ON Data'!$E:$E,12))</f>
        <v>0</v>
      </c>
      <c r="C21" s="239">
        <f xml:space="preserve">
IF($A$4&lt;=12,SUMIFS('ON Data'!I:I,'ON Data'!$D:$D,$A$4,'ON Data'!$E:$E,12),SUMIFS('ON Data'!I:I,'ON Data'!$E:$E,12))</f>
        <v>0</v>
      </c>
      <c r="D21" s="239">
        <f xml:space="preserve">
IF($A$4&lt;=12,SUMIFS('ON Data'!K:K,'ON Data'!$D:$D,$A$4,'ON Data'!$E:$E,12),SUMIFS('ON Data'!K:K,'ON Data'!$E:$E,12))</f>
        <v>0</v>
      </c>
      <c r="E21" s="239">
        <f xml:space="preserve">
IF($A$4&lt;=12,SUMIFS('ON Data'!O:O,'ON Data'!$D:$D,$A$4,'ON Data'!$E:$E,12),SUMIFS('ON Data'!O:O,'ON Data'!$E:$E,12))</f>
        <v>0</v>
      </c>
      <c r="F21" s="239">
        <f xml:space="preserve">
IF($A$4&lt;=12,SUMIFS('ON Data'!V:V,'ON Data'!$D:$D,$A$4,'ON Data'!$E:$E,12),SUMIFS('ON Data'!V:V,'ON Data'!$E:$E,12))</f>
        <v>0</v>
      </c>
      <c r="J21" s="495"/>
    </row>
    <row r="22" spans="1:10" ht="15" hidden="1" outlineLevel="1" thickBot="1" x14ac:dyDescent="0.35">
      <c r="A22" s="219" t="s">
        <v>62</v>
      </c>
      <c r="B22" s="285" t="str">
        <f xml:space="preserve">
IF(OR(B21="",B21=0),"",B20/B21)</f>
        <v/>
      </c>
      <c r="C22" s="286" t="str">
        <f t="shared" ref="C22:D22" si="3" xml:space="preserve">
IF(OR(C21="",C21=0),"",C20/C21)</f>
        <v/>
      </c>
      <c r="D22" s="286" t="str">
        <f t="shared" si="3"/>
        <v/>
      </c>
      <c r="E22" s="286" t="str">
        <f t="shared" ref="E22:F22" si="4" xml:space="preserve">
IF(OR(E21="",E21=0),"",E20/E21)</f>
        <v/>
      </c>
      <c r="F22" s="286" t="str">
        <f t="shared" si="4"/>
        <v/>
      </c>
      <c r="J22" s="495"/>
    </row>
    <row r="23" spans="1:10" ht="15" hidden="1" outlineLevel="1" thickBot="1" x14ac:dyDescent="0.35">
      <c r="A23" s="227" t="s">
        <v>55</v>
      </c>
      <c r="B23" s="240">
        <f xml:space="preserve">
IF(B21="","",B20-B21)</f>
        <v>2274731</v>
      </c>
      <c r="C23" s="241">
        <f t="shared" ref="C23:D23" si="5" xml:space="preserve">
IF(C21="","",C20-C21)</f>
        <v>20676</v>
      </c>
      <c r="D23" s="241">
        <f t="shared" si="5"/>
        <v>587768</v>
      </c>
      <c r="E23" s="241">
        <f t="shared" ref="E23:F23" si="6" xml:space="preserve">
IF(E21="","",E20-E21)</f>
        <v>0</v>
      </c>
      <c r="F23" s="241">
        <f t="shared" si="6"/>
        <v>1162237</v>
      </c>
      <c r="J23" s="495"/>
    </row>
    <row r="24" spans="1:10" x14ac:dyDescent="0.3">
      <c r="A24" s="221" t="s">
        <v>169</v>
      </c>
      <c r="B24" s="258" t="s">
        <v>3</v>
      </c>
      <c r="C24" s="496"/>
      <c r="D24" s="468"/>
      <c r="E24" s="469" t="s">
        <v>180</v>
      </c>
      <c r="F24" s="470"/>
      <c r="G24" s="470"/>
      <c r="H24" s="470"/>
      <c r="I24" s="491" t="s">
        <v>181</v>
      </c>
      <c r="J24" s="495"/>
    </row>
    <row r="25" spans="1:10" x14ac:dyDescent="0.3">
      <c r="A25" s="222" t="s">
        <v>60</v>
      </c>
      <c r="B25" s="238">
        <f xml:space="preserve">
SUM(C25:I25)</f>
        <v>0</v>
      </c>
      <c r="C25" s="497"/>
      <c r="D25" s="471"/>
      <c r="E25" s="472">
        <f xml:space="preserve">
IF($A$4&lt;=12,SUMIFS('ON Data'!O:O,'ON Data'!$D:$D,$A$4,'ON Data'!$E:$E,10),SUMIFS('ON Data'!O:O,'ON Data'!$E:$E,10))</f>
        <v>0</v>
      </c>
      <c r="F25" s="473"/>
      <c r="G25" s="473"/>
      <c r="H25" s="473"/>
      <c r="I25" s="492">
        <f xml:space="preserve">
IF($A$4&lt;=12,SUMIFS('ON Data'!AW:AW,'ON Data'!$D:$D,$A$4,'ON Data'!$E:$E,10),SUMIFS('ON Data'!AW:AW,'ON Data'!$E:$E,10))</f>
        <v>0</v>
      </c>
      <c r="J25" s="495"/>
    </row>
    <row r="26" spans="1:10" x14ac:dyDescent="0.3">
      <c r="A26" s="228" t="s">
        <v>179</v>
      </c>
      <c r="B26" s="244">
        <f xml:space="preserve">
SUM(C26:I26)</f>
        <v>3166.6666666666665</v>
      </c>
      <c r="C26" s="497"/>
      <c r="D26" s="471"/>
      <c r="E26" s="474">
        <f xml:space="preserve">
IF($A$4&lt;=12,SUMIFS('ON Data'!O:O,'ON Data'!$D:$D,$A$4,'ON Data'!$E:$E,11),SUMIFS('ON Data'!O:O,'ON Data'!$E:$E,11))</f>
        <v>3166.6666666666665</v>
      </c>
      <c r="F26" s="475"/>
      <c r="G26" s="475"/>
      <c r="H26" s="475"/>
      <c r="I26" s="492">
        <f xml:space="preserve">
IF($A$4&lt;=12,SUMIFS('ON Data'!AW:AW,'ON Data'!$D:$D,$A$4,'ON Data'!$E:$E,11),SUMIFS('ON Data'!AW:AW,'ON Data'!$E:$E,11))</f>
        <v>0</v>
      </c>
      <c r="J26" s="495"/>
    </row>
    <row r="27" spans="1:10" x14ac:dyDescent="0.3">
      <c r="A27" s="228" t="s">
        <v>62</v>
      </c>
      <c r="B27" s="259">
        <f xml:space="preserve">
IF(B26=0,0,B25/B26)</f>
        <v>0</v>
      </c>
      <c r="C27" s="498"/>
      <c r="D27" s="471"/>
      <c r="E27" s="476">
        <f xml:space="preserve">
IF(E26=0,0,E25/E26)</f>
        <v>0</v>
      </c>
      <c r="F27" s="473"/>
      <c r="G27" s="473"/>
      <c r="H27" s="473"/>
      <c r="I27" s="493">
        <f xml:space="preserve">
IF(I26=0,0,I25/I26)</f>
        <v>0</v>
      </c>
      <c r="J27" s="495"/>
    </row>
    <row r="28" spans="1:10" ht="15" thickBot="1" x14ac:dyDescent="0.35">
      <c r="A28" s="228" t="s">
        <v>178</v>
      </c>
      <c r="B28" s="244">
        <f xml:space="preserve">
SUM(C28:I28)</f>
        <v>3166.6666666666665</v>
      </c>
      <c r="C28" s="499"/>
      <c r="D28" s="477"/>
      <c r="E28" s="478">
        <f xml:space="preserve">
E26-E25</f>
        <v>3166.6666666666665</v>
      </c>
      <c r="F28" s="479"/>
      <c r="G28" s="479"/>
      <c r="H28" s="479"/>
      <c r="I28" s="494">
        <f xml:space="preserve">
I26-I25</f>
        <v>0</v>
      </c>
      <c r="J28" s="495"/>
    </row>
    <row r="29" spans="1:10" x14ac:dyDescent="0.3">
      <c r="A29" s="229"/>
      <c r="B29" s="229"/>
      <c r="C29" s="229"/>
      <c r="D29" s="230"/>
      <c r="E29" s="230"/>
      <c r="F29" s="230"/>
    </row>
    <row r="30" spans="1:10" x14ac:dyDescent="0.3">
      <c r="A30" s="99" t="s">
        <v>139</v>
      </c>
      <c r="B30" s="116"/>
      <c r="C30" s="116"/>
      <c r="D30" s="116"/>
      <c r="E30" s="116"/>
      <c r="F30" s="116"/>
    </row>
    <row r="31" spans="1:10" x14ac:dyDescent="0.3">
      <c r="A31" s="100" t="s">
        <v>176</v>
      </c>
      <c r="B31" s="116"/>
      <c r="C31" s="116"/>
      <c r="D31" s="116"/>
      <c r="E31" s="116"/>
      <c r="F31" s="116"/>
    </row>
    <row r="32" spans="1:10" ht="14.4" customHeight="1" x14ac:dyDescent="0.3">
      <c r="A32" s="255" t="s">
        <v>173</v>
      </c>
      <c r="B32" s="256"/>
      <c r="C32" s="256"/>
      <c r="D32" s="256"/>
      <c r="E32" s="256"/>
      <c r="F32" s="256"/>
    </row>
    <row r="33" spans="1:1" x14ac:dyDescent="0.3">
      <c r="A33" s="257" t="s">
        <v>205</v>
      </c>
    </row>
    <row r="34" spans="1:1" x14ac:dyDescent="0.3">
      <c r="A34" s="257" t="s">
        <v>206</v>
      </c>
    </row>
    <row r="35" spans="1:1" x14ac:dyDescent="0.3">
      <c r="A35" s="257" t="s">
        <v>207</v>
      </c>
    </row>
    <row r="36" spans="1:1" x14ac:dyDescent="0.3">
      <c r="A36" s="257" t="s">
        <v>182</v>
      </c>
    </row>
  </sheetData>
  <mergeCells count="12">
    <mergeCell ref="B3:B4"/>
    <mergeCell ref="A1:I1"/>
    <mergeCell ref="C27:D27"/>
    <mergeCell ref="C28:D28"/>
    <mergeCell ref="E27:H27"/>
    <mergeCell ref="E28:H28"/>
    <mergeCell ref="C24:D24"/>
    <mergeCell ref="C25:D25"/>
    <mergeCell ref="C26:D26"/>
    <mergeCell ref="E24:H24"/>
    <mergeCell ref="E25:H25"/>
    <mergeCell ref="E26:H26"/>
  </mergeCells>
  <conditionalFormatting sqref="B22:F22">
    <cfRule type="cellIs" dxfId="6" priority="6" operator="greaterThan">
      <formula>1</formula>
    </cfRule>
  </conditionalFormatting>
  <conditionalFormatting sqref="B23:F23">
    <cfRule type="cellIs" dxfId="5" priority="5" operator="greaterThan">
      <formula>0</formula>
    </cfRule>
  </conditionalFormatting>
  <conditionalFormatting sqref="I27">
    <cfRule type="cellIs" dxfId="4" priority="4" operator="greaterThan">
      <formula>1</formula>
    </cfRule>
  </conditionalFormatting>
  <conditionalFormatting sqref="I28">
    <cfRule type="cellIs" dxfId="3" priority="3" operator="lessThan">
      <formula>0</formula>
    </cfRule>
  </conditionalFormatting>
  <conditionalFormatting sqref="E28">
    <cfRule type="cellIs" dxfId="2" priority="1" operator="lessThan">
      <formula>0</formula>
    </cfRule>
  </conditionalFormatting>
  <conditionalFormatting sqref="E27">
    <cfRule type="cellIs" dxfId="1" priority="2" operator="greater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'ON Data'!$B$3:$B$16</xm:f>
          </x14:formula1>
          <xm:sqref>A4</xm:sqref>
        </x14:dataValidation>
      </x14:dataValidation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W16"/>
  <sheetViews>
    <sheetView showGridLines="0" showRowColHeaders="0" workbookViewId="0"/>
  </sheetViews>
  <sheetFormatPr defaultRowHeight="14.4" x14ac:dyDescent="0.3"/>
  <cols>
    <col min="1" max="16384" width="8.88671875" style="210"/>
  </cols>
  <sheetData>
    <row r="1" spans="1:49" x14ac:dyDescent="0.3">
      <c r="A1" s="210" t="s">
        <v>978</v>
      </c>
    </row>
    <row r="2" spans="1:49" x14ac:dyDescent="0.3">
      <c r="A2" s="214" t="s">
        <v>229</v>
      </c>
    </row>
    <row r="3" spans="1:49" x14ac:dyDescent="0.3">
      <c r="A3" s="210" t="s">
        <v>145</v>
      </c>
      <c r="B3" s="233">
        <v>2016</v>
      </c>
      <c r="D3" s="211">
        <f>MAX(D5:D1048576)</f>
        <v>2</v>
      </c>
      <c r="F3" s="211">
        <f>SUMIF($E5:$E1048576,"&lt;10",F5:F1048576)</f>
        <v>2285120.1999999997</v>
      </c>
      <c r="G3" s="211">
        <f t="shared" ref="G3:AW3" si="0">SUMIF($E5:$E1048576,"&lt;10",G5:G1048576)</f>
        <v>0</v>
      </c>
      <c r="H3" s="211">
        <f t="shared" si="0"/>
        <v>0</v>
      </c>
      <c r="I3" s="211">
        <f t="shared" si="0"/>
        <v>20766</v>
      </c>
      <c r="J3" s="211">
        <f t="shared" si="0"/>
        <v>0</v>
      </c>
      <c r="K3" s="211">
        <f t="shared" si="0"/>
        <v>588925.19999999995</v>
      </c>
      <c r="L3" s="211">
        <f t="shared" si="0"/>
        <v>0</v>
      </c>
      <c r="M3" s="211">
        <f t="shared" si="0"/>
        <v>0</v>
      </c>
      <c r="N3" s="211">
        <f t="shared" si="0"/>
        <v>0</v>
      </c>
      <c r="O3" s="211">
        <f t="shared" si="0"/>
        <v>0</v>
      </c>
      <c r="P3" s="211">
        <f t="shared" si="0"/>
        <v>0</v>
      </c>
      <c r="Q3" s="211">
        <f t="shared" si="0"/>
        <v>0</v>
      </c>
      <c r="R3" s="211">
        <f t="shared" si="0"/>
        <v>0</v>
      </c>
      <c r="S3" s="211">
        <f t="shared" si="0"/>
        <v>0</v>
      </c>
      <c r="T3" s="211">
        <f t="shared" si="0"/>
        <v>0</v>
      </c>
      <c r="U3" s="211">
        <f t="shared" si="0"/>
        <v>0</v>
      </c>
      <c r="V3" s="211">
        <f t="shared" si="0"/>
        <v>1168572</v>
      </c>
      <c r="W3" s="211">
        <f t="shared" si="0"/>
        <v>0</v>
      </c>
      <c r="X3" s="211">
        <f t="shared" si="0"/>
        <v>0</v>
      </c>
      <c r="Y3" s="211">
        <f t="shared" si="0"/>
        <v>0</v>
      </c>
      <c r="Z3" s="211">
        <f t="shared" si="0"/>
        <v>0</v>
      </c>
      <c r="AA3" s="211">
        <f t="shared" si="0"/>
        <v>0</v>
      </c>
      <c r="AB3" s="211">
        <f t="shared" si="0"/>
        <v>0</v>
      </c>
      <c r="AC3" s="211">
        <f t="shared" si="0"/>
        <v>0</v>
      </c>
      <c r="AD3" s="211">
        <f t="shared" si="0"/>
        <v>0</v>
      </c>
      <c r="AE3" s="211">
        <f t="shared" si="0"/>
        <v>0</v>
      </c>
      <c r="AF3" s="211">
        <f t="shared" si="0"/>
        <v>0</v>
      </c>
      <c r="AG3" s="211">
        <f t="shared" si="0"/>
        <v>0</v>
      </c>
      <c r="AH3" s="211">
        <f t="shared" si="0"/>
        <v>0</v>
      </c>
      <c r="AI3" s="211">
        <f t="shared" si="0"/>
        <v>0</v>
      </c>
      <c r="AJ3" s="211">
        <f t="shared" si="0"/>
        <v>0</v>
      </c>
      <c r="AK3" s="211">
        <f t="shared" si="0"/>
        <v>0</v>
      </c>
      <c r="AL3" s="211">
        <f t="shared" si="0"/>
        <v>0</v>
      </c>
      <c r="AM3" s="211">
        <f t="shared" si="0"/>
        <v>0</v>
      </c>
      <c r="AN3" s="211">
        <f t="shared" si="0"/>
        <v>0</v>
      </c>
      <c r="AO3" s="211">
        <f t="shared" si="0"/>
        <v>0</v>
      </c>
      <c r="AP3" s="211">
        <f t="shared" si="0"/>
        <v>0</v>
      </c>
      <c r="AQ3" s="211">
        <f t="shared" si="0"/>
        <v>0</v>
      </c>
      <c r="AR3" s="211">
        <f t="shared" si="0"/>
        <v>107394</v>
      </c>
      <c r="AS3" s="211">
        <f t="shared" si="0"/>
        <v>0</v>
      </c>
      <c r="AT3" s="211">
        <f t="shared" si="0"/>
        <v>0</v>
      </c>
      <c r="AU3" s="211">
        <f t="shared" si="0"/>
        <v>362800</v>
      </c>
      <c r="AV3" s="211">
        <f t="shared" si="0"/>
        <v>0</v>
      </c>
      <c r="AW3" s="211">
        <f t="shared" si="0"/>
        <v>36663</v>
      </c>
    </row>
    <row r="4" spans="1:49" x14ac:dyDescent="0.3">
      <c r="A4" s="210" t="s">
        <v>146</v>
      </c>
      <c r="B4" s="233">
        <v>1</v>
      </c>
      <c r="C4" s="212" t="s">
        <v>5</v>
      </c>
      <c r="D4" s="213" t="s">
        <v>54</v>
      </c>
      <c r="E4" s="213" t="s">
        <v>144</v>
      </c>
      <c r="F4" s="213" t="s">
        <v>3</v>
      </c>
      <c r="G4" s="213">
        <v>0</v>
      </c>
      <c r="H4" s="213">
        <v>25</v>
      </c>
      <c r="I4" s="213">
        <v>99</v>
      </c>
      <c r="J4" s="213">
        <v>100</v>
      </c>
      <c r="K4" s="213">
        <v>101</v>
      </c>
      <c r="L4" s="213">
        <v>102</v>
      </c>
      <c r="M4" s="213">
        <v>103</v>
      </c>
      <c r="N4" s="213">
        <v>203</v>
      </c>
      <c r="O4" s="213">
        <v>302</v>
      </c>
      <c r="P4" s="213">
        <v>303</v>
      </c>
      <c r="Q4" s="213">
        <v>304</v>
      </c>
      <c r="R4" s="213">
        <v>305</v>
      </c>
      <c r="S4" s="213">
        <v>306</v>
      </c>
      <c r="T4" s="213">
        <v>407</v>
      </c>
      <c r="U4" s="213">
        <v>408</v>
      </c>
      <c r="V4" s="213">
        <v>409</v>
      </c>
      <c r="W4" s="213">
        <v>410</v>
      </c>
      <c r="X4" s="213">
        <v>415</v>
      </c>
      <c r="Y4" s="213">
        <v>416</v>
      </c>
      <c r="Z4" s="213">
        <v>418</v>
      </c>
      <c r="AA4" s="213">
        <v>419</v>
      </c>
      <c r="AB4" s="213">
        <v>420</v>
      </c>
      <c r="AC4" s="213">
        <v>421</v>
      </c>
      <c r="AD4" s="213">
        <v>520</v>
      </c>
      <c r="AE4" s="213">
        <v>521</v>
      </c>
      <c r="AF4" s="213">
        <v>522</v>
      </c>
      <c r="AG4" s="213">
        <v>523</v>
      </c>
      <c r="AH4" s="213">
        <v>524</v>
      </c>
      <c r="AI4" s="213">
        <v>525</v>
      </c>
      <c r="AJ4" s="213">
        <v>526</v>
      </c>
      <c r="AK4" s="213">
        <v>527</v>
      </c>
      <c r="AL4" s="213">
        <v>528</v>
      </c>
      <c r="AM4" s="213">
        <v>629</v>
      </c>
      <c r="AN4" s="213">
        <v>630</v>
      </c>
      <c r="AO4" s="213">
        <v>636</v>
      </c>
      <c r="AP4" s="213">
        <v>637</v>
      </c>
      <c r="AQ4" s="213">
        <v>640</v>
      </c>
      <c r="AR4" s="213">
        <v>642</v>
      </c>
      <c r="AS4" s="213">
        <v>743</v>
      </c>
      <c r="AT4" s="213">
        <v>745</v>
      </c>
      <c r="AU4" s="213">
        <v>746</v>
      </c>
      <c r="AV4" s="213">
        <v>747</v>
      </c>
      <c r="AW4" s="213">
        <v>930</v>
      </c>
    </row>
    <row r="5" spans="1:49" x14ac:dyDescent="0.3">
      <c r="A5" s="210" t="s">
        <v>147</v>
      </c>
      <c r="B5" s="233">
        <v>2</v>
      </c>
      <c r="C5" s="210">
        <v>40</v>
      </c>
      <c r="D5" s="210">
        <v>1</v>
      </c>
      <c r="E5" s="210">
        <v>1</v>
      </c>
      <c r="F5" s="210">
        <v>31.75</v>
      </c>
      <c r="G5" s="210">
        <v>0</v>
      </c>
      <c r="H5" s="210">
        <v>0</v>
      </c>
      <c r="I5" s="210">
        <v>0.2</v>
      </c>
      <c r="J5" s="210">
        <v>0</v>
      </c>
      <c r="K5" s="210">
        <v>3.55</v>
      </c>
      <c r="L5" s="210">
        <v>0</v>
      </c>
      <c r="M5" s="210">
        <v>0</v>
      </c>
      <c r="N5" s="210">
        <v>0</v>
      </c>
      <c r="O5" s="210">
        <v>0</v>
      </c>
      <c r="P5" s="210">
        <v>0</v>
      </c>
      <c r="Q5" s="210">
        <v>0</v>
      </c>
      <c r="R5" s="210">
        <v>0</v>
      </c>
      <c r="S5" s="210">
        <v>0</v>
      </c>
      <c r="T5" s="210">
        <v>0</v>
      </c>
      <c r="U5" s="210">
        <v>0</v>
      </c>
      <c r="V5" s="210">
        <v>19</v>
      </c>
      <c r="W5" s="210">
        <v>0</v>
      </c>
      <c r="X5" s="210">
        <v>0</v>
      </c>
      <c r="Y5" s="210">
        <v>0</v>
      </c>
      <c r="Z5" s="210">
        <v>0</v>
      </c>
      <c r="AA5" s="210">
        <v>0</v>
      </c>
      <c r="AB5" s="210">
        <v>0</v>
      </c>
      <c r="AC5" s="210">
        <v>0</v>
      </c>
      <c r="AD5" s="210">
        <v>0</v>
      </c>
      <c r="AE5" s="210">
        <v>0</v>
      </c>
      <c r="AF5" s="210">
        <v>0</v>
      </c>
      <c r="AG5" s="210">
        <v>0</v>
      </c>
      <c r="AH5" s="210">
        <v>0</v>
      </c>
      <c r="AI5" s="210">
        <v>0</v>
      </c>
      <c r="AJ5" s="210">
        <v>0</v>
      </c>
      <c r="AK5" s="210">
        <v>0</v>
      </c>
      <c r="AL5" s="210">
        <v>0</v>
      </c>
      <c r="AM5" s="210">
        <v>0</v>
      </c>
      <c r="AN5" s="210">
        <v>0</v>
      </c>
      <c r="AO5" s="210">
        <v>0</v>
      </c>
      <c r="AP5" s="210">
        <v>0</v>
      </c>
      <c r="AQ5" s="210">
        <v>0</v>
      </c>
      <c r="AR5" s="210">
        <v>3</v>
      </c>
      <c r="AS5" s="210">
        <v>0</v>
      </c>
      <c r="AT5" s="210">
        <v>0</v>
      </c>
      <c r="AU5" s="210">
        <v>5</v>
      </c>
      <c r="AV5" s="210">
        <v>0</v>
      </c>
      <c r="AW5" s="210">
        <v>1</v>
      </c>
    </row>
    <row r="6" spans="1:49" x14ac:dyDescent="0.3">
      <c r="A6" s="210" t="s">
        <v>148</v>
      </c>
      <c r="B6" s="233">
        <v>3</v>
      </c>
      <c r="C6" s="210">
        <v>40</v>
      </c>
      <c r="D6" s="210">
        <v>1</v>
      </c>
      <c r="E6" s="210">
        <v>2</v>
      </c>
      <c r="F6" s="210">
        <v>5074.3999999999996</v>
      </c>
      <c r="G6" s="210">
        <v>0</v>
      </c>
      <c r="H6" s="210">
        <v>0</v>
      </c>
      <c r="I6" s="210">
        <v>32</v>
      </c>
      <c r="J6" s="210">
        <v>0</v>
      </c>
      <c r="K6" s="210">
        <v>556.4</v>
      </c>
      <c r="L6" s="210">
        <v>0</v>
      </c>
      <c r="M6" s="210">
        <v>0</v>
      </c>
      <c r="N6" s="210">
        <v>0</v>
      </c>
      <c r="O6" s="210">
        <v>0</v>
      </c>
      <c r="P6" s="210">
        <v>0</v>
      </c>
      <c r="Q6" s="210">
        <v>0</v>
      </c>
      <c r="R6" s="210">
        <v>0</v>
      </c>
      <c r="S6" s="210">
        <v>0</v>
      </c>
      <c r="T6" s="210">
        <v>0</v>
      </c>
      <c r="U6" s="210">
        <v>0</v>
      </c>
      <c r="V6" s="210">
        <v>3070</v>
      </c>
      <c r="W6" s="210">
        <v>0</v>
      </c>
      <c r="X6" s="210">
        <v>0</v>
      </c>
      <c r="Y6" s="210">
        <v>0</v>
      </c>
      <c r="Z6" s="210">
        <v>0</v>
      </c>
      <c r="AA6" s="210">
        <v>0</v>
      </c>
      <c r="AB6" s="210">
        <v>0</v>
      </c>
      <c r="AC6" s="210">
        <v>0</v>
      </c>
      <c r="AD6" s="210">
        <v>0</v>
      </c>
      <c r="AE6" s="210">
        <v>0</v>
      </c>
      <c r="AF6" s="210">
        <v>0</v>
      </c>
      <c r="AG6" s="210">
        <v>0</v>
      </c>
      <c r="AH6" s="210">
        <v>0</v>
      </c>
      <c r="AI6" s="210">
        <v>0</v>
      </c>
      <c r="AJ6" s="210">
        <v>0</v>
      </c>
      <c r="AK6" s="210">
        <v>0</v>
      </c>
      <c r="AL6" s="210">
        <v>0</v>
      </c>
      <c r="AM6" s="210">
        <v>0</v>
      </c>
      <c r="AN6" s="210">
        <v>0</v>
      </c>
      <c r="AO6" s="210">
        <v>0</v>
      </c>
      <c r="AP6" s="210">
        <v>0</v>
      </c>
      <c r="AQ6" s="210">
        <v>0</v>
      </c>
      <c r="AR6" s="210">
        <v>472</v>
      </c>
      <c r="AS6" s="210">
        <v>0</v>
      </c>
      <c r="AT6" s="210">
        <v>0</v>
      </c>
      <c r="AU6" s="210">
        <v>792</v>
      </c>
      <c r="AV6" s="210">
        <v>0</v>
      </c>
      <c r="AW6" s="210">
        <v>152</v>
      </c>
    </row>
    <row r="7" spans="1:49" x14ac:dyDescent="0.3">
      <c r="A7" s="210" t="s">
        <v>149</v>
      </c>
      <c r="B7" s="233">
        <v>4</v>
      </c>
      <c r="C7" s="210">
        <v>40</v>
      </c>
      <c r="D7" s="210">
        <v>1</v>
      </c>
      <c r="E7" s="210">
        <v>3</v>
      </c>
      <c r="F7" s="210">
        <v>32</v>
      </c>
      <c r="G7" s="210">
        <v>0</v>
      </c>
      <c r="H7" s="210">
        <v>0</v>
      </c>
      <c r="I7" s="210">
        <v>16</v>
      </c>
      <c r="J7" s="210">
        <v>0</v>
      </c>
      <c r="K7" s="210">
        <v>13</v>
      </c>
      <c r="L7" s="210">
        <v>0</v>
      </c>
      <c r="M7" s="210">
        <v>0</v>
      </c>
      <c r="N7" s="210">
        <v>0</v>
      </c>
      <c r="O7" s="210">
        <v>0</v>
      </c>
      <c r="P7" s="210">
        <v>0</v>
      </c>
      <c r="Q7" s="210">
        <v>0</v>
      </c>
      <c r="R7" s="210">
        <v>0</v>
      </c>
      <c r="S7" s="210">
        <v>0</v>
      </c>
      <c r="T7" s="210">
        <v>0</v>
      </c>
      <c r="U7" s="210">
        <v>0</v>
      </c>
      <c r="V7" s="210">
        <v>3</v>
      </c>
      <c r="W7" s="210">
        <v>0</v>
      </c>
      <c r="X7" s="210">
        <v>0</v>
      </c>
      <c r="Y7" s="210">
        <v>0</v>
      </c>
      <c r="Z7" s="210">
        <v>0</v>
      </c>
      <c r="AA7" s="210">
        <v>0</v>
      </c>
      <c r="AB7" s="210">
        <v>0</v>
      </c>
      <c r="AC7" s="210">
        <v>0</v>
      </c>
      <c r="AD7" s="210">
        <v>0</v>
      </c>
      <c r="AE7" s="210">
        <v>0</v>
      </c>
      <c r="AF7" s="210">
        <v>0</v>
      </c>
      <c r="AG7" s="210">
        <v>0</v>
      </c>
      <c r="AH7" s="210">
        <v>0</v>
      </c>
      <c r="AI7" s="210">
        <v>0</v>
      </c>
      <c r="AJ7" s="210">
        <v>0</v>
      </c>
      <c r="AK7" s="210">
        <v>0</v>
      </c>
      <c r="AL7" s="210">
        <v>0</v>
      </c>
      <c r="AM7" s="210">
        <v>0</v>
      </c>
      <c r="AN7" s="210">
        <v>0</v>
      </c>
      <c r="AO7" s="210">
        <v>0</v>
      </c>
      <c r="AP7" s="210">
        <v>0</v>
      </c>
      <c r="AQ7" s="210">
        <v>0</v>
      </c>
      <c r="AR7" s="210">
        <v>0</v>
      </c>
      <c r="AS7" s="210">
        <v>0</v>
      </c>
      <c r="AT7" s="210">
        <v>0</v>
      </c>
      <c r="AU7" s="210">
        <v>0</v>
      </c>
      <c r="AV7" s="210">
        <v>0</v>
      </c>
      <c r="AW7" s="210">
        <v>0</v>
      </c>
    </row>
    <row r="8" spans="1:49" x14ac:dyDescent="0.3">
      <c r="A8" s="210" t="s">
        <v>150</v>
      </c>
      <c r="B8" s="233">
        <v>5</v>
      </c>
      <c r="C8" s="210">
        <v>40</v>
      </c>
      <c r="D8" s="210">
        <v>1</v>
      </c>
      <c r="E8" s="210">
        <v>4</v>
      </c>
      <c r="F8" s="210">
        <v>211</v>
      </c>
      <c r="G8" s="210">
        <v>0</v>
      </c>
      <c r="H8" s="210">
        <v>0</v>
      </c>
      <c r="I8" s="210">
        <v>0</v>
      </c>
      <c r="J8" s="210">
        <v>0</v>
      </c>
      <c r="K8" s="210">
        <v>8</v>
      </c>
      <c r="L8" s="210">
        <v>0</v>
      </c>
      <c r="M8" s="210">
        <v>0</v>
      </c>
      <c r="N8" s="210">
        <v>0</v>
      </c>
      <c r="O8" s="210">
        <v>0</v>
      </c>
      <c r="P8" s="210">
        <v>0</v>
      </c>
      <c r="Q8" s="210">
        <v>0</v>
      </c>
      <c r="R8" s="210">
        <v>0</v>
      </c>
      <c r="S8" s="210">
        <v>0</v>
      </c>
      <c r="T8" s="210">
        <v>0</v>
      </c>
      <c r="U8" s="210">
        <v>0</v>
      </c>
      <c r="V8" s="210">
        <v>147</v>
      </c>
      <c r="W8" s="210">
        <v>0</v>
      </c>
      <c r="X8" s="210">
        <v>0</v>
      </c>
      <c r="Y8" s="210">
        <v>0</v>
      </c>
      <c r="Z8" s="210">
        <v>0</v>
      </c>
      <c r="AA8" s="210">
        <v>0</v>
      </c>
      <c r="AB8" s="210">
        <v>0</v>
      </c>
      <c r="AC8" s="210">
        <v>0</v>
      </c>
      <c r="AD8" s="210">
        <v>0</v>
      </c>
      <c r="AE8" s="210">
        <v>0</v>
      </c>
      <c r="AF8" s="210">
        <v>0</v>
      </c>
      <c r="AG8" s="210">
        <v>0</v>
      </c>
      <c r="AH8" s="210">
        <v>0</v>
      </c>
      <c r="AI8" s="210">
        <v>0</v>
      </c>
      <c r="AJ8" s="210">
        <v>0</v>
      </c>
      <c r="AK8" s="210">
        <v>0</v>
      </c>
      <c r="AL8" s="210">
        <v>0</v>
      </c>
      <c r="AM8" s="210">
        <v>0</v>
      </c>
      <c r="AN8" s="210">
        <v>0</v>
      </c>
      <c r="AO8" s="210">
        <v>0</v>
      </c>
      <c r="AP8" s="210">
        <v>0</v>
      </c>
      <c r="AQ8" s="210">
        <v>0</v>
      </c>
      <c r="AR8" s="210">
        <v>0</v>
      </c>
      <c r="AS8" s="210">
        <v>0</v>
      </c>
      <c r="AT8" s="210">
        <v>0</v>
      </c>
      <c r="AU8" s="210">
        <v>56</v>
      </c>
      <c r="AV8" s="210">
        <v>0</v>
      </c>
      <c r="AW8" s="210">
        <v>0</v>
      </c>
    </row>
    <row r="9" spans="1:49" x14ac:dyDescent="0.3">
      <c r="A9" s="210" t="s">
        <v>151</v>
      </c>
      <c r="B9" s="233">
        <v>6</v>
      </c>
      <c r="C9" s="210">
        <v>40</v>
      </c>
      <c r="D9" s="210">
        <v>1</v>
      </c>
      <c r="E9" s="210">
        <v>6</v>
      </c>
      <c r="F9" s="210">
        <v>1166343</v>
      </c>
      <c r="G9" s="210">
        <v>0</v>
      </c>
      <c r="H9" s="210">
        <v>0</v>
      </c>
      <c r="I9" s="210">
        <v>11444</v>
      </c>
      <c r="J9" s="210">
        <v>0</v>
      </c>
      <c r="K9" s="210">
        <v>292311</v>
      </c>
      <c r="L9" s="210">
        <v>0</v>
      </c>
      <c r="M9" s="210">
        <v>0</v>
      </c>
      <c r="N9" s="210">
        <v>0</v>
      </c>
      <c r="O9" s="210">
        <v>0</v>
      </c>
      <c r="P9" s="210">
        <v>0</v>
      </c>
      <c r="Q9" s="210">
        <v>0</v>
      </c>
      <c r="R9" s="210">
        <v>0</v>
      </c>
      <c r="S9" s="210">
        <v>0</v>
      </c>
      <c r="T9" s="210">
        <v>0</v>
      </c>
      <c r="U9" s="210">
        <v>0</v>
      </c>
      <c r="V9" s="210">
        <v>593842</v>
      </c>
      <c r="W9" s="210">
        <v>0</v>
      </c>
      <c r="X9" s="210">
        <v>0</v>
      </c>
      <c r="Y9" s="210">
        <v>0</v>
      </c>
      <c r="Z9" s="210">
        <v>0</v>
      </c>
      <c r="AA9" s="210">
        <v>0</v>
      </c>
      <c r="AB9" s="210">
        <v>0</v>
      </c>
      <c r="AC9" s="210">
        <v>0</v>
      </c>
      <c r="AD9" s="210">
        <v>0</v>
      </c>
      <c r="AE9" s="210">
        <v>0</v>
      </c>
      <c r="AF9" s="210">
        <v>0</v>
      </c>
      <c r="AG9" s="210">
        <v>0</v>
      </c>
      <c r="AH9" s="210">
        <v>0</v>
      </c>
      <c r="AI9" s="210">
        <v>0</v>
      </c>
      <c r="AJ9" s="210">
        <v>0</v>
      </c>
      <c r="AK9" s="210">
        <v>0</v>
      </c>
      <c r="AL9" s="210">
        <v>0</v>
      </c>
      <c r="AM9" s="210">
        <v>0</v>
      </c>
      <c r="AN9" s="210">
        <v>0</v>
      </c>
      <c r="AO9" s="210">
        <v>0</v>
      </c>
      <c r="AP9" s="210">
        <v>0</v>
      </c>
      <c r="AQ9" s="210">
        <v>0</v>
      </c>
      <c r="AR9" s="210">
        <v>53345</v>
      </c>
      <c r="AS9" s="210">
        <v>0</v>
      </c>
      <c r="AT9" s="210">
        <v>0</v>
      </c>
      <c r="AU9" s="210">
        <v>197275</v>
      </c>
      <c r="AV9" s="210">
        <v>0</v>
      </c>
      <c r="AW9" s="210">
        <v>18126</v>
      </c>
    </row>
    <row r="10" spans="1:49" x14ac:dyDescent="0.3">
      <c r="A10" s="210" t="s">
        <v>152</v>
      </c>
      <c r="B10" s="233">
        <v>7</v>
      </c>
      <c r="C10" s="210">
        <v>40</v>
      </c>
      <c r="D10" s="210">
        <v>1</v>
      </c>
      <c r="E10" s="210">
        <v>11</v>
      </c>
      <c r="F10" s="210">
        <v>3195.2911293474012</v>
      </c>
      <c r="G10" s="210">
        <v>0</v>
      </c>
      <c r="H10" s="210">
        <v>0</v>
      </c>
      <c r="I10" s="210">
        <v>0</v>
      </c>
      <c r="J10" s="210">
        <v>1611.957796014068</v>
      </c>
      <c r="K10" s="210">
        <v>0</v>
      </c>
      <c r="L10" s="210">
        <v>0</v>
      </c>
      <c r="M10" s="210">
        <v>0</v>
      </c>
      <c r="N10" s="210">
        <v>0</v>
      </c>
      <c r="O10" s="210">
        <v>1583.3333333333333</v>
      </c>
      <c r="P10" s="210">
        <v>0</v>
      </c>
      <c r="Q10" s="210">
        <v>0</v>
      </c>
      <c r="R10" s="210">
        <v>0</v>
      </c>
      <c r="S10" s="210">
        <v>0</v>
      </c>
      <c r="T10" s="210">
        <v>0</v>
      </c>
      <c r="U10" s="210">
        <v>0</v>
      </c>
      <c r="V10" s="210">
        <v>0</v>
      </c>
      <c r="W10" s="210">
        <v>0</v>
      </c>
      <c r="X10" s="210">
        <v>0</v>
      </c>
      <c r="Y10" s="210">
        <v>0</v>
      </c>
      <c r="Z10" s="210">
        <v>0</v>
      </c>
      <c r="AA10" s="210">
        <v>0</v>
      </c>
      <c r="AB10" s="210">
        <v>0</v>
      </c>
      <c r="AC10" s="210">
        <v>0</v>
      </c>
      <c r="AD10" s="210">
        <v>0</v>
      </c>
      <c r="AE10" s="210">
        <v>0</v>
      </c>
      <c r="AF10" s="210">
        <v>0</v>
      </c>
      <c r="AG10" s="210">
        <v>0</v>
      </c>
      <c r="AH10" s="210">
        <v>0</v>
      </c>
      <c r="AI10" s="210">
        <v>0</v>
      </c>
      <c r="AJ10" s="210">
        <v>0</v>
      </c>
      <c r="AK10" s="210">
        <v>0</v>
      </c>
      <c r="AL10" s="210">
        <v>0</v>
      </c>
      <c r="AM10" s="210">
        <v>0</v>
      </c>
      <c r="AN10" s="210">
        <v>0</v>
      </c>
      <c r="AO10" s="210">
        <v>0</v>
      </c>
      <c r="AP10" s="210">
        <v>0</v>
      </c>
      <c r="AQ10" s="210">
        <v>0</v>
      </c>
      <c r="AR10" s="210">
        <v>0</v>
      </c>
      <c r="AS10" s="210">
        <v>0</v>
      </c>
      <c r="AT10" s="210">
        <v>0</v>
      </c>
      <c r="AU10" s="210">
        <v>0</v>
      </c>
      <c r="AV10" s="210">
        <v>0</v>
      </c>
      <c r="AW10" s="210">
        <v>0</v>
      </c>
    </row>
    <row r="11" spans="1:49" x14ac:dyDescent="0.3">
      <c r="A11" s="210" t="s">
        <v>153</v>
      </c>
      <c r="B11" s="233">
        <v>8</v>
      </c>
      <c r="C11" s="210">
        <v>40</v>
      </c>
      <c r="D11" s="210">
        <v>2</v>
      </c>
      <c r="E11" s="210">
        <v>1</v>
      </c>
      <c r="F11" s="210">
        <v>31.75</v>
      </c>
      <c r="G11" s="210">
        <v>0</v>
      </c>
      <c r="H11" s="210">
        <v>0</v>
      </c>
      <c r="I11" s="210">
        <v>0.2</v>
      </c>
      <c r="J11" s="210">
        <v>0</v>
      </c>
      <c r="K11" s="210">
        <v>3.55</v>
      </c>
      <c r="L11" s="210">
        <v>0</v>
      </c>
      <c r="M11" s="210">
        <v>0</v>
      </c>
      <c r="N11" s="210">
        <v>0</v>
      </c>
      <c r="O11" s="210">
        <v>0</v>
      </c>
      <c r="P11" s="210">
        <v>0</v>
      </c>
      <c r="Q11" s="210">
        <v>0</v>
      </c>
      <c r="R11" s="210">
        <v>0</v>
      </c>
      <c r="S11" s="210">
        <v>0</v>
      </c>
      <c r="T11" s="210">
        <v>0</v>
      </c>
      <c r="U11" s="210">
        <v>0</v>
      </c>
      <c r="V11" s="210">
        <v>19</v>
      </c>
      <c r="W11" s="210">
        <v>0</v>
      </c>
      <c r="X11" s="210">
        <v>0</v>
      </c>
      <c r="Y11" s="210">
        <v>0</v>
      </c>
      <c r="Z11" s="210">
        <v>0</v>
      </c>
      <c r="AA11" s="210">
        <v>0</v>
      </c>
      <c r="AB11" s="210">
        <v>0</v>
      </c>
      <c r="AC11" s="210">
        <v>0</v>
      </c>
      <c r="AD11" s="210">
        <v>0</v>
      </c>
      <c r="AE11" s="210">
        <v>0</v>
      </c>
      <c r="AF11" s="210">
        <v>0</v>
      </c>
      <c r="AG11" s="210">
        <v>0</v>
      </c>
      <c r="AH11" s="210">
        <v>0</v>
      </c>
      <c r="AI11" s="210">
        <v>0</v>
      </c>
      <c r="AJ11" s="210">
        <v>0</v>
      </c>
      <c r="AK11" s="210">
        <v>0</v>
      </c>
      <c r="AL11" s="210">
        <v>0</v>
      </c>
      <c r="AM11" s="210">
        <v>0</v>
      </c>
      <c r="AN11" s="210">
        <v>0</v>
      </c>
      <c r="AO11" s="210">
        <v>0</v>
      </c>
      <c r="AP11" s="210">
        <v>0</v>
      </c>
      <c r="AQ11" s="210">
        <v>0</v>
      </c>
      <c r="AR11" s="210">
        <v>3</v>
      </c>
      <c r="AS11" s="210">
        <v>0</v>
      </c>
      <c r="AT11" s="210">
        <v>0</v>
      </c>
      <c r="AU11" s="210">
        <v>5</v>
      </c>
      <c r="AV11" s="210">
        <v>0</v>
      </c>
      <c r="AW11" s="210">
        <v>1</v>
      </c>
    </row>
    <row r="12" spans="1:49" x14ac:dyDescent="0.3">
      <c r="A12" s="210" t="s">
        <v>154</v>
      </c>
      <c r="B12" s="233">
        <v>9</v>
      </c>
      <c r="C12" s="210">
        <v>40</v>
      </c>
      <c r="D12" s="210">
        <v>2</v>
      </c>
      <c r="E12" s="210">
        <v>2</v>
      </c>
      <c r="F12" s="210">
        <v>4811.3999999999996</v>
      </c>
      <c r="G12" s="210">
        <v>0</v>
      </c>
      <c r="H12" s="210">
        <v>0</v>
      </c>
      <c r="I12" s="210">
        <v>33.6</v>
      </c>
      <c r="J12" s="210">
        <v>0</v>
      </c>
      <c r="K12" s="210">
        <v>534.79999999999995</v>
      </c>
      <c r="L12" s="210">
        <v>0</v>
      </c>
      <c r="M12" s="210">
        <v>0</v>
      </c>
      <c r="N12" s="210">
        <v>0</v>
      </c>
      <c r="O12" s="210">
        <v>0</v>
      </c>
      <c r="P12" s="210">
        <v>0</v>
      </c>
      <c r="Q12" s="210">
        <v>0</v>
      </c>
      <c r="R12" s="210">
        <v>0</v>
      </c>
      <c r="S12" s="210">
        <v>0</v>
      </c>
      <c r="T12" s="210">
        <v>0</v>
      </c>
      <c r="U12" s="210">
        <v>0</v>
      </c>
      <c r="V12" s="210">
        <v>2955</v>
      </c>
      <c r="W12" s="210">
        <v>0</v>
      </c>
      <c r="X12" s="210">
        <v>0</v>
      </c>
      <c r="Y12" s="210">
        <v>0</v>
      </c>
      <c r="Z12" s="210">
        <v>0</v>
      </c>
      <c r="AA12" s="210">
        <v>0</v>
      </c>
      <c r="AB12" s="210">
        <v>0</v>
      </c>
      <c r="AC12" s="210">
        <v>0</v>
      </c>
      <c r="AD12" s="210">
        <v>0</v>
      </c>
      <c r="AE12" s="210">
        <v>0</v>
      </c>
      <c r="AF12" s="210">
        <v>0</v>
      </c>
      <c r="AG12" s="210">
        <v>0</v>
      </c>
      <c r="AH12" s="210">
        <v>0</v>
      </c>
      <c r="AI12" s="210">
        <v>0</v>
      </c>
      <c r="AJ12" s="210">
        <v>0</v>
      </c>
      <c r="AK12" s="210">
        <v>0</v>
      </c>
      <c r="AL12" s="210">
        <v>0</v>
      </c>
      <c r="AM12" s="210">
        <v>0</v>
      </c>
      <c r="AN12" s="210">
        <v>0</v>
      </c>
      <c r="AO12" s="210">
        <v>0</v>
      </c>
      <c r="AP12" s="210">
        <v>0</v>
      </c>
      <c r="AQ12" s="210">
        <v>0</v>
      </c>
      <c r="AR12" s="210">
        <v>472</v>
      </c>
      <c r="AS12" s="210">
        <v>0</v>
      </c>
      <c r="AT12" s="210">
        <v>0</v>
      </c>
      <c r="AU12" s="210">
        <v>688</v>
      </c>
      <c r="AV12" s="210">
        <v>0</v>
      </c>
      <c r="AW12" s="210">
        <v>128</v>
      </c>
    </row>
    <row r="13" spans="1:49" x14ac:dyDescent="0.3">
      <c r="A13" s="210" t="s">
        <v>155</v>
      </c>
      <c r="B13" s="233">
        <v>10</v>
      </c>
      <c r="C13" s="210">
        <v>40</v>
      </c>
      <c r="D13" s="210">
        <v>2</v>
      </c>
      <c r="E13" s="210">
        <v>3</v>
      </c>
      <c r="F13" s="210">
        <v>53.9</v>
      </c>
      <c r="G13" s="210">
        <v>0</v>
      </c>
      <c r="H13" s="210">
        <v>0</v>
      </c>
      <c r="I13" s="210">
        <v>8</v>
      </c>
      <c r="J13" s="210">
        <v>0</v>
      </c>
      <c r="K13" s="210">
        <v>37.9</v>
      </c>
      <c r="L13" s="210">
        <v>0</v>
      </c>
      <c r="M13" s="210">
        <v>0</v>
      </c>
      <c r="N13" s="210">
        <v>0</v>
      </c>
      <c r="O13" s="210">
        <v>0</v>
      </c>
      <c r="P13" s="210">
        <v>0</v>
      </c>
      <c r="Q13" s="210">
        <v>0</v>
      </c>
      <c r="R13" s="210">
        <v>0</v>
      </c>
      <c r="S13" s="210">
        <v>0</v>
      </c>
      <c r="T13" s="210">
        <v>0</v>
      </c>
      <c r="U13" s="210">
        <v>0</v>
      </c>
      <c r="V13" s="210">
        <v>8</v>
      </c>
      <c r="W13" s="210">
        <v>0</v>
      </c>
      <c r="X13" s="210">
        <v>0</v>
      </c>
      <c r="Y13" s="210">
        <v>0</v>
      </c>
      <c r="Z13" s="210">
        <v>0</v>
      </c>
      <c r="AA13" s="210">
        <v>0</v>
      </c>
      <c r="AB13" s="210">
        <v>0</v>
      </c>
      <c r="AC13" s="210">
        <v>0</v>
      </c>
      <c r="AD13" s="210">
        <v>0</v>
      </c>
      <c r="AE13" s="210">
        <v>0</v>
      </c>
      <c r="AF13" s="210">
        <v>0</v>
      </c>
      <c r="AG13" s="210">
        <v>0</v>
      </c>
      <c r="AH13" s="210">
        <v>0</v>
      </c>
      <c r="AI13" s="210">
        <v>0</v>
      </c>
      <c r="AJ13" s="210">
        <v>0</v>
      </c>
      <c r="AK13" s="210">
        <v>0</v>
      </c>
      <c r="AL13" s="210">
        <v>0</v>
      </c>
      <c r="AM13" s="210">
        <v>0</v>
      </c>
      <c r="AN13" s="210">
        <v>0</v>
      </c>
      <c r="AO13" s="210">
        <v>0</v>
      </c>
      <c r="AP13" s="210">
        <v>0</v>
      </c>
      <c r="AQ13" s="210">
        <v>0</v>
      </c>
      <c r="AR13" s="210">
        <v>0</v>
      </c>
      <c r="AS13" s="210">
        <v>0</v>
      </c>
      <c r="AT13" s="210">
        <v>0</v>
      </c>
      <c r="AU13" s="210">
        <v>0</v>
      </c>
      <c r="AV13" s="210">
        <v>0</v>
      </c>
      <c r="AW13" s="210">
        <v>0</v>
      </c>
    </row>
    <row r="14" spans="1:49" x14ac:dyDescent="0.3">
      <c r="A14" s="210" t="s">
        <v>156</v>
      </c>
      <c r="B14" s="233">
        <v>11</v>
      </c>
      <c r="C14" s="210">
        <v>40</v>
      </c>
      <c r="D14" s="210">
        <v>2</v>
      </c>
      <c r="E14" s="210">
        <v>4</v>
      </c>
      <c r="F14" s="210">
        <v>143</v>
      </c>
      <c r="G14" s="210">
        <v>0</v>
      </c>
      <c r="H14" s="210">
        <v>0</v>
      </c>
      <c r="I14" s="210">
        <v>0</v>
      </c>
      <c r="J14" s="210">
        <v>0</v>
      </c>
      <c r="K14" s="210">
        <v>0</v>
      </c>
      <c r="L14" s="210">
        <v>0</v>
      </c>
      <c r="M14" s="210">
        <v>0</v>
      </c>
      <c r="N14" s="210">
        <v>0</v>
      </c>
      <c r="O14" s="210">
        <v>0</v>
      </c>
      <c r="P14" s="210">
        <v>0</v>
      </c>
      <c r="Q14" s="210">
        <v>0</v>
      </c>
      <c r="R14" s="210">
        <v>0</v>
      </c>
      <c r="S14" s="210">
        <v>0</v>
      </c>
      <c r="T14" s="210">
        <v>0</v>
      </c>
      <c r="U14" s="210">
        <v>0</v>
      </c>
      <c r="V14" s="210">
        <v>114</v>
      </c>
      <c r="W14" s="210">
        <v>0</v>
      </c>
      <c r="X14" s="210">
        <v>0</v>
      </c>
      <c r="Y14" s="210">
        <v>0</v>
      </c>
      <c r="Z14" s="210">
        <v>0</v>
      </c>
      <c r="AA14" s="210">
        <v>0</v>
      </c>
      <c r="AB14" s="210">
        <v>0</v>
      </c>
      <c r="AC14" s="210">
        <v>0</v>
      </c>
      <c r="AD14" s="210">
        <v>0</v>
      </c>
      <c r="AE14" s="210">
        <v>0</v>
      </c>
      <c r="AF14" s="210">
        <v>0</v>
      </c>
      <c r="AG14" s="210">
        <v>0</v>
      </c>
      <c r="AH14" s="210">
        <v>0</v>
      </c>
      <c r="AI14" s="210">
        <v>0</v>
      </c>
      <c r="AJ14" s="210">
        <v>0</v>
      </c>
      <c r="AK14" s="210">
        <v>0</v>
      </c>
      <c r="AL14" s="210">
        <v>0</v>
      </c>
      <c r="AM14" s="210">
        <v>0</v>
      </c>
      <c r="AN14" s="210">
        <v>0</v>
      </c>
      <c r="AO14" s="210">
        <v>0</v>
      </c>
      <c r="AP14" s="210">
        <v>0</v>
      </c>
      <c r="AQ14" s="210">
        <v>0</v>
      </c>
      <c r="AR14" s="210">
        <v>0</v>
      </c>
      <c r="AS14" s="210">
        <v>0</v>
      </c>
      <c r="AT14" s="210">
        <v>0</v>
      </c>
      <c r="AU14" s="210">
        <v>29</v>
      </c>
      <c r="AV14" s="210">
        <v>0</v>
      </c>
      <c r="AW14" s="210">
        <v>0</v>
      </c>
    </row>
    <row r="15" spans="1:49" x14ac:dyDescent="0.3">
      <c r="A15" s="210" t="s">
        <v>157</v>
      </c>
      <c r="B15" s="233">
        <v>12</v>
      </c>
      <c r="C15" s="210">
        <v>40</v>
      </c>
      <c r="D15" s="210">
        <v>2</v>
      </c>
      <c r="E15" s="210">
        <v>6</v>
      </c>
      <c r="F15" s="210">
        <v>1108388</v>
      </c>
      <c r="G15" s="210">
        <v>0</v>
      </c>
      <c r="H15" s="210">
        <v>0</v>
      </c>
      <c r="I15" s="210">
        <v>9232</v>
      </c>
      <c r="J15" s="210">
        <v>0</v>
      </c>
      <c r="K15" s="210">
        <v>295457</v>
      </c>
      <c r="L15" s="210">
        <v>0</v>
      </c>
      <c r="M15" s="210">
        <v>0</v>
      </c>
      <c r="N15" s="210">
        <v>0</v>
      </c>
      <c r="O15" s="210">
        <v>0</v>
      </c>
      <c r="P15" s="210">
        <v>0</v>
      </c>
      <c r="Q15" s="210">
        <v>0</v>
      </c>
      <c r="R15" s="210">
        <v>0</v>
      </c>
      <c r="S15" s="210">
        <v>0</v>
      </c>
      <c r="T15" s="210">
        <v>0</v>
      </c>
      <c r="U15" s="210">
        <v>0</v>
      </c>
      <c r="V15" s="210">
        <v>568395</v>
      </c>
      <c r="W15" s="210">
        <v>0</v>
      </c>
      <c r="X15" s="210">
        <v>0</v>
      </c>
      <c r="Y15" s="210">
        <v>0</v>
      </c>
      <c r="Z15" s="210">
        <v>0</v>
      </c>
      <c r="AA15" s="210">
        <v>0</v>
      </c>
      <c r="AB15" s="210">
        <v>0</v>
      </c>
      <c r="AC15" s="210">
        <v>0</v>
      </c>
      <c r="AD15" s="210">
        <v>0</v>
      </c>
      <c r="AE15" s="210">
        <v>0</v>
      </c>
      <c r="AF15" s="210">
        <v>0</v>
      </c>
      <c r="AG15" s="210">
        <v>0</v>
      </c>
      <c r="AH15" s="210">
        <v>0</v>
      </c>
      <c r="AI15" s="210">
        <v>0</v>
      </c>
      <c r="AJ15" s="210">
        <v>0</v>
      </c>
      <c r="AK15" s="210">
        <v>0</v>
      </c>
      <c r="AL15" s="210">
        <v>0</v>
      </c>
      <c r="AM15" s="210">
        <v>0</v>
      </c>
      <c r="AN15" s="210">
        <v>0</v>
      </c>
      <c r="AO15" s="210">
        <v>0</v>
      </c>
      <c r="AP15" s="210">
        <v>0</v>
      </c>
      <c r="AQ15" s="210">
        <v>0</v>
      </c>
      <c r="AR15" s="210">
        <v>53099</v>
      </c>
      <c r="AS15" s="210">
        <v>0</v>
      </c>
      <c r="AT15" s="210">
        <v>0</v>
      </c>
      <c r="AU15" s="210">
        <v>163950</v>
      </c>
      <c r="AV15" s="210">
        <v>0</v>
      </c>
      <c r="AW15" s="210">
        <v>18255</v>
      </c>
    </row>
    <row r="16" spans="1:49" x14ac:dyDescent="0.3">
      <c r="A16" s="210" t="s">
        <v>145</v>
      </c>
      <c r="B16" s="233">
        <v>2016</v>
      </c>
      <c r="C16" s="210">
        <v>40</v>
      </c>
      <c r="D16" s="210">
        <v>2</v>
      </c>
      <c r="E16" s="210">
        <v>11</v>
      </c>
      <c r="F16" s="210">
        <v>3195.2911293474012</v>
      </c>
      <c r="G16" s="210">
        <v>0</v>
      </c>
      <c r="H16" s="210">
        <v>0</v>
      </c>
      <c r="I16" s="210">
        <v>0</v>
      </c>
      <c r="J16" s="210">
        <v>1611.957796014068</v>
      </c>
      <c r="K16" s="210">
        <v>0</v>
      </c>
      <c r="L16" s="210">
        <v>0</v>
      </c>
      <c r="M16" s="210">
        <v>0</v>
      </c>
      <c r="N16" s="210">
        <v>0</v>
      </c>
      <c r="O16" s="210">
        <v>1583.3333333333333</v>
      </c>
      <c r="P16" s="210">
        <v>0</v>
      </c>
      <c r="Q16" s="210">
        <v>0</v>
      </c>
      <c r="R16" s="210">
        <v>0</v>
      </c>
      <c r="S16" s="210">
        <v>0</v>
      </c>
      <c r="T16" s="210">
        <v>0</v>
      </c>
      <c r="U16" s="210">
        <v>0</v>
      </c>
      <c r="V16" s="210">
        <v>0</v>
      </c>
      <c r="W16" s="210">
        <v>0</v>
      </c>
      <c r="X16" s="210">
        <v>0</v>
      </c>
      <c r="Y16" s="210">
        <v>0</v>
      </c>
      <c r="Z16" s="210">
        <v>0</v>
      </c>
      <c r="AA16" s="210">
        <v>0</v>
      </c>
      <c r="AB16" s="210">
        <v>0</v>
      </c>
      <c r="AC16" s="210">
        <v>0</v>
      </c>
      <c r="AD16" s="210">
        <v>0</v>
      </c>
      <c r="AE16" s="210">
        <v>0</v>
      </c>
      <c r="AF16" s="210">
        <v>0</v>
      </c>
      <c r="AG16" s="210">
        <v>0</v>
      </c>
      <c r="AH16" s="210">
        <v>0</v>
      </c>
      <c r="AI16" s="210">
        <v>0</v>
      </c>
      <c r="AJ16" s="210">
        <v>0</v>
      </c>
      <c r="AK16" s="210">
        <v>0</v>
      </c>
      <c r="AL16" s="210">
        <v>0</v>
      </c>
      <c r="AM16" s="210">
        <v>0</v>
      </c>
      <c r="AN16" s="210">
        <v>0</v>
      </c>
      <c r="AO16" s="210">
        <v>0</v>
      </c>
      <c r="AP16" s="210">
        <v>0</v>
      </c>
      <c r="AQ16" s="210">
        <v>0</v>
      </c>
      <c r="AR16" s="210">
        <v>0</v>
      </c>
      <c r="AS16" s="210">
        <v>0</v>
      </c>
      <c r="AT16" s="210">
        <v>0</v>
      </c>
      <c r="AU16" s="210">
        <v>0</v>
      </c>
      <c r="AV16" s="210">
        <v>0</v>
      </c>
      <c r="AW16" s="210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pageSetUpPr fitToPage="1"/>
  </sheetPr>
  <dimension ref="A1:S11"/>
  <sheetViews>
    <sheetView showGridLines="0" showRowColHeaders="0" workbookViewId="0">
      <pane ySplit="5" topLeftCell="A6" activePane="bottomLeft" state="frozen"/>
      <selection activeCell="A2" sqref="A2:M2"/>
      <selection pane="bottomLeft" sqref="A1:S1"/>
    </sheetView>
  </sheetViews>
  <sheetFormatPr defaultRowHeight="14.4" customHeight="1" x14ac:dyDescent="0.3"/>
  <cols>
    <col min="1" max="1" width="46.6640625" style="116" bestFit="1" customWidth="1"/>
    <col min="2" max="2" width="7.77734375" style="92" customWidth="1"/>
    <col min="3" max="3" width="5.44140625" style="116" hidden="1" customWidth="1"/>
    <col min="4" max="4" width="7.77734375" style="92" customWidth="1"/>
    <col min="5" max="5" width="5.44140625" style="116" hidden="1" customWidth="1"/>
    <col min="6" max="6" width="7.77734375" style="92" customWidth="1"/>
    <col min="7" max="7" width="7.77734375" style="194" customWidth="1"/>
    <col min="8" max="8" width="7.77734375" style="92" customWidth="1"/>
    <col min="9" max="9" width="5.44140625" style="116" hidden="1" customWidth="1"/>
    <col min="10" max="10" width="7.77734375" style="92" customWidth="1"/>
    <col min="11" max="11" width="5.44140625" style="116" hidden="1" customWidth="1"/>
    <col min="12" max="12" width="7.77734375" style="92" customWidth="1"/>
    <col min="13" max="13" width="7.77734375" style="194" customWidth="1"/>
    <col min="14" max="14" width="7.77734375" style="92" customWidth="1"/>
    <col min="15" max="15" width="5" style="116" hidden="1" customWidth="1"/>
    <col min="16" max="16" width="7.77734375" style="92" customWidth="1"/>
    <col min="17" max="17" width="5" style="116" hidden="1" customWidth="1"/>
    <col min="18" max="18" width="7.77734375" style="92" customWidth="1"/>
    <col min="19" max="19" width="7.77734375" style="194" customWidth="1"/>
    <col min="20" max="16384" width="8.88671875" style="116"/>
  </cols>
  <sheetData>
    <row r="1" spans="1:19" ht="18.600000000000001" customHeight="1" thickBot="1" x14ac:dyDescent="0.4">
      <c r="A1" s="349" t="s">
        <v>980</v>
      </c>
      <c r="B1" s="292"/>
      <c r="C1" s="292"/>
      <c r="D1" s="292"/>
      <c r="E1" s="292"/>
      <c r="F1" s="292"/>
      <c r="G1" s="292"/>
      <c r="H1" s="292"/>
      <c r="I1" s="292"/>
      <c r="J1" s="292"/>
      <c r="K1" s="292"/>
      <c r="L1" s="292"/>
      <c r="M1" s="292"/>
      <c r="N1" s="292"/>
      <c r="O1" s="292"/>
      <c r="P1" s="292"/>
      <c r="Q1" s="292"/>
      <c r="R1" s="292"/>
      <c r="S1" s="292"/>
    </row>
    <row r="2" spans="1:19" ht="14.4" customHeight="1" thickBot="1" x14ac:dyDescent="0.35">
      <c r="A2" s="214" t="s">
        <v>229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</row>
    <row r="3" spans="1:19" ht="14.4" customHeight="1" thickBot="1" x14ac:dyDescent="0.35">
      <c r="A3" s="200" t="s">
        <v>113</v>
      </c>
      <c r="B3" s="201">
        <f>SUBTOTAL(9,B6:B1048576)/2</f>
        <v>5034517</v>
      </c>
      <c r="C3" s="202">
        <f t="shared" ref="C3:R3" si="0">SUBTOTAL(9,C6:C1048576)</f>
        <v>2</v>
      </c>
      <c r="D3" s="202">
        <f>SUBTOTAL(9,D6:D1048576)/2</f>
        <v>5262549</v>
      </c>
      <c r="E3" s="202">
        <f t="shared" si="0"/>
        <v>2.0905874386758452</v>
      </c>
      <c r="F3" s="202">
        <f>SUBTOTAL(9,F6:F1048576)/2</f>
        <v>6433032</v>
      </c>
      <c r="G3" s="203">
        <f>IF(B3&lt;&gt;0,F3/B3,"")</f>
        <v>1.2777853367065799</v>
      </c>
      <c r="H3" s="204">
        <f t="shared" si="0"/>
        <v>0</v>
      </c>
      <c r="I3" s="202">
        <f t="shared" si="0"/>
        <v>0</v>
      </c>
      <c r="J3" s="202">
        <f t="shared" si="0"/>
        <v>0</v>
      </c>
      <c r="K3" s="202">
        <f t="shared" si="0"/>
        <v>0</v>
      </c>
      <c r="L3" s="202">
        <f t="shared" si="0"/>
        <v>0</v>
      </c>
      <c r="M3" s="205" t="str">
        <f>IF(H3&lt;&gt;0,L3/H3,"")</f>
        <v/>
      </c>
      <c r="N3" s="201">
        <f t="shared" si="0"/>
        <v>0</v>
      </c>
      <c r="O3" s="202">
        <f t="shared" si="0"/>
        <v>0</v>
      </c>
      <c r="P3" s="202">
        <f t="shared" si="0"/>
        <v>0</v>
      </c>
      <c r="Q3" s="202">
        <f t="shared" si="0"/>
        <v>0</v>
      </c>
      <c r="R3" s="202">
        <f t="shared" si="0"/>
        <v>0</v>
      </c>
      <c r="S3" s="203" t="str">
        <f>IF(N3&lt;&gt;0,R3/N3,"")</f>
        <v/>
      </c>
    </row>
    <row r="4" spans="1:19" ht="14.4" customHeight="1" x14ac:dyDescent="0.3">
      <c r="A4" s="350" t="s">
        <v>202</v>
      </c>
      <c r="B4" s="351" t="s">
        <v>86</v>
      </c>
      <c r="C4" s="352"/>
      <c r="D4" s="352"/>
      <c r="E4" s="352"/>
      <c r="F4" s="352"/>
      <c r="G4" s="353"/>
      <c r="H4" s="351" t="s">
        <v>87</v>
      </c>
      <c r="I4" s="352"/>
      <c r="J4" s="352"/>
      <c r="K4" s="352"/>
      <c r="L4" s="352"/>
      <c r="M4" s="353"/>
      <c r="N4" s="351" t="s">
        <v>88</v>
      </c>
      <c r="O4" s="352"/>
      <c r="P4" s="352"/>
      <c r="Q4" s="352"/>
      <c r="R4" s="352"/>
      <c r="S4" s="353"/>
    </row>
    <row r="5" spans="1:19" ht="14.4" customHeight="1" thickBot="1" x14ac:dyDescent="0.35">
      <c r="A5" s="500"/>
      <c r="B5" s="501">
        <v>2014</v>
      </c>
      <c r="C5" s="502"/>
      <c r="D5" s="502">
        <v>2015</v>
      </c>
      <c r="E5" s="502"/>
      <c r="F5" s="502">
        <v>2016</v>
      </c>
      <c r="G5" s="503" t="s">
        <v>2</v>
      </c>
      <c r="H5" s="501">
        <v>2014</v>
      </c>
      <c r="I5" s="502"/>
      <c r="J5" s="502">
        <v>2015</v>
      </c>
      <c r="K5" s="502"/>
      <c r="L5" s="502">
        <v>2016</v>
      </c>
      <c r="M5" s="503" t="s">
        <v>2</v>
      </c>
      <c r="N5" s="501">
        <v>2014</v>
      </c>
      <c r="O5" s="502"/>
      <c r="P5" s="502">
        <v>2015</v>
      </c>
      <c r="Q5" s="502"/>
      <c r="R5" s="502">
        <v>2016</v>
      </c>
      <c r="S5" s="503" t="s">
        <v>2</v>
      </c>
    </row>
    <row r="6" spans="1:19" ht="14.4" customHeight="1" thickBot="1" x14ac:dyDescent="0.35">
      <c r="A6" s="506" t="s">
        <v>979</v>
      </c>
      <c r="B6" s="504">
        <v>5034517</v>
      </c>
      <c r="C6" s="505">
        <v>1</v>
      </c>
      <c r="D6" s="504">
        <v>5262549</v>
      </c>
      <c r="E6" s="505">
        <v>1.0452937193379226</v>
      </c>
      <c r="F6" s="504">
        <v>6433032</v>
      </c>
      <c r="G6" s="270">
        <v>1.2777853367065799</v>
      </c>
      <c r="H6" s="504"/>
      <c r="I6" s="505"/>
      <c r="J6" s="504"/>
      <c r="K6" s="505"/>
      <c r="L6" s="504"/>
      <c r="M6" s="270"/>
      <c r="N6" s="504"/>
      <c r="O6" s="505"/>
      <c r="P6" s="504"/>
      <c r="Q6" s="505"/>
      <c r="R6" s="504"/>
      <c r="S6" s="271"/>
    </row>
    <row r="7" spans="1:19" ht="14.4" customHeight="1" thickBot="1" x14ac:dyDescent="0.35"/>
    <row r="8" spans="1:19" ht="14.4" customHeight="1" thickBot="1" x14ac:dyDescent="0.35">
      <c r="A8" s="506" t="s">
        <v>398</v>
      </c>
      <c r="B8" s="504">
        <v>5034517</v>
      </c>
      <c r="C8" s="505">
        <v>1</v>
      </c>
      <c r="D8" s="504">
        <v>5262549</v>
      </c>
      <c r="E8" s="505">
        <v>1.0452937193379226</v>
      </c>
      <c r="F8" s="504">
        <v>6433032</v>
      </c>
      <c r="G8" s="270">
        <v>1.2777853367065799</v>
      </c>
      <c r="H8" s="504"/>
      <c r="I8" s="505"/>
      <c r="J8" s="504"/>
      <c r="K8" s="505"/>
      <c r="L8" s="504"/>
      <c r="M8" s="270"/>
      <c r="N8" s="504"/>
      <c r="O8" s="505"/>
      <c r="P8" s="504"/>
      <c r="Q8" s="505"/>
      <c r="R8" s="504"/>
      <c r="S8" s="271"/>
    </row>
    <row r="9" spans="1:19" ht="14.4" customHeight="1" x14ac:dyDescent="0.3">
      <c r="A9" s="507" t="s">
        <v>981</v>
      </c>
    </row>
    <row r="10" spans="1:19" ht="14.4" customHeight="1" x14ac:dyDescent="0.3">
      <c r="A10" s="508" t="s">
        <v>982</v>
      </c>
    </row>
    <row r="11" spans="1:19" ht="14.4" customHeight="1" x14ac:dyDescent="0.3">
      <c r="A11" s="507" t="s">
        <v>983</v>
      </c>
    </row>
  </sheetData>
  <mergeCells count="5">
    <mergeCell ref="A1:S1"/>
    <mergeCell ref="A4:A5"/>
    <mergeCell ref="B4:G4"/>
    <mergeCell ref="H4:M4"/>
    <mergeCell ref="N4:S4"/>
  </mergeCells>
  <conditionalFormatting sqref="G4:G1048576">
    <cfRule type="cellIs" dxfId="0" priority="4" stopIfTrue="1" operator="lessThan">
      <formula>0.95</formula>
    </cfRule>
  </conditionalFormatting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{791987AB-EB4E-4323-988C-2CC9543F5F95}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{3D1704E4-2CF0-40FE-8B51-535F514AA804}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{DA7CE90D-FADD-456D-9A84-45478435DA52}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H3 J3 L3 N3 P3 R3 F3 D3 B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91987AB-EB4E-4323-988C-2CC9543F5F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3D1704E4-2CF0-40FE-8B51-535F514AA80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DA7CE90D-FADD-456D-9A84-45478435DA5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9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x14ac:dyDescent="0.3"/>
  <cols>
    <col min="1" max="1" width="46.6640625" style="116" bestFit="1" customWidth="1"/>
    <col min="2" max="4" width="7.77734375" style="191" customWidth="1"/>
    <col min="5" max="7" width="7.77734375" style="92" customWidth="1"/>
    <col min="8" max="16384" width="8.88671875" style="116"/>
  </cols>
  <sheetData>
    <row r="1" spans="1:7" ht="18.600000000000001" customHeight="1" thickBot="1" x14ac:dyDescent="0.4">
      <c r="A1" s="349" t="s">
        <v>985</v>
      </c>
      <c r="B1" s="292"/>
      <c r="C1" s="292"/>
      <c r="D1" s="292"/>
      <c r="E1" s="292"/>
      <c r="F1" s="292"/>
      <c r="G1" s="292"/>
    </row>
    <row r="2" spans="1:7" ht="14.4" customHeight="1" thickBot="1" x14ac:dyDescent="0.35">
      <c r="A2" s="214" t="s">
        <v>229</v>
      </c>
      <c r="B2" s="97"/>
      <c r="C2" s="97"/>
      <c r="D2" s="97"/>
      <c r="E2" s="97"/>
      <c r="F2" s="97"/>
      <c r="G2" s="97"/>
    </row>
    <row r="3" spans="1:7" ht="14.4" customHeight="1" thickBot="1" x14ac:dyDescent="0.35">
      <c r="A3" s="200" t="s">
        <v>113</v>
      </c>
      <c r="B3" s="282">
        <f t="shared" ref="B3:G3" si="0">SUBTOTAL(9,B6:B1048576)</f>
        <v>23186</v>
      </c>
      <c r="C3" s="283">
        <f t="shared" si="0"/>
        <v>24151</v>
      </c>
      <c r="D3" s="283">
        <f t="shared" si="0"/>
        <v>29261</v>
      </c>
      <c r="E3" s="204">
        <f t="shared" si="0"/>
        <v>5034517</v>
      </c>
      <c r="F3" s="202">
        <f t="shared" si="0"/>
        <v>5262549</v>
      </c>
      <c r="G3" s="284">
        <f t="shared" si="0"/>
        <v>6433032</v>
      </c>
    </row>
    <row r="4" spans="1:7" ht="14.4" customHeight="1" x14ac:dyDescent="0.3">
      <c r="A4" s="350" t="s">
        <v>121</v>
      </c>
      <c r="B4" s="351" t="s">
        <v>199</v>
      </c>
      <c r="C4" s="352"/>
      <c r="D4" s="352"/>
      <c r="E4" s="354" t="s">
        <v>86</v>
      </c>
      <c r="F4" s="355"/>
      <c r="G4" s="356"/>
    </row>
    <row r="5" spans="1:7" ht="14.4" customHeight="1" thickBot="1" x14ac:dyDescent="0.35">
      <c r="A5" s="500"/>
      <c r="B5" s="501">
        <v>2014</v>
      </c>
      <c r="C5" s="502">
        <v>2015</v>
      </c>
      <c r="D5" s="502">
        <v>2016</v>
      </c>
      <c r="E5" s="501">
        <v>2014</v>
      </c>
      <c r="F5" s="502">
        <v>2015</v>
      </c>
      <c r="G5" s="502">
        <v>2016</v>
      </c>
    </row>
    <row r="6" spans="1:7" ht="14.4" customHeight="1" thickBot="1" x14ac:dyDescent="0.35">
      <c r="A6" s="506" t="s">
        <v>984</v>
      </c>
      <c r="B6" s="436">
        <v>23186</v>
      </c>
      <c r="C6" s="436">
        <v>24151</v>
      </c>
      <c r="D6" s="436">
        <v>29261</v>
      </c>
      <c r="E6" s="504">
        <v>5034517</v>
      </c>
      <c r="F6" s="504">
        <v>5262549</v>
      </c>
      <c r="G6" s="509">
        <v>6433032</v>
      </c>
    </row>
    <row r="7" spans="1:7" ht="14.4" customHeight="1" x14ac:dyDescent="0.3">
      <c r="A7" s="507" t="s">
        <v>981</v>
      </c>
    </row>
    <row r="8" spans="1:7" ht="14.4" customHeight="1" x14ac:dyDescent="0.3">
      <c r="A8" s="508" t="s">
        <v>982</v>
      </c>
    </row>
    <row r="9" spans="1:7" ht="14.4" customHeight="1" x14ac:dyDescent="0.3">
      <c r="A9" s="507" t="s">
        <v>983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pageSetUpPr fitToPage="1"/>
  </sheetPr>
  <dimension ref="A1:Q61"/>
  <sheetViews>
    <sheetView showGridLines="0" showRowColHeaders="0" workbookViewId="0">
      <pane ySplit="5" topLeftCell="A6" activePane="bottomLeft" state="frozen"/>
      <selection activeCell="U26" sqref="U26"/>
      <selection pane="bottomLeft" sqref="A1:Q1"/>
    </sheetView>
  </sheetViews>
  <sheetFormatPr defaultRowHeight="14.4" customHeight="1" x14ac:dyDescent="0.3"/>
  <cols>
    <col min="1" max="1" width="8.6640625" style="116" bestFit="1" customWidth="1"/>
    <col min="2" max="2" width="6.109375" style="116" customWidth="1"/>
    <col min="3" max="3" width="2.109375" style="116" bestFit="1" customWidth="1"/>
    <col min="4" max="4" width="8" style="116" customWidth="1"/>
    <col min="5" max="5" width="50.88671875" style="116" bestFit="1" customWidth="1"/>
    <col min="6" max="7" width="11.109375" style="191" customWidth="1"/>
    <col min="8" max="9" width="9.33203125" style="116" hidden="1" customWidth="1"/>
    <col min="10" max="11" width="11.109375" style="191" customWidth="1"/>
    <col min="12" max="13" width="9.33203125" style="116" hidden="1" customWidth="1"/>
    <col min="14" max="15" width="11.109375" style="191" customWidth="1"/>
    <col min="16" max="16" width="11.109375" style="194" customWidth="1"/>
    <col min="17" max="17" width="11.109375" style="191" customWidth="1"/>
    <col min="18" max="16384" width="8.88671875" style="116"/>
  </cols>
  <sheetData>
    <row r="1" spans="1:17" ht="18.600000000000001" customHeight="1" thickBot="1" x14ac:dyDescent="0.4">
      <c r="A1" s="292" t="s">
        <v>1100</v>
      </c>
      <c r="B1" s="292"/>
      <c r="C1" s="292"/>
      <c r="D1" s="292"/>
      <c r="E1" s="292"/>
      <c r="F1" s="292"/>
      <c r="G1" s="292"/>
      <c r="H1" s="292"/>
      <c r="I1" s="292"/>
      <c r="J1" s="292"/>
      <c r="K1" s="292"/>
      <c r="L1" s="292"/>
      <c r="M1" s="292"/>
      <c r="N1" s="292"/>
      <c r="O1" s="292"/>
      <c r="P1" s="292"/>
      <c r="Q1" s="292"/>
    </row>
    <row r="2" spans="1:17" ht="14.4" customHeight="1" thickBot="1" x14ac:dyDescent="0.35">
      <c r="A2" s="214" t="s">
        <v>229</v>
      </c>
      <c r="B2" s="287"/>
      <c r="C2" s="117"/>
      <c r="D2" s="281"/>
      <c r="E2" s="117"/>
      <c r="F2" s="208"/>
      <c r="G2" s="208"/>
      <c r="H2" s="117"/>
      <c r="I2" s="117"/>
      <c r="J2" s="208"/>
      <c r="K2" s="208"/>
      <c r="L2" s="117"/>
      <c r="M2" s="117"/>
      <c r="N2" s="208"/>
      <c r="O2" s="208"/>
      <c r="P2" s="209"/>
      <c r="Q2" s="208"/>
    </row>
    <row r="3" spans="1:17" ht="14.4" customHeight="1" thickBot="1" x14ac:dyDescent="0.35">
      <c r="E3" s="73" t="s">
        <v>113</v>
      </c>
      <c r="F3" s="88">
        <f t="shared" ref="F3:O3" si="0">SUBTOTAL(9,F6:F1048576)</f>
        <v>23186</v>
      </c>
      <c r="G3" s="89">
        <f t="shared" si="0"/>
        <v>5034517</v>
      </c>
      <c r="H3" s="66"/>
      <c r="I3" s="66"/>
      <c r="J3" s="89">
        <f t="shared" si="0"/>
        <v>24151</v>
      </c>
      <c r="K3" s="89">
        <f t="shared" si="0"/>
        <v>5262549</v>
      </c>
      <c r="L3" s="66"/>
      <c r="M3" s="66"/>
      <c r="N3" s="89">
        <f t="shared" si="0"/>
        <v>29261</v>
      </c>
      <c r="O3" s="89">
        <f t="shared" si="0"/>
        <v>6433032</v>
      </c>
      <c r="P3" s="67">
        <f>IF(G3=0,0,O3/G3)</f>
        <v>1.2777853367065799</v>
      </c>
      <c r="Q3" s="90">
        <f>IF(N3=0,0,O3/N3)</f>
        <v>219.85003930145928</v>
      </c>
    </row>
    <row r="4" spans="1:17" ht="14.4" customHeight="1" x14ac:dyDescent="0.3">
      <c r="A4" s="358" t="s">
        <v>82</v>
      </c>
      <c r="B4" s="365" t="s">
        <v>0</v>
      </c>
      <c r="C4" s="359" t="s">
        <v>83</v>
      </c>
      <c r="D4" s="364" t="s">
        <v>58</v>
      </c>
      <c r="E4" s="360" t="s">
        <v>57</v>
      </c>
      <c r="F4" s="361">
        <v>2014</v>
      </c>
      <c r="G4" s="362"/>
      <c r="H4" s="87"/>
      <c r="I4" s="87"/>
      <c r="J4" s="361">
        <v>2015</v>
      </c>
      <c r="K4" s="362"/>
      <c r="L4" s="87"/>
      <c r="M4" s="87"/>
      <c r="N4" s="361">
        <v>2016</v>
      </c>
      <c r="O4" s="362"/>
      <c r="P4" s="363" t="s">
        <v>2</v>
      </c>
      <c r="Q4" s="357" t="s">
        <v>85</v>
      </c>
    </row>
    <row r="5" spans="1:17" ht="14.4" customHeight="1" thickBot="1" x14ac:dyDescent="0.35">
      <c r="A5" s="510"/>
      <c r="B5" s="511"/>
      <c r="C5" s="512"/>
      <c r="D5" s="513"/>
      <c r="E5" s="514"/>
      <c r="F5" s="515" t="s">
        <v>59</v>
      </c>
      <c r="G5" s="516" t="s">
        <v>14</v>
      </c>
      <c r="H5" s="517"/>
      <c r="I5" s="517"/>
      <c r="J5" s="515" t="s">
        <v>59</v>
      </c>
      <c r="K5" s="516" t="s">
        <v>14</v>
      </c>
      <c r="L5" s="517"/>
      <c r="M5" s="517"/>
      <c r="N5" s="515" t="s">
        <v>59</v>
      </c>
      <c r="O5" s="516" t="s">
        <v>14</v>
      </c>
      <c r="P5" s="518"/>
      <c r="Q5" s="519"/>
    </row>
    <row r="6" spans="1:17" ht="14.4" customHeight="1" x14ac:dyDescent="0.3">
      <c r="A6" s="411" t="s">
        <v>986</v>
      </c>
      <c r="B6" s="412" t="s">
        <v>398</v>
      </c>
      <c r="C6" s="412" t="s">
        <v>987</v>
      </c>
      <c r="D6" s="412" t="s">
        <v>988</v>
      </c>
      <c r="E6" s="412" t="s">
        <v>989</v>
      </c>
      <c r="F6" s="415">
        <v>81</v>
      </c>
      <c r="G6" s="415">
        <v>12879</v>
      </c>
      <c r="H6" s="412">
        <v>1</v>
      </c>
      <c r="I6" s="412">
        <v>159</v>
      </c>
      <c r="J6" s="415">
        <v>105</v>
      </c>
      <c r="K6" s="415">
        <v>16905</v>
      </c>
      <c r="L6" s="412">
        <v>1.3126019100861868</v>
      </c>
      <c r="M6" s="412">
        <v>161</v>
      </c>
      <c r="N6" s="415">
        <v>100</v>
      </c>
      <c r="O6" s="415">
        <v>17300</v>
      </c>
      <c r="P6" s="434">
        <v>1.3432719931671713</v>
      </c>
      <c r="Q6" s="416">
        <v>173</v>
      </c>
    </row>
    <row r="7" spans="1:17" ht="14.4" customHeight="1" x14ac:dyDescent="0.3">
      <c r="A7" s="417" t="s">
        <v>986</v>
      </c>
      <c r="B7" s="418" t="s">
        <v>398</v>
      </c>
      <c r="C7" s="418" t="s">
        <v>987</v>
      </c>
      <c r="D7" s="418" t="s">
        <v>990</v>
      </c>
      <c r="E7" s="418" t="s">
        <v>991</v>
      </c>
      <c r="F7" s="421">
        <v>940</v>
      </c>
      <c r="G7" s="421">
        <v>114680</v>
      </c>
      <c r="H7" s="418">
        <v>1</v>
      </c>
      <c r="I7" s="418">
        <v>122</v>
      </c>
      <c r="J7" s="421">
        <v>936</v>
      </c>
      <c r="K7" s="421">
        <v>117000</v>
      </c>
      <c r="L7" s="418">
        <v>1.0202302057900243</v>
      </c>
      <c r="M7" s="418">
        <v>125</v>
      </c>
      <c r="N7" s="421">
        <v>1099</v>
      </c>
      <c r="O7" s="421">
        <v>138474</v>
      </c>
      <c r="P7" s="443">
        <v>1.2074816881757935</v>
      </c>
      <c r="Q7" s="422">
        <v>126</v>
      </c>
    </row>
    <row r="8" spans="1:17" ht="14.4" customHeight="1" x14ac:dyDescent="0.3">
      <c r="A8" s="417" t="s">
        <v>986</v>
      </c>
      <c r="B8" s="418" t="s">
        <v>398</v>
      </c>
      <c r="C8" s="418" t="s">
        <v>987</v>
      </c>
      <c r="D8" s="418" t="s">
        <v>992</v>
      </c>
      <c r="E8" s="418" t="s">
        <v>993</v>
      </c>
      <c r="F8" s="421">
        <v>809</v>
      </c>
      <c r="G8" s="421">
        <v>51776</v>
      </c>
      <c r="H8" s="418">
        <v>1</v>
      </c>
      <c r="I8" s="418">
        <v>64</v>
      </c>
      <c r="J8" s="421">
        <v>975</v>
      </c>
      <c r="K8" s="421">
        <v>63375</v>
      </c>
      <c r="L8" s="418">
        <v>1.2240227132262052</v>
      </c>
      <c r="M8" s="418">
        <v>65</v>
      </c>
      <c r="N8" s="421">
        <v>1156</v>
      </c>
      <c r="O8" s="421">
        <v>76296</v>
      </c>
      <c r="P8" s="443">
        <v>1.4735784919653894</v>
      </c>
      <c r="Q8" s="422">
        <v>66</v>
      </c>
    </row>
    <row r="9" spans="1:17" ht="14.4" customHeight="1" x14ac:dyDescent="0.3">
      <c r="A9" s="417" t="s">
        <v>986</v>
      </c>
      <c r="B9" s="418" t="s">
        <v>398</v>
      </c>
      <c r="C9" s="418" t="s">
        <v>987</v>
      </c>
      <c r="D9" s="418" t="s">
        <v>994</v>
      </c>
      <c r="E9" s="418" t="s">
        <v>995</v>
      </c>
      <c r="F9" s="421">
        <v>2</v>
      </c>
      <c r="G9" s="421">
        <v>360</v>
      </c>
      <c r="H9" s="418">
        <v>1</v>
      </c>
      <c r="I9" s="418">
        <v>180</v>
      </c>
      <c r="J9" s="421">
        <v>9</v>
      </c>
      <c r="K9" s="421">
        <v>1656</v>
      </c>
      <c r="L9" s="418">
        <v>4.5999999999999996</v>
      </c>
      <c r="M9" s="418">
        <v>184</v>
      </c>
      <c r="N9" s="421">
        <v>6</v>
      </c>
      <c r="O9" s="421">
        <v>1116</v>
      </c>
      <c r="P9" s="443">
        <v>3.1</v>
      </c>
      <c r="Q9" s="422">
        <v>186</v>
      </c>
    </row>
    <row r="10" spans="1:17" ht="14.4" customHeight="1" x14ac:dyDescent="0.3">
      <c r="A10" s="417" t="s">
        <v>986</v>
      </c>
      <c r="B10" s="418" t="s">
        <v>398</v>
      </c>
      <c r="C10" s="418" t="s">
        <v>987</v>
      </c>
      <c r="D10" s="418" t="s">
        <v>996</v>
      </c>
      <c r="E10" s="418" t="s">
        <v>997</v>
      </c>
      <c r="F10" s="421">
        <v>335</v>
      </c>
      <c r="G10" s="421">
        <v>73365</v>
      </c>
      <c r="H10" s="418">
        <v>1</v>
      </c>
      <c r="I10" s="418">
        <v>219</v>
      </c>
      <c r="J10" s="421">
        <v>335</v>
      </c>
      <c r="K10" s="421">
        <v>74705</v>
      </c>
      <c r="L10" s="418">
        <v>1.0182648401826484</v>
      </c>
      <c r="M10" s="418">
        <v>223</v>
      </c>
      <c r="N10" s="421">
        <v>448</v>
      </c>
      <c r="O10" s="421">
        <v>101696</v>
      </c>
      <c r="P10" s="443">
        <v>1.3861650650855313</v>
      </c>
      <c r="Q10" s="422">
        <v>227</v>
      </c>
    </row>
    <row r="11" spans="1:17" ht="14.4" customHeight="1" x14ac:dyDescent="0.3">
      <c r="A11" s="417" t="s">
        <v>986</v>
      </c>
      <c r="B11" s="418" t="s">
        <v>398</v>
      </c>
      <c r="C11" s="418" t="s">
        <v>987</v>
      </c>
      <c r="D11" s="418" t="s">
        <v>998</v>
      </c>
      <c r="E11" s="418" t="s">
        <v>999</v>
      </c>
      <c r="F11" s="421">
        <v>62</v>
      </c>
      <c r="G11" s="421">
        <v>5208</v>
      </c>
      <c r="H11" s="418">
        <v>1</v>
      </c>
      <c r="I11" s="418">
        <v>84</v>
      </c>
      <c r="J11" s="421">
        <v>92</v>
      </c>
      <c r="K11" s="421">
        <v>7912</v>
      </c>
      <c r="L11" s="418">
        <v>1.5192012288786483</v>
      </c>
      <c r="M11" s="418">
        <v>86</v>
      </c>
      <c r="N11" s="421">
        <v>73</v>
      </c>
      <c r="O11" s="421">
        <v>6278</v>
      </c>
      <c r="P11" s="443">
        <v>1.2054531490015361</v>
      </c>
      <c r="Q11" s="422">
        <v>86</v>
      </c>
    </row>
    <row r="12" spans="1:17" ht="14.4" customHeight="1" x14ac:dyDescent="0.3">
      <c r="A12" s="417" t="s">
        <v>986</v>
      </c>
      <c r="B12" s="418" t="s">
        <v>398</v>
      </c>
      <c r="C12" s="418" t="s">
        <v>987</v>
      </c>
      <c r="D12" s="418" t="s">
        <v>1000</v>
      </c>
      <c r="E12" s="418" t="s">
        <v>1001</v>
      </c>
      <c r="F12" s="421">
        <v>23</v>
      </c>
      <c r="G12" s="421">
        <v>6670</v>
      </c>
      <c r="H12" s="418">
        <v>1</v>
      </c>
      <c r="I12" s="418">
        <v>290</v>
      </c>
      <c r="J12" s="421">
        <v>6</v>
      </c>
      <c r="K12" s="421">
        <v>1752</v>
      </c>
      <c r="L12" s="418">
        <v>0.2626686656671664</v>
      </c>
      <c r="M12" s="418">
        <v>292</v>
      </c>
      <c r="N12" s="421">
        <v>18</v>
      </c>
      <c r="O12" s="421">
        <v>5292</v>
      </c>
      <c r="P12" s="443">
        <v>0.79340329835082457</v>
      </c>
      <c r="Q12" s="422">
        <v>294</v>
      </c>
    </row>
    <row r="13" spans="1:17" ht="14.4" customHeight="1" x14ac:dyDescent="0.3">
      <c r="A13" s="417" t="s">
        <v>986</v>
      </c>
      <c r="B13" s="418" t="s">
        <v>398</v>
      </c>
      <c r="C13" s="418" t="s">
        <v>987</v>
      </c>
      <c r="D13" s="418" t="s">
        <v>1002</v>
      </c>
      <c r="E13" s="418" t="s">
        <v>1003</v>
      </c>
      <c r="F13" s="421">
        <v>293</v>
      </c>
      <c r="G13" s="421">
        <v>341345</v>
      </c>
      <c r="H13" s="418">
        <v>1</v>
      </c>
      <c r="I13" s="418">
        <v>1165</v>
      </c>
      <c r="J13" s="421">
        <v>339</v>
      </c>
      <c r="K13" s="421">
        <v>396291</v>
      </c>
      <c r="L13" s="418">
        <v>1.1609691075012085</v>
      </c>
      <c r="M13" s="418">
        <v>1169</v>
      </c>
      <c r="N13" s="421">
        <v>324</v>
      </c>
      <c r="O13" s="421">
        <v>380052</v>
      </c>
      <c r="P13" s="443">
        <v>1.1133955382384391</v>
      </c>
      <c r="Q13" s="422">
        <v>1173</v>
      </c>
    </row>
    <row r="14" spans="1:17" ht="14.4" customHeight="1" x14ac:dyDescent="0.3">
      <c r="A14" s="417" t="s">
        <v>986</v>
      </c>
      <c r="B14" s="418" t="s">
        <v>398</v>
      </c>
      <c r="C14" s="418" t="s">
        <v>987</v>
      </c>
      <c r="D14" s="418" t="s">
        <v>1004</v>
      </c>
      <c r="E14" s="418" t="s">
        <v>1005</v>
      </c>
      <c r="F14" s="421">
        <v>2894</v>
      </c>
      <c r="G14" s="421">
        <v>112866</v>
      </c>
      <c r="H14" s="418">
        <v>1</v>
      </c>
      <c r="I14" s="418">
        <v>39</v>
      </c>
      <c r="J14" s="421">
        <v>3289</v>
      </c>
      <c r="K14" s="421">
        <v>131560</v>
      </c>
      <c r="L14" s="418">
        <v>1.1656300391614836</v>
      </c>
      <c r="M14" s="418">
        <v>40</v>
      </c>
      <c r="N14" s="421">
        <v>3429</v>
      </c>
      <c r="O14" s="421">
        <v>140589</v>
      </c>
      <c r="P14" s="443">
        <v>1.2456275583435223</v>
      </c>
      <c r="Q14" s="422">
        <v>41</v>
      </c>
    </row>
    <row r="15" spans="1:17" ht="14.4" customHeight="1" x14ac:dyDescent="0.3">
      <c r="A15" s="417" t="s">
        <v>986</v>
      </c>
      <c r="B15" s="418" t="s">
        <v>398</v>
      </c>
      <c r="C15" s="418" t="s">
        <v>987</v>
      </c>
      <c r="D15" s="418" t="s">
        <v>1006</v>
      </c>
      <c r="E15" s="418" t="s">
        <v>1007</v>
      </c>
      <c r="F15" s="421">
        <v>333</v>
      </c>
      <c r="G15" s="421">
        <v>127206</v>
      </c>
      <c r="H15" s="418">
        <v>1</v>
      </c>
      <c r="I15" s="418">
        <v>382</v>
      </c>
      <c r="J15" s="421">
        <v>297</v>
      </c>
      <c r="K15" s="421">
        <v>113751</v>
      </c>
      <c r="L15" s="418">
        <v>0.89422668742040468</v>
      </c>
      <c r="M15" s="418">
        <v>383</v>
      </c>
      <c r="N15" s="421">
        <v>391</v>
      </c>
      <c r="O15" s="421">
        <v>150144</v>
      </c>
      <c r="P15" s="443">
        <v>1.180321682939484</v>
      </c>
      <c r="Q15" s="422">
        <v>384</v>
      </c>
    </row>
    <row r="16" spans="1:17" ht="14.4" customHeight="1" x14ac:dyDescent="0.3">
      <c r="A16" s="417" t="s">
        <v>986</v>
      </c>
      <c r="B16" s="418" t="s">
        <v>398</v>
      </c>
      <c r="C16" s="418" t="s">
        <v>987</v>
      </c>
      <c r="D16" s="418" t="s">
        <v>1008</v>
      </c>
      <c r="E16" s="418" t="s">
        <v>1009</v>
      </c>
      <c r="F16" s="421">
        <v>573</v>
      </c>
      <c r="G16" s="421">
        <v>21201</v>
      </c>
      <c r="H16" s="418">
        <v>1</v>
      </c>
      <c r="I16" s="418">
        <v>37</v>
      </c>
      <c r="J16" s="421">
        <v>422</v>
      </c>
      <c r="K16" s="421">
        <v>15614</v>
      </c>
      <c r="L16" s="418">
        <v>0.7364746945898778</v>
      </c>
      <c r="M16" s="418">
        <v>37</v>
      </c>
      <c r="N16" s="421">
        <v>717</v>
      </c>
      <c r="O16" s="421">
        <v>26529</v>
      </c>
      <c r="P16" s="443">
        <v>1.2513089005235603</v>
      </c>
      <c r="Q16" s="422">
        <v>37</v>
      </c>
    </row>
    <row r="17" spans="1:17" ht="14.4" customHeight="1" x14ac:dyDescent="0.3">
      <c r="A17" s="417" t="s">
        <v>986</v>
      </c>
      <c r="B17" s="418" t="s">
        <v>398</v>
      </c>
      <c r="C17" s="418" t="s">
        <v>987</v>
      </c>
      <c r="D17" s="418" t="s">
        <v>1010</v>
      </c>
      <c r="E17" s="418" t="s">
        <v>1011</v>
      </c>
      <c r="F17" s="421">
        <v>102</v>
      </c>
      <c r="G17" s="421">
        <v>8772</v>
      </c>
      <c r="H17" s="418">
        <v>1</v>
      </c>
      <c r="I17" s="418">
        <v>86</v>
      </c>
      <c r="J17" s="421">
        <v>127</v>
      </c>
      <c r="K17" s="421">
        <v>11176</v>
      </c>
      <c r="L17" s="418">
        <v>1.2740538075695393</v>
      </c>
      <c r="M17" s="418">
        <v>88</v>
      </c>
      <c r="N17" s="421">
        <v>145</v>
      </c>
      <c r="O17" s="421">
        <v>12905</v>
      </c>
      <c r="P17" s="443">
        <v>1.4711582307341542</v>
      </c>
      <c r="Q17" s="422">
        <v>89</v>
      </c>
    </row>
    <row r="18" spans="1:17" ht="14.4" customHeight="1" x14ac:dyDescent="0.3">
      <c r="A18" s="417" t="s">
        <v>986</v>
      </c>
      <c r="B18" s="418" t="s">
        <v>398</v>
      </c>
      <c r="C18" s="418" t="s">
        <v>987</v>
      </c>
      <c r="D18" s="418" t="s">
        <v>1012</v>
      </c>
      <c r="E18" s="418" t="s">
        <v>1013</v>
      </c>
      <c r="F18" s="421">
        <v>935</v>
      </c>
      <c r="G18" s="421">
        <v>415140</v>
      </c>
      <c r="H18" s="418">
        <v>1</v>
      </c>
      <c r="I18" s="418">
        <v>444</v>
      </c>
      <c r="J18" s="421">
        <v>873</v>
      </c>
      <c r="K18" s="421">
        <v>388485</v>
      </c>
      <c r="L18" s="418">
        <v>0.93579274461627404</v>
      </c>
      <c r="M18" s="418">
        <v>445</v>
      </c>
      <c r="N18" s="421">
        <v>1251</v>
      </c>
      <c r="O18" s="421">
        <v>557946</v>
      </c>
      <c r="P18" s="443">
        <v>1.3439947969359733</v>
      </c>
      <c r="Q18" s="422">
        <v>446</v>
      </c>
    </row>
    <row r="19" spans="1:17" ht="14.4" customHeight="1" x14ac:dyDescent="0.3">
      <c r="A19" s="417" t="s">
        <v>986</v>
      </c>
      <c r="B19" s="418" t="s">
        <v>398</v>
      </c>
      <c r="C19" s="418" t="s">
        <v>987</v>
      </c>
      <c r="D19" s="418" t="s">
        <v>1014</v>
      </c>
      <c r="E19" s="418" t="s">
        <v>1015</v>
      </c>
      <c r="F19" s="421">
        <v>103</v>
      </c>
      <c r="G19" s="421">
        <v>4223</v>
      </c>
      <c r="H19" s="418">
        <v>1</v>
      </c>
      <c r="I19" s="418">
        <v>41</v>
      </c>
      <c r="J19" s="421">
        <v>95</v>
      </c>
      <c r="K19" s="421">
        <v>3895</v>
      </c>
      <c r="L19" s="418">
        <v>0.92233009708737868</v>
      </c>
      <c r="M19" s="418">
        <v>41</v>
      </c>
      <c r="N19" s="421">
        <v>142</v>
      </c>
      <c r="O19" s="421">
        <v>5964</v>
      </c>
      <c r="P19" s="443">
        <v>1.4122661614965664</v>
      </c>
      <c r="Q19" s="422">
        <v>42</v>
      </c>
    </row>
    <row r="20" spans="1:17" ht="14.4" customHeight="1" x14ac:dyDescent="0.3">
      <c r="A20" s="417" t="s">
        <v>986</v>
      </c>
      <c r="B20" s="418" t="s">
        <v>398</v>
      </c>
      <c r="C20" s="418" t="s">
        <v>987</v>
      </c>
      <c r="D20" s="418" t="s">
        <v>1016</v>
      </c>
      <c r="E20" s="418" t="s">
        <v>1017</v>
      </c>
      <c r="F20" s="421">
        <v>315</v>
      </c>
      <c r="G20" s="421">
        <v>154350</v>
      </c>
      <c r="H20" s="418">
        <v>1</v>
      </c>
      <c r="I20" s="418">
        <v>490</v>
      </c>
      <c r="J20" s="421">
        <v>396</v>
      </c>
      <c r="K20" s="421">
        <v>194436</v>
      </c>
      <c r="L20" s="418">
        <v>1.2597084548104955</v>
      </c>
      <c r="M20" s="418">
        <v>491</v>
      </c>
      <c r="N20" s="421">
        <v>507</v>
      </c>
      <c r="O20" s="421">
        <v>249444</v>
      </c>
      <c r="P20" s="443">
        <v>1.6160932944606414</v>
      </c>
      <c r="Q20" s="422">
        <v>492</v>
      </c>
    </row>
    <row r="21" spans="1:17" ht="14.4" customHeight="1" x14ac:dyDescent="0.3">
      <c r="A21" s="417" t="s">
        <v>986</v>
      </c>
      <c r="B21" s="418" t="s">
        <v>398</v>
      </c>
      <c r="C21" s="418" t="s">
        <v>987</v>
      </c>
      <c r="D21" s="418" t="s">
        <v>1018</v>
      </c>
      <c r="E21" s="418" t="s">
        <v>1019</v>
      </c>
      <c r="F21" s="421">
        <v>130</v>
      </c>
      <c r="G21" s="421">
        <v>4030</v>
      </c>
      <c r="H21" s="418">
        <v>1</v>
      </c>
      <c r="I21" s="418">
        <v>31</v>
      </c>
      <c r="J21" s="421">
        <v>125</v>
      </c>
      <c r="K21" s="421">
        <v>3875</v>
      </c>
      <c r="L21" s="418">
        <v>0.96153846153846156</v>
      </c>
      <c r="M21" s="418">
        <v>31</v>
      </c>
      <c r="N21" s="421">
        <v>204</v>
      </c>
      <c r="O21" s="421">
        <v>6324</v>
      </c>
      <c r="P21" s="443">
        <v>1.5692307692307692</v>
      </c>
      <c r="Q21" s="422">
        <v>31</v>
      </c>
    </row>
    <row r="22" spans="1:17" ht="14.4" customHeight="1" x14ac:dyDescent="0.3">
      <c r="A22" s="417" t="s">
        <v>986</v>
      </c>
      <c r="B22" s="418" t="s">
        <v>398</v>
      </c>
      <c r="C22" s="418" t="s">
        <v>987</v>
      </c>
      <c r="D22" s="418" t="s">
        <v>1020</v>
      </c>
      <c r="E22" s="418" t="s">
        <v>1021</v>
      </c>
      <c r="F22" s="421">
        <v>111</v>
      </c>
      <c r="G22" s="421">
        <v>22755</v>
      </c>
      <c r="H22" s="418">
        <v>1</v>
      </c>
      <c r="I22" s="418">
        <v>205</v>
      </c>
      <c r="J22" s="421">
        <v>89</v>
      </c>
      <c r="K22" s="421">
        <v>18423</v>
      </c>
      <c r="L22" s="418">
        <v>0.80962425840474617</v>
      </c>
      <c r="M22" s="418">
        <v>207</v>
      </c>
      <c r="N22" s="421">
        <v>136</v>
      </c>
      <c r="O22" s="421">
        <v>28288</v>
      </c>
      <c r="P22" s="443">
        <v>1.2431553504724235</v>
      </c>
      <c r="Q22" s="422">
        <v>208</v>
      </c>
    </row>
    <row r="23" spans="1:17" ht="14.4" customHeight="1" x14ac:dyDescent="0.3">
      <c r="A23" s="417" t="s">
        <v>986</v>
      </c>
      <c r="B23" s="418" t="s">
        <v>398</v>
      </c>
      <c r="C23" s="418" t="s">
        <v>987</v>
      </c>
      <c r="D23" s="418" t="s">
        <v>1022</v>
      </c>
      <c r="E23" s="418" t="s">
        <v>1023</v>
      </c>
      <c r="F23" s="421">
        <v>105</v>
      </c>
      <c r="G23" s="421">
        <v>39585</v>
      </c>
      <c r="H23" s="418">
        <v>1</v>
      </c>
      <c r="I23" s="418">
        <v>377</v>
      </c>
      <c r="J23" s="421">
        <v>88</v>
      </c>
      <c r="K23" s="421">
        <v>33440</v>
      </c>
      <c r="L23" s="418">
        <v>0.84476443097132747</v>
      </c>
      <c r="M23" s="418">
        <v>380</v>
      </c>
      <c r="N23" s="421">
        <v>127</v>
      </c>
      <c r="O23" s="421">
        <v>48768</v>
      </c>
      <c r="P23" s="443">
        <v>1.2319818112921561</v>
      </c>
      <c r="Q23" s="422">
        <v>384</v>
      </c>
    </row>
    <row r="24" spans="1:17" ht="14.4" customHeight="1" x14ac:dyDescent="0.3">
      <c r="A24" s="417" t="s">
        <v>986</v>
      </c>
      <c r="B24" s="418" t="s">
        <v>398</v>
      </c>
      <c r="C24" s="418" t="s">
        <v>987</v>
      </c>
      <c r="D24" s="418" t="s">
        <v>1024</v>
      </c>
      <c r="E24" s="418" t="s">
        <v>1025</v>
      </c>
      <c r="F24" s="421">
        <v>197</v>
      </c>
      <c r="G24" s="421">
        <v>45507</v>
      </c>
      <c r="H24" s="418">
        <v>1</v>
      </c>
      <c r="I24" s="418">
        <v>231</v>
      </c>
      <c r="J24" s="421">
        <v>97</v>
      </c>
      <c r="K24" s="421">
        <v>22698</v>
      </c>
      <c r="L24" s="418">
        <v>0.49878040740984902</v>
      </c>
      <c r="M24" s="418">
        <v>234</v>
      </c>
      <c r="N24" s="421">
        <v>289</v>
      </c>
      <c r="O24" s="421">
        <v>68204</v>
      </c>
      <c r="P24" s="443">
        <v>1.498758432768585</v>
      </c>
      <c r="Q24" s="422">
        <v>236</v>
      </c>
    </row>
    <row r="25" spans="1:17" ht="14.4" customHeight="1" x14ac:dyDescent="0.3">
      <c r="A25" s="417" t="s">
        <v>986</v>
      </c>
      <c r="B25" s="418" t="s">
        <v>398</v>
      </c>
      <c r="C25" s="418" t="s">
        <v>987</v>
      </c>
      <c r="D25" s="418" t="s">
        <v>1026</v>
      </c>
      <c r="E25" s="418" t="s">
        <v>1027</v>
      </c>
      <c r="F25" s="421">
        <v>30</v>
      </c>
      <c r="G25" s="421">
        <v>3870</v>
      </c>
      <c r="H25" s="418">
        <v>1</v>
      </c>
      <c r="I25" s="418">
        <v>129</v>
      </c>
      <c r="J25" s="421">
        <v>93</v>
      </c>
      <c r="K25" s="421">
        <v>12183</v>
      </c>
      <c r="L25" s="418">
        <v>3.1480620155038759</v>
      </c>
      <c r="M25" s="418">
        <v>131</v>
      </c>
      <c r="N25" s="421">
        <v>128</v>
      </c>
      <c r="O25" s="421">
        <v>17536</v>
      </c>
      <c r="P25" s="443">
        <v>4.5312661498708007</v>
      </c>
      <c r="Q25" s="422">
        <v>137</v>
      </c>
    </row>
    <row r="26" spans="1:17" ht="14.4" customHeight="1" x14ac:dyDescent="0.3">
      <c r="A26" s="417" t="s">
        <v>986</v>
      </c>
      <c r="B26" s="418" t="s">
        <v>398</v>
      </c>
      <c r="C26" s="418" t="s">
        <v>987</v>
      </c>
      <c r="D26" s="418" t="s">
        <v>1028</v>
      </c>
      <c r="E26" s="418" t="s">
        <v>1029</v>
      </c>
      <c r="F26" s="421"/>
      <c r="G26" s="421"/>
      <c r="H26" s="418"/>
      <c r="I26" s="418"/>
      <c r="J26" s="421">
        <v>4</v>
      </c>
      <c r="K26" s="421">
        <v>796</v>
      </c>
      <c r="L26" s="418"/>
      <c r="M26" s="418">
        <v>199</v>
      </c>
      <c r="N26" s="421">
        <v>16</v>
      </c>
      <c r="O26" s="421">
        <v>3280</v>
      </c>
      <c r="P26" s="443"/>
      <c r="Q26" s="422">
        <v>205</v>
      </c>
    </row>
    <row r="27" spans="1:17" ht="14.4" customHeight="1" x14ac:dyDescent="0.3">
      <c r="A27" s="417" t="s">
        <v>986</v>
      </c>
      <c r="B27" s="418" t="s">
        <v>398</v>
      </c>
      <c r="C27" s="418" t="s">
        <v>987</v>
      </c>
      <c r="D27" s="418" t="s">
        <v>1030</v>
      </c>
      <c r="E27" s="418" t="s">
        <v>1031</v>
      </c>
      <c r="F27" s="421">
        <v>18</v>
      </c>
      <c r="G27" s="421">
        <v>22014</v>
      </c>
      <c r="H27" s="418">
        <v>1</v>
      </c>
      <c r="I27" s="418">
        <v>1223</v>
      </c>
      <c r="J27" s="421">
        <v>24</v>
      </c>
      <c r="K27" s="421">
        <v>29904</v>
      </c>
      <c r="L27" s="418">
        <v>1.3584082856364132</v>
      </c>
      <c r="M27" s="418">
        <v>1246</v>
      </c>
      <c r="N27" s="421">
        <v>1</v>
      </c>
      <c r="O27" s="421">
        <v>1256</v>
      </c>
      <c r="P27" s="443">
        <v>5.7054601617152721E-2</v>
      </c>
      <c r="Q27" s="422">
        <v>1256</v>
      </c>
    </row>
    <row r="28" spans="1:17" ht="14.4" customHeight="1" x14ac:dyDescent="0.3">
      <c r="A28" s="417" t="s">
        <v>986</v>
      </c>
      <c r="B28" s="418" t="s">
        <v>398</v>
      </c>
      <c r="C28" s="418" t="s">
        <v>987</v>
      </c>
      <c r="D28" s="418" t="s">
        <v>1032</v>
      </c>
      <c r="E28" s="418" t="s">
        <v>1033</v>
      </c>
      <c r="F28" s="421">
        <v>3136</v>
      </c>
      <c r="G28" s="421">
        <v>50176</v>
      </c>
      <c r="H28" s="418">
        <v>1</v>
      </c>
      <c r="I28" s="418">
        <v>16</v>
      </c>
      <c r="J28" s="421">
        <v>3130</v>
      </c>
      <c r="K28" s="421">
        <v>50080</v>
      </c>
      <c r="L28" s="418">
        <v>0.99808673469387754</v>
      </c>
      <c r="M28" s="418">
        <v>16</v>
      </c>
      <c r="N28" s="421">
        <v>4046</v>
      </c>
      <c r="O28" s="421">
        <v>68782</v>
      </c>
      <c r="P28" s="443">
        <v>1.3708147321428572</v>
      </c>
      <c r="Q28" s="422">
        <v>17</v>
      </c>
    </row>
    <row r="29" spans="1:17" ht="14.4" customHeight="1" x14ac:dyDescent="0.3">
      <c r="A29" s="417" t="s">
        <v>986</v>
      </c>
      <c r="B29" s="418" t="s">
        <v>398</v>
      </c>
      <c r="C29" s="418" t="s">
        <v>987</v>
      </c>
      <c r="D29" s="418" t="s">
        <v>1034</v>
      </c>
      <c r="E29" s="418" t="s">
        <v>1035</v>
      </c>
      <c r="F29" s="421">
        <v>107</v>
      </c>
      <c r="G29" s="421">
        <v>14231</v>
      </c>
      <c r="H29" s="418">
        <v>1</v>
      </c>
      <c r="I29" s="418">
        <v>133</v>
      </c>
      <c r="J29" s="421">
        <v>75</v>
      </c>
      <c r="K29" s="421">
        <v>10200</v>
      </c>
      <c r="L29" s="418">
        <v>0.71674513386269412</v>
      </c>
      <c r="M29" s="418">
        <v>136</v>
      </c>
      <c r="N29" s="421">
        <v>154</v>
      </c>
      <c r="O29" s="421">
        <v>21406</v>
      </c>
      <c r="P29" s="443">
        <v>1.5041810132808657</v>
      </c>
      <c r="Q29" s="422">
        <v>139</v>
      </c>
    </row>
    <row r="30" spans="1:17" ht="14.4" customHeight="1" x14ac:dyDescent="0.3">
      <c r="A30" s="417" t="s">
        <v>986</v>
      </c>
      <c r="B30" s="418" t="s">
        <v>398</v>
      </c>
      <c r="C30" s="418" t="s">
        <v>987</v>
      </c>
      <c r="D30" s="418" t="s">
        <v>1036</v>
      </c>
      <c r="E30" s="418" t="s">
        <v>1037</v>
      </c>
      <c r="F30" s="421">
        <v>76</v>
      </c>
      <c r="G30" s="421">
        <v>7752</v>
      </c>
      <c r="H30" s="418">
        <v>1</v>
      </c>
      <c r="I30" s="418">
        <v>102</v>
      </c>
      <c r="J30" s="421">
        <v>52</v>
      </c>
      <c r="K30" s="421">
        <v>5356</v>
      </c>
      <c r="L30" s="418">
        <v>0.69091847265221873</v>
      </c>
      <c r="M30" s="418">
        <v>103</v>
      </c>
      <c r="N30" s="421">
        <v>93</v>
      </c>
      <c r="O30" s="421">
        <v>9579</v>
      </c>
      <c r="P30" s="443">
        <v>1.2356811145510835</v>
      </c>
      <c r="Q30" s="422">
        <v>103</v>
      </c>
    </row>
    <row r="31" spans="1:17" ht="14.4" customHeight="1" x14ac:dyDescent="0.3">
      <c r="A31" s="417" t="s">
        <v>986</v>
      </c>
      <c r="B31" s="418" t="s">
        <v>398</v>
      </c>
      <c r="C31" s="418" t="s">
        <v>987</v>
      </c>
      <c r="D31" s="418" t="s">
        <v>1038</v>
      </c>
      <c r="E31" s="418" t="s">
        <v>1039</v>
      </c>
      <c r="F31" s="421">
        <v>615</v>
      </c>
      <c r="G31" s="421">
        <v>23985</v>
      </c>
      <c r="H31" s="418">
        <v>1</v>
      </c>
      <c r="I31" s="418">
        <v>39</v>
      </c>
      <c r="J31" s="421">
        <v>673</v>
      </c>
      <c r="K31" s="421">
        <v>26920</v>
      </c>
      <c r="L31" s="418">
        <v>1.1223681467583906</v>
      </c>
      <c r="M31" s="418">
        <v>40</v>
      </c>
      <c r="N31" s="421">
        <v>697</v>
      </c>
      <c r="O31" s="421">
        <v>27880</v>
      </c>
      <c r="P31" s="443">
        <v>1.1623931623931625</v>
      </c>
      <c r="Q31" s="422">
        <v>40</v>
      </c>
    </row>
    <row r="32" spans="1:17" ht="14.4" customHeight="1" x14ac:dyDescent="0.3">
      <c r="A32" s="417" t="s">
        <v>986</v>
      </c>
      <c r="B32" s="418" t="s">
        <v>398</v>
      </c>
      <c r="C32" s="418" t="s">
        <v>987</v>
      </c>
      <c r="D32" s="418" t="s">
        <v>1040</v>
      </c>
      <c r="E32" s="418" t="s">
        <v>1041</v>
      </c>
      <c r="F32" s="421">
        <v>1370</v>
      </c>
      <c r="G32" s="421">
        <v>154810</v>
      </c>
      <c r="H32" s="418">
        <v>1</v>
      </c>
      <c r="I32" s="418">
        <v>113</v>
      </c>
      <c r="J32" s="421">
        <v>1335</v>
      </c>
      <c r="K32" s="421">
        <v>154860</v>
      </c>
      <c r="L32" s="418">
        <v>1.0003229765519024</v>
      </c>
      <c r="M32" s="418">
        <v>116</v>
      </c>
      <c r="N32" s="421">
        <v>1658</v>
      </c>
      <c r="O32" s="421">
        <v>193986</v>
      </c>
      <c r="P32" s="443">
        <v>1.253058587946515</v>
      </c>
      <c r="Q32" s="422">
        <v>117</v>
      </c>
    </row>
    <row r="33" spans="1:17" ht="14.4" customHeight="1" x14ac:dyDescent="0.3">
      <c r="A33" s="417" t="s">
        <v>986</v>
      </c>
      <c r="B33" s="418" t="s">
        <v>398</v>
      </c>
      <c r="C33" s="418" t="s">
        <v>987</v>
      </c>
      <c r="D33" s="418" t="s">
        <v>1042</v>
      </c>
      <c r="E33" s="418" t="s">
        <v>1043</v>
      </c>
      <c r="F33" s="421">
        <v>128</v>
      </c>
      <c r="G33" s="421">
        <v>10752</v>
      </c>
      <c r="H33" s="418">
        <v>1</v>
      </c>
      <c r="I33" s="418">
        <v>84</v>
      </c>
      <c r="J33" s="421">
        <v>85</v>
      </c>
      <c r="K33" s="421">
        <v>7225</v>
      </c>
      <c r="L33" s="418">
        <v>0.67196800595238093</v>
      </c>
      <c r="M33" s="418">
        <v>85</v>
      </c>
      <c r="N33" s="421">
        <v>103</v>
      </c>
      <c r="O33" s="421">
        <v>9373</v>
      </c>
      <c r="P33" s="443">
        <v>0.87174479166666663</v>
      </c>
      <c r="Q33" s="422">
        <v>91</v>
      </c>
    </row>
    <row r="34" spans="1:17" ht="14.4" customHeight="1" x14ac:dyDescent="0.3">
      <c r="A34" s="417" t="s">
        <v>986</v>
      </c>
      <c r="B34" s="418" t="s">
        <v>398</v>
      </c>
      <c r="C34" s="418" t="s">
        <v>987</v>
      </c>
      <c r="D34" s="418" t="s">
        <v>1044</v>
      </c>
      <c r="E34" s="418" t="s">
        <v>1045</v>
      </c>
      <c r="F34" s="421">
        <v>422</v>
      </c>
      <c r="G34" s="421">
        <v>40512</v>
      </c>
      <c r="H34" s="418">
        <v>1</v>
      </c>
      <c r="I34" s="418">
        <v>96</v>
      </c>
      <c r="J34" s="421">
        <v>390</v>
      </c>
      <c r="K34" s="421">
        <v>38220</v>
      </c>
      <c r="L34" s="418">
        <v>0.94342417061611372</v>
      </c>
      <c r="M34" s="418">
        <v>98</v>
      </c>
      <c r="N34" s="421">
        <v>500</v>
      </c>
      <c r="O34" s="421">
        <v>49500</v>
      </c>
      <c r="P34" s="443">
        <v>1.2218601895734598</v>
      </c>
      <c r="Q34" s="422">
        <v>99</v>
      </c>
    </row>
    <row r="35" spans="1:17" ht="14.4" customHeight="1" x14ac:dyDescent="0.3">
      <c r="A35" s="417" t="s">
        <v>986</v>
      </c>
      <c r="B35" s="418" t="s">
        <v>398</v>
      </c>
      <c r="C35" s="418" t="s">
        <v>987</v>
      </c>
      <c r="D35" s="418" t="s">
        <v>1046</v>
      </c>
      <c r="E35" s="418" t="s">
        <v>1047</v>
      </c>
      <c r="F35" s="421">
        <v>166</v>
      </c>
      <c r="G35" s="421">
        <v>3486</v>
      </c>
      <c r="H35" s="418">
        <v>1</v>
      </c>
      <c r="I35" s="418">
        <v>21</v>
      </c>
      <c r="J35" s="421">
        <v>345</v>
      </c>
      <c r="K35" s="421">
        <v>7245</v>
      </c>
      <c r="L35" s="418">
        <v>2.0783132530120483</v>
      </c>
      <c r="M35" s="418">
        <v>21</v>
      </c>
      <c r="N35" s="421">
        <v>191</v>
      </c>
      <c r="O35" s="421">
        <v>4011</v>
      </c>
      <c r="P35" s="443">
        <v>1.1506024096385543</v>
      </c>
      <c r="Q35" s="422">
        <v>21</v>
      </c>
    </row>
    <row r="36" spans="1:17" ht="14.4" customHeight="1" x14ac:dyDescent="0.3">
      <c r="A36" s="417" t="s">
        <v>986</v>
      </c>
      <c r="B36" s="418" t="s">
        <v>398</v>
      </c>
      <c r="C36" s="418" t="s">
        <v>987</v>
      </c>
      <c r="D36" s="418" t="s">
        <v>1048</v>
      </c>
      <c r="E36" s="418" t="s">
        <v>1049</v>
      </c>
      <c r="F36" s="421">
        <v>4207</v>
      </c>
      <c r="G36" s="421">
        <v>2044602</v>
      </c>
      <c r="H36" s="418">
        <v>1</v>
      </c>
      <c r="I36" s="418">
        <v>486</v>
      </c>
      <c r="J36" s="421">
        <v>4517</v>
      </c>
      <c r="K36" s="421">
        <v>2199779</v>
      </c>
      <c r="L36" s="418">
        <v>1.0758959445407956</v>
      </c>
      <c r="M36" s="418">
        <v>487</v>
      </c>
      <c r="N36" s="421">
        <v>5331</v>
      </c>
      <c r="O36" s="421">
        <v>2601528</v>
      </c>
      <c r="P36" s="443">
        <v>1.2723884648454808</v>
      </c>
      <c r="Q36" s="422">
        <v>488</v>
      </c>
    </row>
    <row r="37" spans="1:17" ht="14.4" customHeight="1" x14ac:dyDescent="0.3">
      <c r="A37" s="417" t="s">
        <v>986</v>
      </c>
      <c r="B37" s="418" t="s">
        <v>398</v>
      </c>
      <c r="C37" s="418" t="s">
        <v>987</v>
      </c>
      <c r="D37" s="418" t="s">
        <v>1050</v>
      </c>
      <c r="E37" s="418" t="s">
        <v>1051</v>
      </c>
      <c r="F37" s="421">
        <v>549</v>
      </c>
      <c r="G37" s="421">
        <v>175680</v>
      </c>
      <c r="H37" s="418">
        <v>1</v>
      </c>
      <c r="I37" s="418">
        <v>320</v>
      </c>
      <c r="J37" s="421">
        <v>800</v>
      </c>
      <c r="K37" s="421">
        <v>258400</v>
      </c>
      <c r="L37" s="418">
        <v>1.470856102003643</v>
      </c>
      <c r="M37" s="418">
        <v>323</v>
      </c>
      <c r="N37" s="421">
        <v>1104</v>
      </c>
      <c r="O37" s="421">
        <v>357696</v>
      </c>
      <c r="P37" s="443">
        <v>2.0360655737704918</v>
      </c>
      <c r="Q37" s="422">
        <v>324</v>
      </c>
    </row>
    <row r="38" spans="1:17" ht="14.4" customHeight="1" x14ac:dyDescent="0.3">
      <c r="A38" s="417" t="s">
        <v>986</v>
      </c>
      <c r="B38" s="418" t="s">
        <v>398</v>
      </c>
      <c r="C38" s="418" t="s">
        <v>987</v>
      </c>
      <c r="D38" s="418" t="s">
        <v>1052</v>
      </c>
      <c r="E38" s="418" t="s">
        <v>1053</v>
      </c>
      <c r="F38" s="421">
        <v>328</v>
      </c>
      <c r="G38" s="421">
        <v>76752</v>
      </c>
      <c r="H38" s="418">
        <v>1</v>
      </c>
      <c r="I38" s="418">
        <v>234</v>
      </c>
      <c r="J38" s="421">
        <v>370</v>
      </c>
      <c r="K38" s="421">
        <v>86950</v>
      </c>
      <c r="L38" s="418">
        <v>1.1328695017719408</v>
      </c>
      <c r="M38" s="418">
        <v>235</v>
      </c>
      <c r="N38" s="421">
        <v>445</v>
      </c>
      <c r="O38" s="421">
        <v>105020</v>
      </c>
      <c r="P38" s="443">
        <v>1.3683031061079842</v>
      </c>
      <c r="Q38" s="422">
        <v>236</v>
      </c>
    </row>
    <row r="39" spans="1:17" ht="14.4" customHeight="1" x14ac:dyDescent="0.3">
      <c r="A39" s="417" t="s">
        <v>986</v>
      </c>
      <c r="B39" s="418" t="s">
        <v>398</v>
      </c>
      <c r="C39" s="418" t="s">
        <v>987</v>
      </c>
      <c r="D39" s="418" t="s">
        <v>1054</v>
      </c>
      <c r="E39" s="418" t="s">
        <v>1055</v>
      </c>
      <c r="F39" s="421">
        <v>893</v>
      </c>
      <c r="G39" s="421">
        <v>58938</v>
      </c>
      <c r="H39" s="418">
        <v>1</v>
      </c>
      <c r="I39" s="418">
        <v>66</v>
      </c>
      <c r="J39" s="421">
        <v>851</v>
      </c>
      <c r="K39" s="421">
        <v>57017</v>
      </c>
      <c r="L39" s="418">
        <v>0.96740642709287727</v>
      </c>
      <c r="M39" s="418">
        <v>67</v>
      </c>
      <c r="N39" s="421">
        <v>1010</v>
      </c>
      <c r="O39" s="421">
        <v>68680</v>
      </c>
      <c r="P39" s="443">
        <v>1.1652923411042113</v>
      </c>
      <c r="Q39" s="422">
        <v>68</v>
      </c>
    </row>
    <row r="40" spans="1:17" ht="14.4" customHeight="1" x14ac:dyDescent="0.3">
      <c r="A40" s="417" t="s">
        <v>986</v>
      </c>
      <c r="B40" s="418" t="s">
        <v>398</v>
      </c>
      <c r="C40" s="418" t="s">
        <v>987</v>
      </c>
      <c r="D40" s="418" t="s">
        <v>1056</v>
      </c>
      <c r="E40" s="418" t="s">
        <v>1057</v>
      </c>
      <c r="F40" s="421">
        <v>441</v>
      </c>
      <c r="G40" s="421">
        <v>17640</v>
      </c>
      <c r="H40" s="418">
        <v>1</v>
      </c>
      <c r="I40" s="418">
        <v>40</v>
      </c>
      <c r="J40" s="421">
        <v>487</v>
      </c>
      <c r="K40" s="421">
        <v>19967</v>
      </c>
      <c r="L40" s="418">
        <v>1.1319160997732427</v>
      </c>
      <c r="M40" s="418">
        <v>41</v>
      </c>
      <c r="N40" s="421">
        <v>617</v>
      </c>
      <c r="O40" s="421">
        <v>25297</v>
      </c>
      <c r="P40" s="443">
        <v>1.4340702947845805</v>
      </c>
      <c r="Q40" s="422">
        <v>41</v>
      </c>
    </row>
    <row r="41" spans="1:17" ht="14.4" customHeight="1" x14ac:dyDescent="0.3">
      <c r="A41" s="417" t="s">
        <v>986</v>
      </c>
      <c r="B41" s="418" t="s">
        <v>398</v>
      </c>
      <c r="C41" s="418" t="s">
        <v>987</v>
      </c>
      <c r="D41" s="418" t="s">
        <v>1058</v>
      </c>
      <c r="E41" s="418" t="s">
        <v>1059</v>
      </c>
      <c r="F41" s="421">
        <v>762</v>
      </c>
      <c r="G41" s="421">
        <v>54102</v>
      </c>
      <c r="H41" s="418">
        <v>1</v>
      </c>
      <c r="I41" s="418">
        <v>71</v>
      </c>
      <c r="J41" s="421">
        <v>797</v>
      </c>
      <c r="K41" s="421">
        <v>58181</v>
      </c>
      <c r="L41" s="418">
        <v>1.0753946249676536</v>
      </c>
      <c r="M41" s="418">
        <v>73</v>
      </c>
      <c r="N41" s="421">
        <v>731</v>
      </c>
      <c r="O41" s="421">
        <v>54094</v>
      </c>
      <c r="P41" s="443">
        <v>0.99985213115966143</v>
      </c>
      <c r="Q41" s="422">
        <v>74</v>
      </c>
    </row>
    <row r="42" spans="1:17" ht="14.4" customHeight="1" x14ac:dyDescent="0.3">
      <c r="A42" s="417" t="s">
        <v>986</v>
      </c>
      <c r="B42" s="418" t="s">
        <v>398</v>
      </c>
      <c r="C42" s="418" t="s">
        <v>987</v>
      </c>
      <c r="D42" s="418" t="s">
        <v>1060</v>
      </c>
      <c r="E42" s="418" t="s">
        <v>1061</v>
      </c>
      <c r="F42" s="421">
        <v>102</v>
      </c>
      <c r="G42" s="421">
        <v>7344</v>
      </c>
      <c r="H42" s="418">
        <v>1</v>
      </c>
      <c r="I42" s="418">
        <v>72</v>
      </c>
      <c r="J42" s="421">
        <v>95</v>
      </c>
      <c r="K42" s="421">
        <v>6935</v>
      </c>
      <c r="L42" s="418">
        <v>0.94430827886710245</v>
      </c>
      <c r="M42" s="418">
        <v>73</v>
      </c>
      <c r="N42" s="421">
        <v>129</v>
      </c>
      <c r="O42" s="421">
        <v>9546</v>
      </c>
      <c r="P42" s="443">
        <v>1.2998366013071896</v>
      </c>
      <c r="Q42" s="422">
        <v>74</v>
      </c>
    </row>
    <row r="43" spans="1:17" ht="14.4" customHeight="1" x14ac:dyDescent="0.3">
      <c r="A43" s="417" t="s">
        <v>986</v>
      </c>
      <c r="B43" s="418" t="s">
        <v>398</v>
      </c>
      <c r="C43" s="418" t="s">
        <v>987</v>
      </c>
      <c r="D43" s="418" t="s">
        <v>1062</v>
      </c>
      <c r="E43" s="418" t="s">
        <v>1063</v>
      </c>
      <c r="F43" s="421">
        <v>555</v>
      </c>
      <c r="G43" s="421">
        <v>157065</v>
      </c>
      <c r="H43" s="418">
        <v>1</v>
      </c>
      <c r="I43" s="418">
        <v>283</v>
      </c>
      <c r="J43" s="421">
        <v>606</v>
      </c>
      <c r="K43" s="421">
        <v>172104</v>
      </c>
      <c r="L43" s="418">
        <v>1.095750167128259</v>
      </c>
      <c r="M43" s="418">
        <v>284</v>
      </c>
      <c r="N43" s="421">
        <v>710</v>
      </c>
      <c r="O43" s="421">
        <v>202350</v>
      </c>
      <c r="P43" s="443">
        <v>1.2883201222423837</v>
      </c>
      <c r="Q43" s="422">
        <v>285</v>
      </c>
    </row>
    <row r="44" spans="1:17" ht="14.4" customHeight="1" x14ac:dyDescent="0.3">
      <c r="A44" s="417" t="s">
        <v>986</v>
      </c>
      <c r="B44" s="418" t="s">
        <v>398</v>
      </c>
      <c r="C44" s="418" t="s">
        <v>987</v>
      </c>
      <c r="D44" s="418" t="s">
        <v>1064</v>
      </c>
      <c r="E44" s="418" t="s">
        <v>1065</v>
      </c>
      <c r="F44" s="421">
        <v>17</v>
      </c>
      <c r="G44" s="421">
        <v>3655</v>
      </c>
      <c r="H44" s="418">
        <v>1</v>
      </c>
      <c r="I44" s="418">
        <v>215</v>
      </c>
      <c r="J44" s="421">
        <v>15</v>
      </c>
      <c r="K44" s="421">
        <v>3285</v>
      </c>
      <c r="L44" s="418">
        <v>0.89876880984952123</v>
      </c>
      <c r="M44" s="418">
        <v>219</v>
      </c>
      <c r="N44" s="421">
        <v>13</v>
      </c>
      <c r="O44" s="421">
        <v>2899</v>
      </c>
      <c r="P44" s="443">
        <v>0.79316005471956219</v>
      </c>
      <c r="Q44" s="422">
        <v>223</v>
      </c>
    </row>
    <row r="45" spans="1:17" ht="14.4" customHeight="1" x14ac:dyDescent="0.3">
      <c r="A45" s="417" t="s">
        <v>986</v>
      </c>
      <c r="B45" s="418" t="s">
        <v>398</v>
      </c>
      <c r="C45" s="418" t="s">
        <v>987</v>
      </c>
      <c r="D45" s="418" t="s">
        <v>1066</v>
      </c>
      <c r="E45" s="418" t="s">
        <v>1067</v>
      </c>
      <c r="F45" s="421">
        <v>100</v>
      </c>
      <c r="G45" s="421">
        <v>76100</v>
      </c>
      <c r="H45" s="418">
        <v>1</v>
      </c>
      <c r="I45" s="418">
        <v>761</v>
      </c>
      <c r="J45" s="421">
        <v>85</v>
      </c>
      <c r="K45" s="421">
        <v>64770</v>
      </c>
      <c r="L45" s="418">
        <v>0.85111695137976351</v>
      </c>
      <c r="M45" s="418">
        <v>762</v>
      </c>
      <c r="N45" s="421">
        <v>133</v>
      </c>
      <c r="O45" s="421">
        <v>101479</v>
      </c>
      <c r="P45" s="443">
        <v>1.3334954007884363</v>
      </c>
      <c r="Q45" s="422">
        <v>763</v>
      </c>
    </row>
    <row r="46" spans="1:17" ht="14.4" customHeight="1" x14ac:dyDescent="0.3">
      <c r="A46" s="417" t="s">
        <v>986</v>
      </c>
      <c r="B46" s="418" t="s">
        <v>398</v>
      </c>
      <c r="C46" s="418" t="s">
        <v>987</v>
      </c>
      <c r="D46" s="418" t="s">
        <v>1068</v>
      </c>
      <c r="E46" s="418" t="s">
        <v>1069</v>
      </c>
      <c r="F46" s="421">
        <v>110</v>
      </c>
      <c r="G46" s="421">
        <v>223190</v>
      </c>
      <c r="H46" s="418">
        <v>1</v>
      </c>
      <c r="I46" s="418">
        <v>2029</v>
      </c>
      <c r="J46" s="421">
        <v>80</v>
      </c>
      <c r="K46" s="421">
        <v>165760</v>
      </c>
      <c r="L46" s="418">
        <v>0.7426856041937363</v>
      </c>
      <c r="M46" s="418">
        <v>2072</v>
      </c>
      <c r="N46" s="421">
        <v>106</v>
      </c>
      <c r="O46" s="421">
        <v>223872</v>
      </c>
      <c r="P46" s="443">
        <v>1.0030556924593397</v>
      </c>
      <c r="Q46" s="422">
        <v>2112</v>
      </c>
    </row>
    <row r="47" spans="1:17" ht="14.4" customHeight="1" x14ac:dyDescent="0.3">
      <c r="A47" s="417" t="s">
        <v>986</v>
      </c>
      <c r="B47" s="418" t="s">
        <v>398</v>
      </c>
      <c r="C47" s="418" t="s">
        <v>987</v>
      </c>
      <c r="D47" s="418" t="s">
        <v>1070</v>
      </c>
      <c r="E47" s="418" t="s">
        <v>1071</v>
      </c>
      <c r="F47" s="421">
        <v>39</v>
      </c>
      <c r="G47" s="421">
        <v>23556</v>
      </c>
      <c r="H47" s="418">
        <v>1</v>
      </c>
      <c r="I47" s="418">
        <v>604</v>
      </c>
      <c r="J47" s="421">
        <v>25</v>
      </c>
      <c r="K47" s="421">
        <v>15200</v>
      </c>
      <c r="L47" s="418">
        <v>0.6452708439463406</v>
      </c>
      <c r="M47" s="418">
        <v>608</v>
      </c>
      <c r="N47" s="421">
        <v>44</v>
      </c>
      <c r="O47" s="421">
        <v>27016</v>
      </c>
      <c r="P47" s="443">
        <v>1.1468840210562066</v>
      </c>
      <c r="Q47" s="422">
        <v>614</v>
      </c>
    </row>
    <row r="48" spans="1:17" ht="14.4" customHeight="1" x14ac:dyDescent="0.3">
      <c r="A48" s="417" t="s">
        <v>986</v>
      </c>
      <c r="B48" s="418" t="s">
        <v>398</v>
      </c>
      <c r="C48" s="418" t="s">
        <v>987</v>
      </c>
      <c r="D48" s="418" t="s">
        <v>1072</v>
      </c>
      <c r="E48" s="418" t="s">
        <v>1073</v>
      </c>
      <c r="F48" s="421">
        <v>7</v>
      </c>
      <c r="G48" s="421">
        <v>6727</v>
      </c>
      <c r="H48" s="418">
        <v>1</v>
      </c>
      <c r="I48" s="418">
        <v>961</v>
      </c>
      <c r="J48" s="421">
        <v>6</v>
      </c>
      <c r="K48" s="421">
        <v>5772</v>
      </c>
      <c r="L48" s="418">
        <v>0.85803478519399434</v>
      </c>
      <c r="M48" s="418">
        <v>962</v>
      </c>
      <c r="N48" s="421">
        <v>17</v>
      </c>
      <c r="O48" s="421">
        <v>16371</v>
      </c>
      <c r="P48" s="443">
        <v>2.4336256875278726</v>
      </c>
      <c r="Q48" s="422">
        <v>963</v>
      </c>
    </row>
    <row r="49" spans="1:17" ht="14.4" customHeight="1" x14ac:dyDescent="0.3">
      <c r="A49" s="417" t="s">
        <v>986</v>
      </c>
      <c r="B49" s="418" t="s">
        <v>398</v>
      </c>
      <c r="C49" s="418" t="s">
        <v>987</v>
      </c>
      <c r="D49" s="418" t="s">
        <v>1074</v>
      </c>
      <c r="E49" s="418" t="s">
        <v>1075</v>
      </c>
      <c r="F49" s="421">
        <v>29</v>
      </c>
      <c r="G49" s="421">
        <v>14674</v>
      </c>
      <c r="H49" s="418">
        <v>1</v>
      </c>
      <c r="I49" s="418">
        <v>506</v>
      </c>
      <c r="J49" s="421">
        <v>1</v>
      </c>
      <c r="K49" s="421">
        <v>509</v>
      </c>
      <c r="L49" s="418">
        <v>3.4687201853618642E-2</v>
      </c>
      <c r="M49" s="418">
        <v>509</v>
      </c>
      <c r="N49" s="421"/>
      <c r="O49" s="421"/>
      <c r="P49" s="443"/>
      <c r="Q49" s="422"/>
    </row>
    <row r="50" spans="1:17" ht="14.4" customHeight="1" x14ac:dyDescent="0.3">
      <c r="A50" s="417" t="s">
        <v>986</v>
      </c>
      <c r="B50" s="418" t="s">
        <v>398</v>
      </c>
      <c r="C50" s="418" t="s">
        <v>987</v>
      </c>
      <c r="D50" s="418" t="s">
        <v>1076</v>
      </c>
      <c r="E50" s="418" t="s">
        <v>1077</v>
      </c>
      <c r="F50" s="421">
        <v>21</v>
      </c>
      <c r="G50" s="421">
        <v>35805</v>
      </c>
      <c r="H50" s="418">
        <v>1</v>
      </c>
      <c r="I50" s="418">
        <v>1705</v>
      </c>
      <c r="J50" s="421">
        <v>38</v>
      </c>
      <c r="K50" s="421">
        <v>66196</v>
      </c>
      <c r="L50" s="418">
        <v>1.8487920681469068</v>
      </c>
      <c r="M50" s="418">
        <v>1742</v>
      </c>
      <c r="N50" s="421">
        <v>15</v>
      </c>
      <c r="O50" s="421">
        <v>26400</v>
      </c>
      <c r="P50" s="443">
        <v>0.73732718894009219</v>
      </c>
      <c r="Q50" s="422">
        <v>1760</v>
      </c>
    </row>
    <row r="51" spans="1:17" ht="14.4" customHeight="1" x14ac:dyDescent="0.3">
      <c r="A51" s="417" t="s">
        <v>986</v>
      </c>
      <c r="B51" s="418" t="s">
        <v>398</v>
      </c>
      <c r="C51" s="418" t="s">
        <v>987</v>
      </c>
      <c r="D51" s="418" t="s">
        <v>1078</v>
      </c>
      <c r="E51" s="418" t="s">
        <v>1079</v>
      </c>
      <c r="F51" s="421">
        <v>140</v>
      </c>
      <c r="G51" s="421">
        <v>68180</v>
      </c>
      <c r="H51" s="418">
        <v>1</v>
      </c>
      <c r="I51" s="418">
        <v>487</v>
      </c>
      <c r="J51" s="421">
        <v>94</v>
      </c>
      <c r="K51" s="421">
        <v>46060</v>
      </c>
      <c r="L51" s="418">
        <v>0.67556468172484596</v>
      </c>
      <c r="M51" s="418">
        <v>490</v>
      </c>
      <c r="N51" s="421">
        <v>136</v>
      </c>
      <c r="O51" s="421">
        <v>66912</v>
      </c>
      <c r="P51" s="443">
        <v>0.9814021707245526</v>
      </c>
      <c r="Q51" s="422">
        <v>492</v>
      </c>
    </row>
    <row r="52" spans="1:17" ht="14.4" customHeight="1" x14ac:dyDescent="0.3">
      <c r="A52" s="417" t="s">
        <v>986</v>
      </c>
      <c r="B52" s="418" t="s">
        <v>398</v>
      </c>
      <c r="C52" s="418" t="s">
        <v>987</v>
      </c>
      <c r="D52" s="418" t="s">
        <v>1080</v>
      </c>
      <c r="E52" s="418" t="s">
        <v>1081</v>
      </c>
      <c r="F52" s="421">
        <v>105</v>
      </c>
      <c r="G52" s="421">
        <v>10080</v>
      </c>
      <c r="H52" s="418">
        <v>1</v>
      </c>
      <c r="I52" s="418">
        <v>96</v>
      </c>
      <c r="J52" s="421">
        <v>89</v>
      </c>
      <c r="K52" s="421">
        <v>8722</v>
      </c>
      <c r="L52" s="418">
        <v>0.86527777777777781</v>
      </c>
      <c r="M52" s="418">
        <v>98</v>
      </c>
      <c r="N52" s="421">
        <v>142</v>
      </c>
      <c r="O52" s="421">
        <v>14058</v>
      </c>
      <c r="P52" s="443">
        <v>1.3946428571428571</v>
      </c>
      <c r="Q52" s="422">
        <v>99</v>
      </c>
    </row>
    <row r="53" spans="1:17" ht="14.4" customHeight="1" x14ac:dyDescent="0.3">
      <c r="A53" s="417" t="s">
        <v>986</v>
      </c>
      <c r="B53" s="418" t="s">
        <v>398</v>
      </c>
      <c r="C53" s="418" t="s">
        <v>987</v>
      </c>
      <c r="D53" s="418" t="s">
        <v>1082</v>
      </c>
      <c r="E53" s="418" t="s">
        <v>1083</v>
      </c>
      <c r="F53" s="421">
        <v>197</v>
      </c>
      <c r="G53" s="421">
        <v>48265</v>
      </c>
      <c r="H53" s="418">
        <v>1</v>
      </c>
      <c r="I53" s="418">
        <v>245</v>
      </c>
      <c r="J53" s="421">
        <v>97</v>
      </c>
      <c r="K53" s="421">
        <v>24056</v>
      </c>
      <c r="L53" s="418">
        <v>0.49841500051797366</v>
      </c>
      <c r="M53" s="418">
        <v>248</v>
      </c>
      <c r="N53" s="421">
        <v>289</v>
      </c>
      <c r="O53" s="421">
        <v>71961</v>
      </c>
      <c r="P53" s="443">
        <v>1.490956179426085</v>
      </c>
      <c r="Q53" s="422">
        <v>249</v>
      </c>
    </row>
    <row r="54" spans="1:17" ht="14.4" customHeight="1" x14ac:dyDescent="0.3">
      <c r="A54" s="417" t="s">
        <v>986</v>
      </c>
      <c r="B54" s="418" t="s">
        <v>398</v>
      </c>
      <c r="C54" s="418" t="s">
        <v>987</v>
      </c>
      <c r="D54" s="418" t="s">
        <v>1084</v>
      </c>
      <c r="E54" s="418" t="s">
        <v>1085</v>
      </c>
      <c r="F54" s="421">
        <v>121</v>
      </c>
      <c r="G54" s="421">
        <v>18150</v>
      </c>
      <c r="H54" s="418">
        <v>1</v>
      </c>
      <c r="I54" s="418">
        <v>150</v>
      </c>
      <c r="J54" s="421">
        <v>126</v>
      </c>
      <c r="K54" s="421">
        <v>19278</v>
      </c>
      <c r="L54" s="418">
        <v>1.0621487603305786</v>
      </c>
      <c r="M54" s="418">
        <v>153</v>
      </c>
      <c r="N54" s="421">
        <v>100</v>
      </c>
      <c r="O54" s="421">
        <v>15400</v>
      </c>
      <c r="P54" s="443">
        <v>0.84848484848484851</v>
      </c>
      <c r="Q54" s="422">
        <v>154</v>
      </c>
    </row>
    <row r="55" spans="1:17" ht="14.4" customHeight="1" x14ac:dyDescent="0.3">
      <c r="A55" s="417" t="s">
        <v>986</v>
      </c>
      <c r="B55" s="418" t="s">
        <v>398</v>
      </c>
      <c r="C55" s="418" t="s">
        <v>987</v>
      </c>
      <c r="D55" s="418" t="s">
        <v>1086</v>
      </c>
      <c r="E55" s="418" t="s">
        <v>1087</v>
      </c>
      <c r="F55" s="421">
        <v>34</v>
      </c>
      <c r="G55" s="421">
        <v>18020</v>
      </c>
      <c r="H55" s="418">
        <v>1</v>
      </c>
      <c r="I55" s="418">
        <v>530</v>
      </c>
      <c r="J55" s="421">
        <v>35</v>
      </c>
      <c r="K55" s="421">
        <v>18585</v>
      </c>
      <c r="L55" s="418">
        <v>1.0313540510543839</v>
      </c>
      <c r="M55" s="418">
        <v>531</v>
      </c>
      <c r="N55" s="421">
        <v>25</v>
      </c>
      <c r="O55" s="421">
        <v>13300</v>
      </c>
      <c r="P55" s="443">
        <v>0.7380688124306326</v>
      </c>
      <c r="Q55" s="422">
        <v>532</v>
      </c>
    </row>
    <row r="56" spans="1:17" ht="14.4" customHeight="1" x14ac:dyDescent="0.3">
      <c r="A56" s="417" t="s">
        <v>986</v>
      </c>
      <c r="B56" s="418" t="s">
        <v>398</v>
      </c>
      <c r="C56" s="418" t="s">
        <v>987</v>
      </c>
      <c r="D56" s="418" t="s">
        <v>1088</v>
      </c>
      <c r="E56" s="418" t="s">
        <v>1089</v>
      </c>
      <c r="F56" s="421">
        <v>16</v>
      </c>
      <c r="G56" s="421">
        <v>2432</v>
      </c>
      <c r="H56" s="418">
        <v>1</v>
      </c>
      <c r="I56" s="418">
        <v>152</v>
      </c>
      <c r="J56" s="421">
        <v>30</v>
      </c>
      <c r="K56" s="421">
        <v>4560</v>
      </c>
      <c r="L56" s="418">
        <v>1.875</v>
      </c>
      <c r="M56" s="418">
        <v>152</v>
      </c>
      <c r="N56" s="421"/>
      <c r="O56" s="421"/>
      <c r="P56" s="443"/>
      <c r="Q56" s="422"/>
    </row>
    <row r="57" spans="1:17" ht="14.4" customHeight="1" x14ac:dyDescent="0.3">
      <c r="A57" s="417" t="s">
        <v>986</v>
      </c>
      <c r="B57" s="418" t="s">
        <v>398</v>
      </c>
      <c r="C57" s="418" t="s">
        <v>987</v>
      </c>
      <c r="D57" s="418" t="s">
        <v>1090</v>
      </c>
      <c r="E57" s="418" t="s">
        <v>1091</v>
      </c>
      <c r="F57" s="421">
        <v>2</v>
      </c>
      <c r="G57" s="421">
        <v>54</v>
      </c>
      <c r="H57" s="418">
        <v>1</v>
      </c>
      <c r="I57" s="418">
        <v>27</v>
      </c>
      <c r="J57" s="421">
        <v>1</v>
      </c>
      <c r="K57" s="421">
        <v>27</v>
      </c>
      <c r="L57" s="418">
        <v>0.5</v>
      </c>
      <c r="M57" s="418">
        <v>27</v>
      </c>
      <c r="N57" s="421">
        <v>4</v>
      </c>
      <c r="O57" s="421">
        <v>108</v>
      </c>
      <c r="P57" s="443">
        <v>2</v>
      </c>
      <c r="Q57" s="422">
        <v>27</v>
      </c>
    </row>
    <row r="58" spans="1:17" ht="14.4" customHeight="1" x14ac:dyDescent="0.3">
      <c r="A58" s="417" t="s">
        <v>986</v>
      </c>
      <c r="B58" s="418" t="s">
        <v>398</v>
      </c>
      <c r="C58" s="418" t="s">
        <v>987</v>
      </c>
      <c r="D58" s="418" t="s">
        <v>1092</v>
      </c>
      <c r="E58" s="418" t="s">
        <v>1093</v>
      </c>
      <c r="F58" s="421"/>
      <c r="G58" s="421"/>
      <c r="H58" s="418"/>
      <c r="I58" s="418"/>
      <c r="J58" s="421">
        <v>2</v>
      </c>
      <c r="K58" s="421">
        <v>82</v>
      </c>
      <c r="L58" s="418"/>
      <c r="M58" s="418">
        <v>41</v>
      </c>
      <c r="N58" s="421">
        <v>6</v>
      </c>
      <c r="O58" s="421">
        <v>252</v>
      </c>
      <c r="P58" s="443"/>
      <c r="Q58" s="422">
        <v>42</v>
      </c>
    </row>
    <row r="59" spans="1:17" ht="14.4" customHeight="1" x14ac:dyDescent="0.3">
      <c r="A59" s="417" t="s">
        <v>986</v>
      </c>
      <c r="B59" s="418" t="s">
        <v>398</v>
      </c>
      <c r="C59" s="418" t="s">
        <v>987</v>
      </c>
      <c r="D59" s="418" t="s">
        <v>1094</v>
      </c>
      <c r="E59" s="418" t="s">
        <v>1095</v>
      </c>
      <c r="F59" s="421"/>
      <c r="G59" s="421"/>
      <c r="H59" s="418"/>
      <c r="I59" s="418"/>
      <c r="J59" s="421">
        <v>1</v>
      </c>
      <c r="K59" s="421">
        <v>29</v>
      </c>
      <c r="L59" s="418"/>
      <c r="M59" s="418">
        <v>29</v>
      </c>
      <c r="N59" s="421"/>
      <c r="O59" s="421"/>
      <c r="P59" s="443"/>
      <c r="Q59" s="422"/>
    </row>
    <row r="60" spans="1:17" ht="14.4" customHeight="1" x14ac:dyDescent="0.3">
      <c r="A60" s="417" t="s">
        <v>986</v>
      </c>
      <c r="B60" s="418" t="s">
        <v>398</v>
      </c>
      <c r="C60" s="418" t="s">
        <v>987</v>
      </c>
      <c r="D60" s="418" t="s">
        <v>1096</v>
      </c>
      <c r="E60" s="418" t="s">
        <v>1097</v>
      </c>
      <c r="F60" s="421"/>
      <c r="G60" s="421"/>
      <c r="H60" s="418"/>
      <c r="I60" s="418"/>
      <c r="J60" s="421">
        <v>1</v>
      </c>
      <c r="K60" s="421">
        <v>118</v>
      </c>
      <c r="L60" s="418"/>
      <c r="M60" s="418">
        <v>118</v>
      </c>
      <c r="N60" s="421">
        <v>5</v>
      </c>
      <c r="O60" s="421">
        <v>595</v>
      </c>
      <c r="P60" s="443"/>
      <c r="Q60" s="422">
        <v>119</v>
      </c>
    </row>
    <row r="61" spans="1:17" ht="14.4" customHeight="1" thickBot="1" x14ac:dyDescent="0.35">
      <c r="A61" s="423" t="s">
        <v>986</v>
      </c>
      <c r="B61" s="424" t="s">
        <v>398</v>
      </c>
      <c r="C61" s="424" t="s">
        <v>987</v>
      </c>
      <c r="D61" s="424" t="s">
        <v>1098</v>
      </c>
      <c r="E61" s="424" t="s">
        <v>1099</v>
      </c>
      <c r="F61" s="427"/>
      <c r="G61" s="427"/>
      <c r="H61" s="424"/>
      <c r="I61" s="424"/>
      <c r="J61" s="427">
        <v>1</v>
      </c>
      <c r="K61" s="427">
        <v>269</v>
      </c>
      <c r="L61" s="424"/>
      <c r="M61" s="424">
        <v>269</v>
      </c>
      <c r="N61" s="427"/>
      <c r="O61" s="427"/>
      <c r="P61" s="435"/>
      <c r="Q61" s="428"/>
    </row>
  </sheetData>
  <autoFilter ref="A5:Q5"/>
  <mergeCells count="11">
    <mergeCell ref="Q4:Q5"/>
    <mergeCell ref="A1:Q1"/>
    <mergeCell ref="A4:A5"/>
    <mergeCell ref="C4:C5"/>
    <mergeCell ref="E4:E5"/>
    <mergeCell ref="F4:G4"/>
    <mergeCell ref="J4:K4"/>
    <mergeCell ref="N4:O4"/>
    <mergeCell ref="P4:P5"/>
    <mergeCell ref="D4:D5"/>
    <mergeCell ref="B4:B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pageSetUpPr fitToPage="1"/>
  </sheetPr>
  <dimension ref="A1:S32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x14ac:dyDescent="0.3"/>
  <cols>
    <col min="1" max="1" width="46.6640625" style="116" bestFit="1" customWidth="1"/>
    <col min="2" max="2" width="7.77734375" style="92" customWidth="1"/>
    <col min="3" max="3" width="0.109375" style="116" hidden="1" customWidth="1"/>
    <col min="4" max="4" width="7.77734375" style="92" customWidth="1"/>
    <col min="5" max="5" width="5.44140625" style="116" hidden="1" customWidth="1"/>
    <col min="6" max="6" width="7.77734375" style="92" customWidth="1"/>
    <col min="7" max="7" width="7.77734375" style="194" customWidth="1"/>
    <col min="8" max="8" width="7.77734375" style="92" customWidth="1"/>
    <col min="9" max="9" width="5.44140625" style="116" hidden="1" customWidth="1"/>
    <col min="10" max="10" width="7.77734375" style="92" customWidth="1"/>
    <col min="11" max="11" width="5.44140625" style="116" hidden="1" customWidth="1"/>
    <col min="12" max="12" width="7.77734375" style="92" customWidth="1"/>
    <col min="13" max="13" width="7.77734375" style="194" customWidth="1"/>
    <col min="14" max="14" width="7.77734375" style="92" customWidth="1"/>
    <col min="15" max="15" width="5" style="116" hidden="1" customWidth="1"/>
    <col min="16" max="16" width="7.77734375" style="92" customWidth="1"/>
    <col min="17" max="17" width="5" style="116" hidden="1" customWidth="1"/>
    <col min="18" max="18" width="7.77734375" style="92" customWidth="1"/>
    <col min="19" max="19" width="7.77734375" style="194" customWidth="1"/>
    <col min="20" max="16384" width="8.88671875" style="116"/>
  </cols>
  <sheetData>
    <row r="1" spans="1:19" ht="18.600000000000001" customHeight="1" thickBot="1" x14ac:dyDescent="0.4">
      <c r="A1" s="301" t="s">
        <v>112</v>
      </c>
      <c r="B1" s="292"/>
      <c r="C1" s="292"/>
      <c r="D1" s="292"/>
      <c r="E1" s="292"/>
      <c r="F1" s="292"/>
      <c r="G1" s="292"/>
      <c r="H1" s="292"/>
      <c r="I1" s="292"/>
      <c r="J1" s="292"/>
      <c r="K1" s="292"/>
      <c r="L1" s="292"/>
      <c r="M1" s="292"/>
      <c r="N1" s="292"/>
      <c r="O1" s="292"/>
      <c r="P1" s="292"/>
      <c r="Q1" s="292"/>
      <c r="R1" s="292"/>
      <c r="S1" s="292"/>
    </row>
    <row r="2" spans="1:19" ht="14.4" customHeight="1" thickBot="1" x14ac:dyDescent="0.35">
      <c r="A2" s="214" t="s">
        <v>229</v>
      </c>
      <c r="B2" s="206"/>
      <c r="C2" s="97"/>
      <c r="D2" s="206"/>
      <c r="E2" s="97"/>
      <c r="F2" s="206"/>
      <c r="G2" s="207"/>
      <c r="H2" s="206"/>
      <c r="I2" s="97"/>
      <c r="J2" s="206"/>
      <c r="K2" s="97"/>
      <c r="L2" s="206"/>
      <c r="M2" s="207"/>
      <c r="N2" s="206"/>
      <c r="O2" s="97"/>
      <c r="P2" s="206"/>
      <c r="Q2" s="97"/>
      <c r="R2" s="206"/>
      <c r="S2" s="207"/>
    </row>
    <row r="3" spans="1:19" ht="14.4" customHeight="1" thickBot="1" x14ac:dyDescent="0.35">
      <c r="A3" s="200" t="s">
        <v>113</v>
      </c>
      <c r="B3" s="201">
        <f>SUBTOTAL(9,B6:B1048576)</f>
        <v>4586079</v>
      </c>
      <c r="C3" s="202">
        <f t="shared" ref="C3:R3" si="0">SUBTOTAL(9,C6:C1048576)</f>
        <v>26</v>
      </c>
      <c r="D3" s="202">
        <f t="shared" si="0"/>
        <v>4829438</v>
      </c>
      <c r="E3" s="202">
        <f t="shared" si="0"/>
        <v>37.7052228193145</v>
      </c>
      <c r="F3" s="202">
        <f t="shared" si="0"/>
        <v>6309495</v>
      </c>
      <c r="G3" s="205">
        <f>IF(B3&lt;&gt;0,F3/B3,"")</f>
        <v>1.3757929159092113</v>
      </c>
      <c r="H3" s="201">
        <f t="shared" si="0"/>
        <v>0</v>
      </c>
      <c r="I3" s="202">
        <f t="shared" si="0"/>
        <v>0</v>
      </c>
      <c r="J3" s="202">
        <f t="shared" si="0"/>
        <v>0</v>
      </c>
      <c r="K3" s="202">
        <f t="shared" si="0"/>
        <v>0</v>
      </c>
      <c r="L3" s="202">
        <f t="shared" si="0"/>
        <v>0</v>
      </c>
      <c r="M3" s="203" t="str">
        <f>IF(H3&lt;&gt;0,L3/H3,"")</f>
        <v/>
      </c>
      <c r="N3" s="204">
        <f t="shared" si="0"/>
        <v>0</v>
      </c>
      <c r="O3" s="202">
        <f t="shared" si="0"/>
        <v>0</v>
      </c>
      <c r="P3" s="202">
        <f t="shared" si="0"/>
        <v>0</v>
      </c>
      <c r="Q3" s="202">
        <f t="shared" si="0"/>
        <v>0</v>
      </c>
      <c r="R3" s="202">
        <f t="shared" si="0"/>
        <v>0</v>
      </c>
      <c r="S3" s="203" t="str">
        <f>IF(N3&lt;&gt;0,R3/N3,"")</f>
        <v/>
      </c>
    </row>
    <row r="4" spans="1:19" ht="14.4" customHeight="1" x14ac:dyDescent="0.3">
      <c r="A4" s="350" t="s">
        <v>92</v>
      </c>
      <c r="B4" s="351" t="s">
        <v>86</v>
      </c>
      <c r="C4" s="352"/>
      <c r="D4" s="352"/>
      <c r="E4" s="352"/>
      <c r="F4" s="352"/>
      <c r="G4" s="353"/>
      <c r="H4" s="351" t="s">
        <v>87</v>
      </c>
      <c r="I4" s="352"/>
      <c r="J4" s="352"/>
      <c r="K4" s="352"/>
      <c r="L4" s="352"/>
      <c r="M4" s="353"/>
      <c r="N4" s="351" t="s">
        <v>88</v>
      </c>
      <c r="O4" s="352"/>
      <c r="P4" s="352"/>
      <c r="Q4" s="352"/>
      <c r="R4" s="352"/>
      <c r="S4" s="353"/>
    </row>
    <row r="5" spans="1:19" ht="14.4" customHeight="1" thickBot="1" x14ac:dyDescent="0.35">
      <c r="A5" s="500"/>
      <c r="B5" s="501">
        <v>2014</v>
      </c>
      <c r="C5" s="502"/>
      <c r="D5" s="502">
        <v>2015</v>
      </c>
      <c r="E5" s="502"/>
      <c r="F5" s="502">
        <v>2016</v>
      </c>
      <c r="G5" s="503" t="s">
        <v>2</v>
      </c>
      <c r="H5" s="501">
        <v>2014</v>
      </c>
      <c r="I5" s="502"/>
      <c r="J5" s="502">
        <v>2015</v>
      </c>
      <c r="K5" s="502"/>
      <c r="L5" s="502">
        <v>2016</v>
      </c>
      <c r="M5" s="503" t="s">
        <v>2</v>
      </c>
      <c r="N5" s="501">
        <v>2014</v>
      </c>
      <c r="O5" s="502"/>
      <c r="P5" s="502">
        <v>2015</v>
      </c>
      <c r="Q5" s="502"/>
      <c r="R5" s="502">
        <v>2016</v>
      </c>
      <c r="S5" s="503" t="s">
        <v>2</v>
      </c>
    </row>
    <row r="6" spans="1:19" ht="14.4" customHeight="1" x14ac:dyDescent="0.3">
      <c r="A6" s="447" t="s">
        <v>1101</v>
      </c>
      <c r="B6" s="520">
        <v>130825</v>
      </c>
      <c r="C6" s="412">
        <v>1</v>
      </c>
      <c r="D6" s="520">
        <v>196879</v>
      </c>
      <c r="E6" s="412">
        <v>1.5049034970380279</v>
      </c>
      <c r="F6" s="520">
        <v>249435</v>
      </c>
      <c r="G6" s="434">
        <v>1.9066309956048155</v>
      </c>
      <c r="H6" s="520"/>
      <c r="I6" s="412"/>
      <c r="J6" s="520"/>
      <c r="K6" s="412"/>
      <c r="L6" s="520"/>
      <c r="M6" s="434"/>
      <c r="N6" s="520"/>
      <c r="O6" s="412"/>
      <c r="P6" s="520"/>
      <c r="Q6" s="412"/>
      <c r="R6" s="520"/>
      <c r="S6" s="458"/>
    </row>
    <row r="7" spans="1:19" ht="14.4" customHeight="1" x14ac:dyDescent="0.3">
      <c r="A7" s="524" t="s">
        <v>1102</v>
      </c>
      <c r="B7" s="521">
        <v>272244</v>
      </c>
      <c r="C7" s="418">
        <v>1</v>
      </c>
      <c r="D7" s="521">
        <v>236488</v>
      </c>
      <c r="E7" s="418">
        <v>0.86866193561657923</v>
      </c>
      <c r="F7" s="521">
        <v>258459</v>
      </c>
      <c r="G7" s="443">
        <v>0.94936527526777448</v>
      </c>
      <c r="H7" s="521"/>
      <c r="I7" s="418"/>
      <c r="J7" s="521"/>
      <c r="K7" s="418"/>
      <c r="L7" s="521"/>
      <c r="M7" s="443"/>
      <c r="N7" s="521"/>
      <c r="O7" s="418"/>
      <c r="P7" s="521"/>
      <c r="Q7" s="418"/>
      <c r="R7" s="521"/>
      <c r="S7" s="522"/>
    </row>
    <row r="8" spans="1:19" ht="14.4" customHeight="1" x14ac:dyDescent="0.3">
      <c r="A8" s="524" t="s">
        <v>1103</v>
      </c>
      <c r="B8" s="521">
        <v>411917</v>
      </c>
      <c r="C8" s="418">
        <v>1</v>
      </c>
      <c r="D8" s="521">
        <v>337121</v>
      </c>
      <c r="E8" s="418">
        <v>0.81841973018836323</v>
      </c>
      <c r="F8" s="521">
        <v>564464</v>
      </c>
      <c r="G8" s="443">
        <v>1.3703343149226666</v>
      </c>
      <c r="H8" s="521"/>
      <c r="I8" s="418"/>
      <c r="J8" s="521"/>
      <c r="K8" s="418"/>
      <c r="L8" s="521"/>
      <c r="M8" s="443"/>
      <c r="N8" s="521"/>
      <c r="O8" s="418"/>
      <c r="P8" s="521"/>
      <c r="Q8" s="418"/>
      <c r="R8" s="521"/>
      <c r="S8" s="522"/>
    </row>
    <row r="9" spans="1:19" ht="14.4" customHeight="1" x14ac:dyDescent="0.3">
      <c r="A9" s="524" t="s">
        <v>1104</v>
      </c>
      <c r="B9" s="521">
        <v>155519</v>
      </c>
      <c r="C9" s="418">
        <v>1</v>
      </c>
      <c r="D9" s="521">
        <v>124125</v>
      </c>
      <c r="E9" s="418">
        <v>0.79813399005909247</v>
      </c>
      <c r="F9" s="521">
        <v>177498</v>
      </c>
      <c r="G9" s="443">
        <v>1.1413267832226288</v>
      </c>
      <c r="H9" s="521"/>
      <c r="I9" s="418"/>
      <c r="J9" s="521"/>
      <c r="K9" s="418"/>
      <c r="L9" s="521"/>
      <c r="M9" s="443"/>
      <c r="N9" s="521"/>
      <c r="O9" s="418"/>
      <c r="P9" s="521"/>
      <c r="Q9" s="418"/>
      <c r="R9" s="521"/>
      <c r="S9" s="522"/>
    </row>
    <row r="10" spans="1:19" ht="14.4" customHeight="1" x14ac:dyDescent="0.3">
      <c r="A10" s="524" t="s">
        <v>1105</v>
      </c>
      <c r="B10" s="521">
        <v>55195</v>
      </c>
      <c r="C10" s="418">
        <v>1</v>
      </c>
      <c r="D10" s="521">
        <v>20776</v>
      </c>
      <c r="E10" s="418">
        <v>0.37641090678503486</v>
      </c>
      <c r="F10" s="521">
        <v>21911</v>
      </c>
      <c r="G10" s="443">
        <v>0.39697436361989313</v>
      </c>
      <c r="H10" s="521"/>
      <c r="I10" s="418"/>
      <c r="J10" s="521"/>
      <c r="K10" s="418"/>
      <c r="L10" s="521"/>
      <c r="M10" s="443"/>
      <c r="N10" s="521"/>
      <c r="O10" s="418"/>
      <c r="P10" s="521"/>
      <c r="Q10" s="418"/>
      <c r="R10" s="521"/>
      <c r="S10" s="522"/>
    </row>
    <row r="11" spans="1:19" ht="14.4" customHeight="1" x14ac:dyDescent="0.3">
      <c r="A11" s="524" t="s">
        <v>1106</v>
      </c>
      <c r="B11" s="521">
        <v>70716</v>
      </c>
      <c r="C11" s="418">
        <v>1</v>
      </c>
      <c r="D11" s="521">
        <v>81972</v>
      </c>
      <c r="E11" s="418">
        <v>1.1591718988630579</v>
      </c>
      <c r="F11" s="521">
        <v>80718</v>
      </c>
      <c r="G11" s="443">
        <v>1.1414389954182929</v>
      </c>
      <c r="H11" s="521"/>
      <c r="I11" s="418"/>
      <c r="J11" s="521"/>
      <c r="K11" s="418"/>
      <c r="L11" s="521"/>
      <c r="M11" s="443"/>
      <c r="N11" s="521"/>
      <c r="O11" s="418"/>
      <c r="P11" s="521"/>
      <c r="Q11" s="418"/>
      <c r="R11" s="521"/>
      <c r="S11" s="522"/>
    </row>
    <row r="12" spans="1:19" ht="14.4" customHeight="1" x14ac:dyDescent="0.3">
      <c r="A12" s="524" t="s">
        <v>1107</v>
      </c>
      <c r="B12" s="521">
        <v>236307</v>
      </c>
      <c r="C12" s="418">
        <v>1</v>
      </c>
      <c r="D12" s="521">
        <v>186848</v>
      </c>
      <c r="E12" s="418">
        <v>0.79070023317125604</v>
      </c>
      <c r="F12" s="521">
        <v>225941</v>
      </c>
      <c r="G12" s="443">
        <v>0.95613333502604658</v>
      </c>
      <c r="H12" s="521"/>
      <c r="I12" s="418"/>
      <c r="J12" s="521"/>
      <c r="K12" s="418"/>
      <c r="L12" s="521"/>
      <c r="M12" s="443"/>
      <c r="N12" s="521"/>
      <c r="O12" s="418"/>
      <c r="P12" s="521"/>
      <c r="Q12" s="418"/>
      <c r="R12" s="521"/>
      <c r="S12" s="522"/>
    </row>
    <row r="13" spans="1:19" ht="14.4" customHeight="1" x14ac:dyDescent="0.3">
      <c r="A13" s="524" t="s">
        <v>1108</v>
      </c>
      <c r="B13" s="521">
        <v>37298</v>
      </c>
      <c r="C13" s="418">
        <v>1</v>
      </c>
      <c r="D13" s="521">
        <v>38505</v>
      </c>
      <c r="E13" s="418">
        <v>1.0323609845031905</v>
      </c>
      <c r="F13" s="521">
        <v>57163</v>
      </c>
      <c r="G13" s="443">
        <v>1.5326022843047884</v>
      </c>
      <c r="H13" s="521"/>
      <c r="I13" s="418"/>
      <c r="J13" s="521"/>
      <c r="K13" s="418"/>
      <c r="L13" s="521"/>
      <c r="M13" s="443"/>
      <c r="N13" s="521"/>
      <c r="O13" s="418"/>
      <c r="P13" s="521"/>
      <c r="Q13" s="418"/>
      <c r="R13" s="521"/>
      <c r="S13" s="522"/>
    </row>
    <row r="14" spans="1:19" ht="14.4" customHeight="1" x14ac:dyDescent="0.3">
      <c r="A14" s="524" t="s">
        <v>1109</v>
      </c>
      <c r="B14" s="521">
        <v>75551</v>
      </c>
      <c r="C14" s="418">
        <v>1</v>
      </c>
      <c r="D14" s="521">
        <v>89801</v>
      </c>
      <c r="E14" s="418">
        <v>1.1886143135100793</v>
      </c>
      <c r="F14" s="521">
        <v>92353</v>
      </c>
      <c r="G14" s="443">
        <v>1.2223928207436037</v>
      </c>
      <c r="H14" s="521"/>
      <c r="I14" s="418"/>
      <c r="J14" s="521"/>
      <c r="K14" s="418"/>
      <c r="L14" s="521"/>
      <c r="M14" s="443"/>
      <c r="N14" s="521"/>
      <c r="O14" s="418"/>
      <c r="P14" s="521"/>
      <c r="Q14" s="418"/>
      <c r="R14" s="521"/>
      <c r="S14" s="522"/>
    </row>
    <row r="15" spans="1:19" ht="14.4" customHeight="1" x14ac:dyDescent="0.3">
      <c r="A15" s="524" t="s">
        <v>1110</v>
      </c>
      <c r="B15" s="521">
        <v>466329</v>
      </c>
      <c r="C15" s="418">
        <v>1</v>
      </c>
      <c r="D15" s="521">
        <v>585810</v>
      </c>
      <c r="E15" s="418">
        <v>1.2562161049387879</v>
      </c>
      <c r="F15" s="521">
        <v>755130</v>
      </c>
      <c r="G15" s="443">
        <v>1.6193073988535991</v>
      </c>
      <c r="H15" s="521"/>
      <c r="I15" s="418"/>
      <c r="J15" s="521"/>
      <c r="K15" s="418"/>
      <c r="L15" s="521"/>
      <c r="M15" s="443"/>
      <c r="N15" s="521"/>
      <c r="O15" s="418"/>
      <c r="P15" s="521"/>
      <c r="Q15" s="418"/>
      <c r="R15" s="521"/>
      <c r="S15" s="522"/>
    </row>
    <row r="16" spans="1:19" ht="14.4" customHeight="1" x14ac:dyDescent="0.3">
      <c r="A16" s="524" t="s">
        <v>1111</v>
      </c>
      <c r="B16" s="521">
        <v>128188</v>
      </c>
      <c r="C16" s="418">
        <v>1</v>
      </c>
      <c r="D16" s="521">
        <v>97082</v>
      </c>
      <c r="E16" s="418">
        <v>0.75734078072830535</v>
      </c>
      <c r="F16" s="521">
        <v>126061</v>
      </c>
      <c r="G16" s="443">
        <v>0.98340718319967546</v>
      </c>
      <c r="H16" s="521"/>
      <c r="I16" s="418"/>
      <c r="J16" s="521"/>
      <c r="K16" s="418"/>
      <c r="L16" s="521"/>
      <c r="M16" s="443"/>
      <c r="N16" s="521"/>
      <c r="O16" s="418"/>
      <c r="P16" s="521"/>
      <c r="Q16" s="418"/>
      <c r="R16" s="521"/>
      <c r="S16" s="522"/>
    </row>
    <row r="17" spans="1:19" ht="14.4" customHeight="1" x14ac:dyDescent="0.3">
      <c r="A17" s="524" t="s">
        <v>1112</v>
      </c>
      <c r="B17" s="521">
        <v>23979</v>
      </c>
      <c r="C17" s="418">
        <v>1</v>
      </c>
      <c r="D17" s="521">
        <v>31056</v>
      </c>
      <c r="E17" s="418">
        <v>1.2951332415863881</v>
      </c>
      <c r="F17" s="521">
        <v>25806</v>
      </c>
      <c r="G17" s="443">
        <v>1.0761916677092456</v>
      </c>
      <c r="H17" s="521"/>
      <c r="I17" s="418"/>
      <c r="J17" s="521"/>
      <c r="K17" s="418"/>
      <c r="L17" s="521"/>
      <c r="M17" s="443"/>
      <c r="N17" s="521"/>
      <c r="O17" s="418"/>
      <c r="P17" s="521"/>
      <c r="Q17" s="418"/>
      <c r="R17" s="521"/>
      <c r="S17" s="522"/>
    </row>
    <row r="18" spans="1:19" ht="14.4" customHeight="1" x14ac:dyDescent="0.3">
      <c r="A18" s="524" t="s">
        <v>1113</v>
      </c>
      <c r="B18" s="521">
        <v>21792</v>
      </c>
      <c r="C18" s="418">
        <v>1</v>
      </c>
      <c r="D18" s="521">
        <v>3048</v>
      </c>
      <c r="E18" s="418">
        <v>0.13986784140969163</v>
      </c>
      <c r="F18" s="521">
        <v>13410</v>
      </c>
      <c r="G18" s="443">
        <v>0.61536343612334798</v>
      </c>
      <c r="H18" s="521"/>
      <c r="I18" s="418"/>
      <c r="J18" s="521"/>
      <c r="K18" s="418"/>
      <c r="L18" s="521"/>
      <c r="M18" s="443"/>
      <c r="N18" s="521"/>
      <c r="O18" s="418"/>
      <c r="P18" s="521"/>
      <c r="Q18" s="418"/>
      <c r="R18" s="521"/>
      <c r="S18" s="522"/>
    </row>
    <row r="19" spans="1:19" ht="14.4" customHeight="1" x14ac:dyDescent="0.3">
      <c r="A19" s="524" t="s">
        <v>1114</v>
      </c>
      <c r="B19" s="521">
        <v>5604</v>
      </c>
      <c r="C19" s="418">
        <v>1</v>
      </c>
      <c r="D19" s="521">
        <v>10946</v>
      </c>
      <c r="E19" s="418">
        <v>1.9532476802284082</v>
      </c>
      <c r="F19" s="521">
        <v>15040</v>
      </c>
      <c r="G19" s="443">
        <v>2.6837972876516774</v>
      </c>
      <c r="H19" s="521"/>
      <c r="I19" s="418"/>
      <c r="J19" s="521"/>
      <c r="K19" s="418"/>
      <c r="L19" s="521"/>
      <c r="M19" s="443"/>
      <c r="N19" s="521"/>
      <c r="O19" s="418"/>
      <c r="P19" s="521"/>
      <c r="Q19" s="418"/>
      <c r="R19" s="521"/>
      <c r="S19" s="522"/>
    </row>
    <row r="20" spans="1:19" ht="14.4" customHeight="1" x14ac:dyDescent="0.3">
      <c r="A20" s="524" t="s">
        <v>1115</v>
      </c>
      <c r="B20" s="521">
        <v>616196</v>
      </c>
      <c r="C20" s="418">
        <v>1</v>
      </c>
      <c r="D20" s="521">
        <v>822449</v>
      </c>
      <c r="E20" s="418">
        <v>1.3347197969477245</v>
      </c>
      <c r="F20" s="521">
        <v>1086612</v>
      </c>
      <c r="G20" s="443">
        <v>1.7634194314795941</v>
      </c>
      <c r="H20" s="521"/>
      <c r="I20" s="418"/>
      <c r="J20" s="521"/>
      <c r="K20" s="418"/>
      <c r="L20" s="521"/>
      <c r="M20" s="443"/>
      <c r="N20" s="521"/>
      <c r="O20" s="418"/>
      <c r="P20" s="521"/>
      <c r="Q20" s="418"/>
      <c r="R20" s="521"/>
      <c r="S20" s="522"/>
    </row>
    <row r="21" spans="1:19" ht="14.4" customHeight="1" x14ac:dyDescent="0.3">
      <c r="A21" s="524" t="s">
        <v>1116</v>
      </c>
      <c r="B21" s="521">
        <v>845535</v>
      </c>
      <c r="C21" s="418">
        <v>1</v>
      </c>
      <c r="D21" s="521">
        <v>887212</v>
      </c>
      <c r="E21" s="418">
        <v>1.0492906857788264</v>
      </c>
      <c r="F21" s="521">
        <v>1200469</v>
      </c>
      <c r="G21" s="443">
        <v>1.4197744623226713</v>
      </c>
      <c r="H21" s="521"/>
      <c r="I21" s="418"/>
      <c r="J21" s="521"/>
      <c r="K21" s="418"/>
      <c r="L21" s="521"/>
      <c r="M21" s="443"/>
      <c r="N21" s="521"/>
      <c r="O21" s="418"/>
      <c r="P21" s="521"/>
      <c r="Q21" s="418"/>
      <c r="R21" s="521"/>
      <c r="S21" s="522"/>
    </row>
    <row r="22" spans="1:19" ht="14.4" customHeight="1" x14ac:dyDescent="0.3">
      <c r="A22" s="524" t="s">
        <v>1117</v>
      </c>
      <c r="B22" s="521">
        <v>2129</v>
      </c>
      <c r="C22" s="418">
        <v>1</v>
      </c>
      <c r="D22" s="521">
        <v>26721</v>
      </c>
      <c r="E22" s="418">
        <v>12.550962893377172</v>
      </c>
      <c r="F22" s="521">
        <v>2846</v>
      </c>
      <c r="G22" s="443">
        <v>1.3367778299671207</v>
      </c>
      <c r="H22" s="521"/>
      <c r="I22" s="418"/>
      <c r="J22" s="521"/>
      <c r="K22" s="418"/>
      <c r="L22" s="521"/>
      <c r="M22" s="443"/>
      <c r="N22" s="521"/>
      <c r="O22" s="418"/>
      <c r="P22" s="521"/>
      <c r="Q22" s="418"/>
      <c r="R22" s="521"/>
      <c r="S22" s="522"/>
    </row>
    <row r="23" spans="1:19" ht="14.4" customHeight="1" x14ac:dyDescent="0.3">
      <c r="A23" s="524" t="s">
        <v>1118</v>
      </c>
      <c r="B23" s="521">
        <v>151139</v>
      </c>
      <c r="C23" s="418">
        <v>1</v>
      </c>
      <c r="D23" s="521">
        <v>178136</v>
      </c>
      <c r="E23" s="418">
        <v>1.1786236510761616</v>
      </c>
      <c r="F23" s="521">
        <v>301538</v>
      </c>
      <c r="G23" s="443">
        <v>1.9951038448051133</v>
      </c>
      <c r="H23" s="521"/>
      <c r="I23" s="418"/>
      <c r="J23" s="521"/>
      <c r="K23" s="418"/>
      <c r="L23" s="521"/>
      <c r="M23" s="443"/>
      <c r="N23" s="521"/>
      <c r="O23" s="418"/>
      <c r="P23" s="521"/>
      <c r="Q23" s="418"/>
      <c r="R23" s="521"/>
      <c r="S23" s="522"/>
    </row>
    <row r="24" spans="1:19" ht="14.4" customHeight="1" x14ac:dyDescent="0.3">
      <c r="A24" s="524" t="s">
        <v>1119</v>
      </c>
      <c r="B24" s="521">
        <v>26176</v>
      </c>
      <c r="C24" s="418">
        <v>1</v>
      </c>
      <c r="D24" s="521">
        <v>26282</v>
      </c>
      <c r="E24" s="418">
        <v>1.004049511002445</v>
      </c>
      <c r="F24" s="521">
        <v>51577</v>
      </c>
      <c r="G24" s="443">
        <v>1.9703927261613692</v>
      </c>
      <c r="H24" s="521"/>
      <c r="I24" s="418"/>
      <c r="J24" s="521"/>
      <c r="K24" s="418"/>
      <c r="L24" s="521"/>
      <c r="M24" s="443"/>
      <c r="N24" s="521"/>
      <c r="O24" s="418"/>
      <c r="P24" s="521"/>
      <c r="Q24" s="418"/>
      <c r="R24" s="521"/>
      <c r="S24" s="522"/>
    </row>
    <row r="25" spans="1:19" ht="14.4" customHeight="1" x14ac:dyDescent="0.3">
      <c r="A25" s="524" t="s">
        <v>1120</v>
      </c>
      <c r="B25" s="521"/>
      <c r="C25" s="418"/>
      <c r="D25" s="521">
        <v>120</v>
      </c>
      <c r="E25" s="418"/>
      <c r="F25" s="521"/>
      <c r="G25" s="443"/>
      <c r="H25" s="521"/>
      <c r="I25" s="418"/>
      <c r="J25" s="521"/>
      <c r="K25" s="418"/>
      <c r="L25" s="521"/>
      <c r="M25" s="443"/>
      <c r="N25" s="521"/>
      <c r="O25" s="418"/>
      <c r="P25" s="521"/>
      <c r="Q25" s="418"/>
      <c r="R25" s="521"/>
      <c r="S25" s="522"/>
    </row>
    <row r="26" spans="1:19" ht="14.4" customHeight="1" x14ac:dyDescent="0.3">
      <c r="A26" s="524" t="s">
        <v>1121</v>
      </c>
      <c r="B26" s="521">
        <v>14779</v>
      </c>
      <c r="C26" s="418">
        <v>1</v>
      </c>
      <c r="D26" s="521">
        <v>10445</v>
      </c>
      <c r="E26" s="418">
        <v>0.7067460585966574</v>
      </c>
      <c r="F26" s="521">
        <v>17396</v>
      </c>
      <c r="G26" s="443">
        <v>1.1770755802151702</v>
      </c>
      <c r="H26" s="521"/>
      <c r="I26" s="418"/>
      <c r="J26" s="521"/>
      <c r="K26" s="418"/>
      <c r="L26" s="521"/>
      <c r="M26" s="443"/>
      <c r="N26" s="521"/>
      <c r="O26" s="418"/>
      <c r="P26" s="521"/>
      <c r="Q26" s="418"/>
      <c r="R26" s="521"/>
      <c r="S26" s="522"/>
    </row>
    <row r="27" spans="1:19" ht="14.4" customHeight="1" x14ac:dyDescent="0.3">
      <c r="A27" s="524" t="s">
        <v>1122</v>
      </c>
      <c r="B27" s="521">
        <v>10170</v>
      </c>
      <c r="C27" s="418">
        <v>1</v>
      </c>
      <c r="D27" s="521">
        <v>4709</v>
      </c>
      <c r="E27" s="418">
        <v>0.4630285152409046</v>
      </c>
      <c r="F27" s="521">
        <v>2376</v>
      </c>
      <c r="G27" s="443">
        <v>0.23362831858407079</v>
      </c>
      <c r="H27" s="521"/>
      <c r="I27" s="418"/>
      <c r="J27" s="521"/>
      <c r="K27" s="418"/>
      <c r="L27" s="521"/>
      <c r="M27" s="443"/>
      <c r="N27" s="521"/>
      <c r="O27" s="418"/>
      <c r="P27" s="521"/>
      <c r="Q27" s="418"/>
      <c r="R27" s="521"/>
      <c r="S27" s="522"/>
    </row>
    <row r="28" spans="1:19" ht="14.4" customHeight="1" x14ac:dyDescent="0.3">
      <c r="A28" s="524" t="s">
        <v>1123</v>
      </c>
      <c r="B28" s="521">
        <v>54799</v>
      </c>
      <c r="C28" s="418">
        <v>1</v>
      </c>
      <c r="D28" s="521">
        <v>41000</v>
      </c>
      <c r="E28" s="418">
        <v>0.74818883556269278</v>
      </c>
      <c r="F28" s="521">
        <v>89766</v>
      </c>
      <c r="G28" s="443">
        <v>1.6380955856858701</v>
      </c>
      <c r="H28" s="521"/>
      <c r="I28" s="418"/>
      <c r="J28" s="521"/>
      <c r="K28" s="418"/>
      <c r="L28" s="521"/>
      <c r="M28" s="443"/>
      <c r="N28" s="521"/>
      <c r="O28" s="418"/>
      <c r="P28" s="521"/>
      <c r="Q28" s="418"/>
      <c r="R28" s="521"/>
      <c r="S28" s="522"/>
    </row>
    <row r="29" spans="1:19" ht="14.4" customHeight="1" x14ac:dyDescent="0.3">
      <c r="A29" s="524" t="s">
        <v>1124</v>
      </c>
      <c r="B29" s="521">
        <v>48378</v>
      </c>
      <c r="C29" s="418">
        <v>1</v>
      </c>
      <c r="D29" s="521">
        <v>51999</v>
      </c>
      <c r="E29" s="418">
        <v>1.0748480714374302</v>
      </c>
      <c r="F29" s="521">
        <v>38762</v>
      </c>
      <c r="G29" s="443">
        <v>0.80123196494274251</v>
      </c>
      <c r="H29" s="521"/>
      <c r="I29" s="418"/>
      <c r="J29" s="521"/>
      <c r="K29" s="418"/>
      <c r="L29" s="521"/>
      <c r="M29" s="443"/>
      <c r="N29" s="521"/>
      <c r="O29" s="418"/>
      <c r="P29" s="521"/>
      <c r="Q29" s="418"/>
      <c r="R29" s="521"/>
      <c r="S29" s="522"/>
    </row>
    <row r="30" spans="1:19" ht="14.4" customHeight="1" x14ac:dyDescent="0.3">
      <c r="A30" s="524" t="s">
        <v>1125</v>
      </c>
      <c r="B30" s="521">
        <v>563609</v>
      </c>
      <c r="C30" s="418">
        <v>1</v>
      </c>
      <c r="D30" s="521">
        <v>534813</v>
      </c>
      <c r="E30" s="418">
        <v>0.94890784213878776</v>
      </c>
      <c r="F30" s="521">
        <v>676371</v>
      </c>
      <c r="G30" s="443">
        <v>1.2000713260434095</v>
      </c>
      <c r="H30" s="521"/>
      <c r="I30" s="418"/>
      <c r="J30" s="521"/>
      <c r="K30" s="418"/>
      <c r="L30" s="521"/>
      <c r="M30" s="443"/>
      <c r="N30" s="521"/>
      <c r="O30" s="418"/>
      <c r="P30" s="521"/>
      <c r="Q30" s="418"/>
      <c r="R30" s="521"/>
      <c r="S30" s="522"/>
    </row>
    <row r="31" spans="1:19" ht="14.4" customHeight="1" x14ac:dyDescent="0.3">
      <c r="A31" s="524" t="s">
        <v>1126</v>
      </c>
      <c r="B31" s="521">
        <v>50931</v>
      </c>
      <c r="C31" s="418">
        <v>1</v>
      </c>
      <c r="D31" s="521">
        <v>80626</v>
      </c>
      <c r="E31" s="418">
        <v>1.583043725825136</v>
      </c>
      <c r="F31" s="521">
        <v>55753</v>
      </c>
      <c r="G31" s="443">
        <v>1.0946771121713692</v>
      </c>
      <c r="H31" s="521"/>
      <c r="I31" s="418"/>
      <c r="J31" s="521"/>
      <c r="K31" s="418"/>
      <c r="L31" s="521"/>
      <c r="M31" s="443"/>
      <c r="N31" s="521"/>
      <c r="O31" s="418"/>
      <c r="P31" s="521"/>
      <c r="Q31" s="418"/>
      <c r="R31" s="521"/>
      <c r="S31" s="522"/>
    </row>
    <row r="32" spans="1:19" ht="14.4" customHeight="1" thickBot="1" x14ac:dyDescent="0.35">
      <c r="A32" s="525" t="s">
        <v>1127</v>
      </c>
      <c r="B32" s="523">
        <v>110774</v>
      </c>
      <c r="C32" s="424">
        <v>1</v>
      </c>
      <c r="D32" s="523">
        <v>124469</v>
      </c>
      <c r="E32" s="424">
        <v>1.1236300937042989</v>
      </c>
      <c r="F32" s="523">
        <v>122640</v>
      </c>
      <c r="G32" s="435">
        <v>1.1071189990430967</v>
      </c>
      <c r="H32" s="523"/>
      <c r="I32" s="424"/>
      <c r="J32" s="523"/>
      <c r="K32" s="424"/>
      <c r="L32" s="523"/>
      <c r="M32" s="435"/>
      <c r="N32" s="523"/>
      <c r="O32" s="424"/>
      <c r="P32" s="523"/>
      <c r="Q32" s="424"/>
      <c r="R32" s="523"/>
      <c r="S32" s="459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3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35" bestFit="1" customWidth="1"/>
    <col min="2" max="2" width="11.6640625" style="135" hidden="1" customWidth="1"/>
    <col min="3" max="4" width="11" style="137" customWidth="1"/>
    <col min="5" max="5" width="11" style="138" customWidth="1"/>
    <col min="6" max="16384" width="8.88671875" style="135"/>
  </cols>
  <sheetData>
    <row r="1" spans="1:5" ht="18.600000000000001" thickBot="1" x14ac:dyDescent="0.4">
      <c r="A1" s="292" t="s">
        <v>106</v>
      </c>
      <c r="B1" s="292"/>
      <c r="C1" s="293"/>
      <c r="D1" s="293"/>
      <c r="E1" s="293"/>
    </row>
    <row r="2" spans="1:5" ht="14.4" customHeight="1" thickBot="1" x14ac:dyDescent="0.35">
      <c r="A2" s="214" t="s">
        <v>229</v>
      </c>
      <c r="B2" s="136"/>
    </row>
    <row r="3" spans="1:5" ht="14.4" customHeight="1" thickBot="1" x14ac:dyDescent="0.35">
      <c r="A3" s="139"/>
      <c r="C3" s="140" t="s">
        <v>94</v>
      </c>
      <c r="D3" s="141" t="s">
        <v>60</v>
      </c>
      <c r="E3" s="142" t="s">
        <v>62</v>
      </c>
    </row>
    <row r="4" spans="1:5" ht="14.4" customHeight="1" thickBot="1" x14ac:dyDescent="0.35">
      <c r="A4" s="143" t="str">
        <f>HYPERLINK("#HI!A1","NÁKLADY CELKEM (v tisících Kč)")</f>
        <v>NÁKLADY CELKEM (v tisících Kč)</v>
      </c>
      <c r="B4" s="144"/>
      <c r="C4" s="145">
        <f ca="1">IF(ISERROR(VLOOKUP("Náklady celkem",INDIRECT("HI!$A:$G"),6,0)),0,VLOOKUP("Náklady celkem",INDIRECT("HI!$A:$G"),6,0))</f>
        <v>6637.4645880149837</v>
      </c>
      <c r="D4" s="145">
        <f ca="1">IF(ISERROR(VLOOKUP("Náklady celkem",INDIRECT("HI!$A:$G"),5,0)),0,VLOOKUP("Náklady celkem",INDIRECT("HI!$A:$G"),5,0))</f>
        <v>7033.9179400000003</v>
      </c>
      <c r="E4" s="146">
        <f ca="1">IF(C4=0,0,D4/C4)</f>
        <v>1.059729637232397</v>
      </c>
    </row>
    <row r="5" spans="1:5" ht="14.4" customHeight="1" x14ac:dyDescent="0.3">
      <c r="A5" s="147" t="s">
        <v>131</v>
      </c>
      <c r="B5" s="148"/>
      <c r="C5" s="149"/>
      <c r="D5" s="149"/>
      <c r="E5" s="150"/>
    </row>
    <row r="6" spans="1:5" ht="14.4" customHeight="1" x14ac:dyDescent="0.3">
      <c r="A6" s="151" t="s">
        <v>136</v>
      </c>
      <c r="B6" s="152"/>
      <c r="C6" s="153"/>
      <c r="D6" s="153"/>
      <c r="E6" s="150"/>
    </row>
    <row r="7" spans="1:5" ht="14.4" customHeight="1" x14ac:dyDescent="0.3">
      <c r="A7" s="279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52" t="s">
        <v>98</v>
      </c>
      <c r="C7" s="153">
        <f>IF(ISERROR(HI!F5),"",HI!F5)</f>
        <v>9.9906360873079993</v>
      </c>
      <c r="D7" s="153">
        <f>IF(ISERROR(HI!E5),"",HI!E5)</f>
        <v>4.9420199999999994</v>
      </c>
      <c r="E7" s="150">
        <f t="shared" ref="E7:E13" si="0">IF(C7=0,0,D7/C7)</f>
        <v>0.49466520017462057</v>
      </c>
    </row>
    <row r="8" spans="1:5" ht="14.4" customHeight="1" x14ac:dyDescent="0.3">
      <c r="A8" s="279" t="str">
        <f>HYPERLINK("#'LŽ PL'!A1","Plnění pozitivního listu (min. 90%)")</f>
        <v>Plnění pozitivního listu (min. 90%)</v>
      </c>
      <c r="B8" s="152" t="s">
        <v>129</v>
      </c>
      <c r="C8" s="154">
        <v>0.9</v>
      </c>
      <c r="D8" s="154">
        <f>IF(ISERROR(VLOOKUP("celkem",'LŽ PL'!$A:$F,5,0)),0,VLOOKUP("celkem",'LŽ PL'!$A:$F,5,0))</f>
        <v>0.47036929820933787</v>
      </c>
      <c r="E8" s="150">
        <f t="shared" si="0"/>
        <v>0.52263255356593097</v>
      </c>
    </row>
    <row r="9" spans="1:5" ht="14.4" customHeight="1" x14ac:dyDescent="0.3">
      <c r="A9" s="279" t="str">
        <f>HYPERLINK("#'LŽ Statim'!A1","Podíl statimových žádanek (max. 30%)")</f>
        <v>Podíl statimových žádanek (max. 30%)</v>
      </c>
      <c r="B9" s="277" t="s">
        <v>197</v>
      </c>
      <c r="C9" s="278">
        <v>0.3</v>
      </c>
      <c r="D9" s="278">
        <f>IF('LŽ Statim'!G3="",0,'LŽ Statim'!G3)</f>
        <v>0</v>
      </c>
      <c r="E9" s="150">
        <f>IF(C9=0,0,D9/C9)</f>
        <v>0</v>
      </c>
    </row>
    <row r="10" spans="1:5" ht="14.4" customHeight="1" x14ac:dyDescent="0.3">
      <c r="A10" s="155" t="s">
        <v>132</v>
      </c>
      <c r="B10" s="152"/>
      <c r="C10" s="153"/>
      <c r="D10" s="153"/>
      <c r="E10" s="150"/>
    </row>
    <row r="11" spans="1:5" ht="14.4" customHeight="1" x14ac:dyDescent="0.3">
      <c r="A11" s="155" t="s">
        <v>133</v>
      </c>
      <c r="B11" s="152"/>
      <c r="C11" s="153"/>
      <c r="D11" s="153"/>
      <c r="E11" s="150"/>
    </row>
    <row r="12" spans="1:5" ht="14.4" customHeight="1" x14ac:dyDescent="0.3">
      <c r="A12" s="156" t="s">
        <v>137</v>
      </c>
      <c r="B12" s="152"/>
      <c r="C12" s="149"/>
      <c r="D12" s="149"/>
      <c r="E12" s="150"/>
    </row>
    <row r="13" spans="1:5" ht="14.4" customHeight="1" x14ac:dyDescent="0.3">
      <c r="A13" s="157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3" s="152" t="s">
        <v>98</v>
      </c>
      <c r="C13" s="153">
        <f>IF(ISERROR(HI!F6),"",HI!F6)</f>
        <v>3158.8342040836501</v>
      </c>
      <c r="D13" s="153">
        <f>IF(ISERROR(HI!E6),"",HI!E6)</f>
        <v>3473.85086</v>
      </c>
      <c r="E13" s="150">
        <f t="shared" si="0"/>
        <v>1.0997256062091216</v>
      </c>
    </row>
    <row r="14" spans="1:5" ht="14.4" customHeight="1" thickBot="1" x14ac:dyDescent="0.35">
      <c r="A14" s="158" t="str">
        <f>HYPERLINK("#HI!A1","Osobní náklady")</f>
        <v>Osobní náklady</v>
      </c>
      <c r="B14" s="152"/>
      <c r="C14" s="149">
        <f ca="1">IF(ISERROR(VLOOKUP("Osobní náklady (Kč) *",INDIRECT("HI!$A:$G"),6,0)),0,VLOOKUP("Osobní náklady (Kč) *",INDIRECT("HI!$A:$G"),6,0))</f>
        <v>3032.50083592585</v>
      </c>
      <c r="D14" s="149">
        <f ca="1">IF(ISERROR(VLOOKUP("Osobní náklady (Kč) *",INDIRECT("HI!$A:$G"),5,0)),0,VLOOKUP("Osobní náklady (Kč) *",INDIRECT("HI!$A:$G"),5,0))</f>
        <v>3082.26062</v>
      </c>
      <c r="E14" s="150">
        <f ca="1">IF(C14=0,0,D14/C14)</f>
        <v>1.0164088278178356</v>
      </c>
    </row>
    <row r="15" spans="1:5" ht="14.4" customHeight="1" thickBot="1" x14ac:dyDescent="0.35">
      <c r="A15" s="162"/>
      <c r="B15" s="163"/>
      <c r="C15" s="164"/>
      <c r="D15" s="164"/>
      <c r="E15" s="165"/>
    </row>
    <row r="16" spans="1:5" ht="14.4" customHeight="1" thickBot="1" x14ac:dyDescent="0.35">
      <c r="A16" s="166" t="str">
        <f>HYPERLINK("#HI!A1","VÝNOSY CELKEM (v tisících)")</f>
        <v>VÝNOSY CELKEM (v tisících)</v>
      </c>
      <c r="B16" s="167"/>
      <c r="C16" s="168">
        <f ca="1">IF(ISERROR(VLOOKUP("Výnosy celkem",INDIRECT("HI!$A:$G"),6,0)),0,VLOOKUP("Výnosy celkem",INDIRECT("HI!$A:$G"),6,0))</f>
        <v>5034.5169999999998</v>
      </c>
      <c r="D16" s="168">
        <f ca="1">IF(ISERROR(VLOOKUP("Výnosy celkem",INDIRECT("HI!$A:$G"),5,0)),0,VLOOKUP("Výnosy celkem",INDIRECT("HI!$A:$G"),5,0))</f>
        <v>6433.0320000000002</v>
      </c>
      <c r="E16" s="169">
        <f t="shared" ref="E16:E19" ca="1" si="1">IF(C16=0,0,D16/C16)</f>
        <v>1.2777853367065799</v>
      </c>
    </row>
    <row r="17" spans="1:5" ht="14.4" customHeight="1" x14ac:dyDescent="0.3">
      <c r="A17" s="170" t="str">
        <f>HYPERLINK("#HI!A1","Ambulance (body za výkony + Kč za ZUM a ZULP)")</f>
        <v>Ambulance (body za výkony + Kč za ZUM a ZULP)</v>
      </c>
      <c r="B17" s="148"/>
      <c r="C17" s="149">
        <f ca="1">IF(ISERROR(VLOOKUP("Ambulance *",INDIRECT("HI!$A:$G"),6,0)),0,VLOOKUP("Ambulance *",INDIRECT("HI!$A:$G"),6,0))</f>
        <v>5034.5169999999998</v>
      </c>
      <c r="D17" s="149">
        <f ca="1">IF(ISERROR(VLOOKUP("Ambulance *",INDIRECT("HI!$A:$G"),5,0)),0,VLOOKUP("Ambulance *",INDIRECT("HI!$A:$G"),5,0))</f>
        <v>6433.0320000000002</v>
      </c>
      <c r="E17" s="150">
        <f t="shared" ca="1" si="1"/>
        <v>1.2777853367065799</v>
      </c>
    </row>
    <row r="18" spans="1:5" ht="14.4" customHeight="1" x14ac:dyDescent="0.3">
      <c r="A18" s="171" t="str">
        <f>HYPERLINK("#'ZV Vykáz.-A'!A1","Zdravotní výkony vykázané u ambulantních pacientů (min. 100 %)")</f>
        <v>Zdravotní výkony vykázané u ambulantních pacientů (min. 100 %)</v>
      </c>
      <c r="B18" s="135" t="s">
        <v>108</v>
      </c>
      <c r="C18" s="154">
        <v>1</v>
      </c>
      <c r="D18" s="154">
        <f>IF(ISERROR(VLOOKUP("Celkem:",'ZV Vykáz.-A'!$A:$S,7,0)),"",VLOOKUP("Celkem:",'ZV Vykáz.-A'!$A:$S,7,0))</f>
        <v>1.2777853367065799</v>
      </c>
      <c r="E18" s="150">
        <f t="shared" si="1"/>
        <v>1.2777853367065799</v>
      </c>
    </row>
    <row r="19" spans="1:5" ht="14.4" customHeight="1" x14ac:dyDescent="0.3">
      <c r="A19" s="171" t="str">
        <f>HYPERLINK("#'ZV Vykáz.-H'!A1","Zdravotní výkony vykázané u hospitalizovaných pacientů (max. 85 %)")</f>
        <v>Zdravotní výkony vykázané u hospitalizovaných pacientů (max. 85 %)</v>
      </c>
      <c r="B19" s="135" t="s">
        <v>110</v>
      </c>
      <c r="C19" s="154">
        <v>0.85</v>
      </c>
      <c r="D19" s="154">
        <f>IF(ISERROR(VLOOKUP("Celkem:",'ZV Vykáz.-H'!$A:$S,7,0)),"",VLOOKUP("Celkem:",'ZV Vykáz.-H'!$A:$S,7,0))</f>
        <v>1.3757929159092113</v>
      </c>
      <c r="E19" s="150">
        <f t="shared" si="1"/>
        <v>1.6185799010696604</v>
      </c>
    </row>
    <row r="20" spans="1:5" ht="14.4" customHeight="1" x14ac:dyDescent="0.3">
      <c r="A20" s="172" t="str">
        <f>HYPERLINK("#HI!A1","Hospitalizace (casemix * 30000)")</f>
        <v>Hospitalizace (casemix * 30000)</v>
      </c>
      <c r="B20" s="152"/>
      <c r="C20" s="149">
        <f ca="1">IF(ISERROR(VLOOKUP("Hospitalizace *",INDIRECT("HI!$A:$G"),6,0)),0,VLOOKUP("Hospitalizace *",INDIRECT("HI!$A:$G"),6,0))</f>
        <v>0</v>
      </c>
      <c r="D20" s="149">
        <f ca="1">IF(ISERROR(VLOOKUP("Hospitalizace *",INDIRECT("HI!$A:$G"),5,0)),0,VLOOKUP("Hospitalizace *",INDIRECT("HI!$A:$G"),5,0))</f>
        <v>0</v>
      </c>
      <c r="E20" s="150">
        <f ca="1">IF(C20=0,0,D20/C20)</f>
        <v>0</v>
      </c>
    </row>
    <row r="21" spans="1:5" ht="14.4" customHeight="1" thickBot="1" x14ac:dyDescent="0.35">
      <c r="A21" s="173" t="s">
        <v>134</v>
      </c>
      <c r="B21" s="159"/>
      <c r="C21" s="160"/>
      <c r="D21" s="160"/>
      <c r="E21" s="161"/>
    </row>
    <row r="22" spans="1:5" ht="14.4" customHeight="1" thickBot="1" x14ac:dyDescent="0.35">
      <c r="A22" s="174"/>
      <c r="B22" s="175"/>
      <c r="C22" s="176"/>
      <c r="D22" s="176"/>
      <c r="E22" s="177"/>
    </row>
    <row r="23" spans="1:5" ht="14.4" customHeight="1" thickBot="1" x14ac:dyDescent="0.35">
      <c r="A23" s="178" t="s">
        <v>135</v>
      </c>
      <c r="B23" s="179"/>
      <c r="C23" s="180"/>
      <c r="D23" s="180"/>
      <c r="E23" s="181"/>
    </row>
  </sheetData>
  <mergeCells count="1">
    <mergeCell ref="A1:E1"/>
  </mergeCells>
  <conditionalFormatting sqref="E5">
    <cfRule type="cellIs" dxfId="54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2">
    <cfRule type="cellIs" dxfId="53" priority="15" operator="greaterThan">
      <formula>1</formula>
    </cfRule>
    <cfRule type="iconSet" priority="16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52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7">
    <cfRule type="cellIs" dxfId="51" priority="9" operator="lessThan">
      <formula>1</formula>
    </cfRule>
    <cfRule type="iconSet" priority="10">
      <iconSet iconSet="3Symbols2">
        <cfvo type="percent" val="0"/>
        <cfvo type="num" val="1"/>
        <cfvo type="num" val="1"/>
      </iconSet>
    </cfRule>
  </conditionalFormatting>
  <conditionalFormatting sqref="E20">
    <cfRule type="cellIs" dxfId="50" priority="7" operator="lessThan">
      <formula>1</formula>
    </cfRule>
    <cfRule type="iconSet" priority="8">
      <iconSet iconSet="3Symbols2">
        <cfvo type="percent" val="0"/>
        <cfvo type="num" val="1"/>
        <cfvo type="num" val="1"/>
      </iconSet>
    </cfRule>
  </conditionalFormatting>
  <conditionalFormatting sqref="E6">
    <cfRule type="cellIs" dxfId="49" priority="5" operator="greaterThan">
      <formula>1</formula>
    </cfRule>
    <cfRule type="iconSet" priority="6">
      <iconSet iconSet="3Symbols2" reverse="1">
        <cfvo type="percent" val="0"/>
        <cfvo type="num" val="1"/>
        <cfvo type="num" val="1"/>
      </iconSet>
    </cfRule>
  </conditionalFormatting>
  <conditionalFormatting sqref="E16 E18 E8">
    <cfRule type="cellIs" dxfId="48" priority="20" operator="lessThan">
      <formula>1</formula>
    </cfRule>
  </conditionalFormatting>
  <conditionalFormatting sqref="E9">
    <cfRule type="cellIs" dxfId="47" priority="3" operator="greaterThan">
      <formula>1</formula>
    </cfRule>
    <cfRule type="iconSet" priority="4">
      <iconSet iconSet="3Symbols2" reverse="1">
        <cfvo type="percent" val="0"/>
        <cfvo type="num" val="1"/>
        <cfvo type="num" val="1"/>
      </iconSet>
    </cfRule>
  </conditionalFormatting>
  <conditionalFormatting sqref="E16 E18 E8">
    <cfRule type="iconSet" priority="60">
      <iconSet iconSet="3Symbols2">
        <cfvo type="percent" val="0"/>
        <cfvo type="num" val="1"/>
        <cfvo type="num" val="1"/>
      </iconSet>
    </cfRule>
  </conditionalFormatting>
  <conditionalFormatting sqref="E4 E7 E13 E19">
    <cfRule type="cellIs" dxfId="46" priority="65" operator="greaterThan">
      <formula>1</formula>
    </cfRule>
    <cfRule type="iconSet" priority="66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pageSetUpPr fitToPage="1"/>
  </sheetPr>
  <dimension ref="A1:Q569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x14ac:dyDescent="0.3"/>
  <cols>
    <col min="1" max="1" width="3" style="116" bestFit="1" customWidth="1"/>
    <col min="2" max="2" width="8.6640625" style="116" bestFit="1" customWidth="1"/>
    <col min="3" max="3" width="2.109375" style="116" bestFit="1" customWidth="1"/>
    <col min="4" max="4" width="8" style="116" bestFit="1" customWidth="1"/>
    <col min="5" max="5" width="52.88671875" style="116" bestFit="1" customWidth="1"/>
    <col min="6" max="7" width="11.109375" style="191" customWidth="1"/>
    <col min="8" max="9" width="9.33203125" style="191" hidden="1" customWidth="1"/>
    <col min="10" max="11" width="11.109375" style="191" customWidth="1"/>
    <col min="12" max="13" width="9.33203125" style="191" hidden="1" customWidth="1"/>
    <col min="14" max="15" width="11.109375" style="191" customWidth="1"/>
    <col min="16" max="16" width="11.109375" style="194" customWidth="1"/>
    <col min="17" max="17" width="11.109375" style="191" customWidth="1"/>
    <col min="18" max="16384" width="8.88671875" style="116"/>
  </cols>
  <sheetData>
    <row r="1" spans="1:17" ht="18.600000000000001" customHeight="1" thickBot="1" x14ac:dyDescent="0.4">
      <c r="A1" s="292" t="s">
        <v>1161</v>
      </c>
      <c r="B1" s="292"/>
      <c r="C1" s="292"/>
      <c r="D1" s="292"/>
      <c r="E1" s="292"/>
      <c r="F1" s="292"/>
      <c r="G1" s="292"/>
      <c r="H1" s="292"/>
      <c r="I1" s="292"/>
      <c r="J1" s="292"/>
      <c r="K1" s="292"/>
      <c r="L1" s="292"/>
      <c r="M1" s="292"/>
      <c r="N1" s="292"/>
      <c r="O1" s="292"/>
      <c r="P1" s="292"/>
      <c r="Q1" s="292"/>
    </row>
    <row r="2" spans="1:17" ht="14.4" customHeight="1" thickBot="1" x14ac:dyDescent="0.35">
      <c r="A2" s="214" t="s">
        <v>229</v>
      </c>
      <c r="B2" s="117"/>
      <c r="C2" s="117"/>
      <c r="D2" s="117"/>
      <c r="E2" s="117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209"/>
      <c r="Q2" s="208"/>
    </row>
    <row r="3" spans="1:17" ht="14.4" customHeight="1" thickBot="1" x14ac:dyDescent="0.35">
      <c r="E3" s="73" t="s">
        <v>113</v>
      </c>
      <c r="F3" s="88">
        <f t="shared" ref="F3:O3" si="0">SUBTOTAL(9,F6:F1048576)</f>
        <v>23736</v>
      </c>
      <c r="G3" s="89">
        <f t="shared" si="0"/>
        <v>4586079</v>
      </c>
      <c r="H3" s="89"/>
      <c r="I3" s="89"/>
      <c r="J3" s="89">
        <f t="shared" si="0"/>
        <v>24306</v>
      </c>
      <c r="K3" s="89">
        <f t="shared" si="0"/>
        <v>4829438</v>
      </c>
      <c r="L3" s="89"/>
      <c r="M3" s="89"/>
      <c r="N3" s="89">
        <f t="shared" si="0"/>
        <v>28832</v>
      </c>
      <c r="O3" s="89">
        <f t="shared" si="0"/>
        <v>6309495</v>
      </c>
      <c r="P3" s="67">
        <f>IF(G3=0,0,O3/G3)</f>
        <v>1.3757929159092113</v>
      </c>
      <c r="Q3" s="90">
        <f>IF(N3=0,0,O3/N3)</f>
        <v>218.83653579356272</v>
      </c>
    </row>
    <row r="4" spans="1:17" ht="14.4" customHeight="1" x14ac:dyDescent="0.3">
      <c r="A4" s="359" t="s">
        <v>56</v>
      </c>
      <c r="B4" s="358" t="s">
        <v>82</v>
      </c>
      <c r="C4" s="359" t="s">
        <v>83</v>
      </c>
      <c r="D4" s="368" t="s">
        <v>84</v>
      </c>
      <c r="E4" s="360" t="s">
        <v>57</v>
      </c>
      <c r="F4" s="366">
        <v>2014</v>
      </c>
      <c r="G4" s="367"/>
      <c r="H4" s="91"/>
      <c r="I4" s="91"/>
      <c r="J4" s="366">
        <v>2015</v>
      </c>
      <c r="K4" s="367"/>
      <c r="L4" s="91"/>
      <c r="M4" s="91"/>
      <c r="N4" s="366">
        <v>2016</v>
      </c>
      <c r="O4" s="367"/>
      <c r="P4" s="369" t="s">
        <v>2</v>
      </c>
      <c r="Q4" s="357" t="s">
        <v>85</v>
      </c>
    </row>
    <row r="5" spans="1:17" ht="14.4" customHeight="1" thickBot="1" x14ac:dyDescent="0.35">
      <c r="A5" s="512"/>
      <c r="B5" s="510"/>
      <c r="C5" s="512"/>
      <c r="D5" s="526"/>
      <c r="E5" s="514"/>
      <c r="F5" s="527" t="s">
        <v>59</v>
      </c>
      <c r="G5" s="528" t="s">
        <v>14</v>
      </c>
      <c r="H5" s="529"/>
      <c r="I5" s="529"/>
      <c r="J5" s="527" t="s">
        <v>59</v>
      </c>
      <c r="K5" s="528" t="s">
        <v>14</v>
      </c>
      <c r="L5" s="529"/>
      <c r="M5" s="529"/>
      <c r="N5" s="527" t="s">
        <v>59</v>
      </c>
      <c r="O5" s="528" t="s">
        <v>14</v>
      </c>
      <c r="P5" s="530"/>
      <c r="Q5" s="519"/>
    </row>
    <row r="6" spans="1:17" ht="14.4" customHeight="1" x14ac:dyDescent="0.3">
      <c r="A6" s="411" t="s">
        <v>1128</v>
      </c>
      <c r="B6" s="412" t="s">
        <v>986</v>
      </c>
      <c r="C6" s="412" t="s">
        <v>987</v>
      </c>
      <c r="D6" s="412" t="s">
        <v>988</v>
      </c>
      <c r="E6" s="412" t="s">
        <v>989</v>
      </c>
      <c r="F6" s="415">
        <v>86</v>
      </c>
      <c r="G6" s="415">
        <v>13674</v>
      </c>
      <c r="H6" s="415">
        <v>1</v>
      </c>
      <c r="I6" s="415">
        <v>159</v>
      </c>
      <c r="J6" s="415">
        <v>112</v>
      </c>
      <c r="K6" s="415">
        <v>18032</v>
      </c>
      <c r="L6" s="415">
        <v>1.3187070352493784</v>
      </c>
      <c r="M6" s="415">
        <v>161</v>
      </c>
      <c r="N6" s="415">
        <v>88</v>
      </c>
      <c r="O6" s="415">
        <v>15224</v>
      </c>
      <c r="P6" s="434">
        <v>1.1133538101506508</v>
      </c>
      <c r="Q6" s="416">
        <v>173</v>
      </c>
    </row>
    <row r="7" spans="1:17" ht="14.4" customHeight="1" x14ac:dyDescent="0.3">
      <c r="A7" s="417" t="s">
        <v>1128</v>
      </c>
      <c r="B7" s="418" t="s">
        <v>986</v>
      </c>
      <c r="C7" s="418" t="s">
        <v>987</v>
      </c>
      <c r="D7" s="418" t="s">
        <v>1002</v>
      </c>
      <c r="E7" s="418" t="s">
        <v>1003</v>
      </c>
      <c r="F7" s="421"/>
      <c r="G7" s="421"/>
      <c r="H7" s="421"/>
      <c r="I7" s="421"/>
      <c r="J7" s="421">
        <v>4</v>
      </c>
      <c r="K7" s="421">
        <v>4676</v>
      </c>
      <c r="L7" s="421"/>
      <c r="M7" s="421">
        <v>1169</v>
      </c>
      <c r="N7" s="421">
        <v>5</v>
      </c>
      <c r="O7" s="421">
        <v>5865</v>
      </c>
      <c r="P7" s="443"/>
      <c r="Q7" s="422">
        <v>1173</v>
      </c>
    </row>
    <row r="8" spans="1:17" ht="14.4" customHeight="1" x14ac:dyDescent="0.3">
      <c r="A8" s="417" t="s">
        <v>1128</v>
      </c>
      <c r="B8" s="418" t="s">
        <v>986</v>
      </c>
      <c r="C8" s="418" t="s">
        <v>987</v>
      </c>
      <c r="D8" s="418" t="s">
        <v>1004</v>
      </c>
      <c r="E8" s="418" t="s">
        <v>1005</v>
      </c>
      <c r="F8" s="421">
        <v>182</v>
      </c>
      <c r="G8" s="421">
        <v>7098</v>
      </c>
      <c r="H8" s="421">
        <v>1</v>
      </c>
      <c r="I8" s="421">
        <v>39</v>
      </c>
      <c r="J8" s="421">
        <v>226</v>
      </c>
      <c r="K8" s="421">
        <v>9040</v>
      </c>
      <c r="L8" s="421">
        <v>1.2735981966751198</v>
      </c>
      <c r="M8" s="421">
        <v>40</v>
      </c>
      <c r="N8" s="421">
        <v>213</v>
      </c>
      <c r="O8" s="421">
        <v>8733</v>
      </c>
      <c r="P8" s="443">
        <v>1.2303465765004227</v>
      </c>
      <c r="Q8" s="422">
        <v>41</v>
      </c>
    </row>
    <row r="9" spans="1:17" ht="14.4" customHeight="1" x14ac:dyDescent="0.3">
      <c r="A9" s="417" t="s">
        <v>1128</v>
      </c>
      <c r="B9" s="418" t="s">
        <v>986</v>
      </c>
      <c r="C9" s="418" t="s">
        <v>987</v>
      </c>
      <c r="D9" s="418" t="s">
        <v>1006</v>
      </c>
      <c r="E9" s="418" t="s">
        <v>1007</v>
      </c>
      <c r="F9" s="421"/>
      <c r="G9" s="421"/>
      <c r="H9" s="421"/>
      <c r="I9" s="421"/>
      <c r="J9" s="421">
        <v>21</v>
      </c>
      <c r="K9" s="421">
        <v>8043</v>
      </c>
      <c r="L9" s="421"/>
      <c r="M9" s="421">
        <v>383</v>
      </c>
      <c r="N9" s="421">
        <v>2</v>
      </c>
      <c r="O9" s="421">
        <v>768</v>
      </c>
      <c r="P9" s="443"/>
      <c r="Q9" s="422">
        <v>384</v>
      </c>
    </row>
    <row r="10" spans="1:17" ht="14.4" customHeight="1" x14ac:dyDescent="0.3">
      <c r="A10" s="417" t="s">
        <v>1128</v>
      </c>
      <c r="B10" s="418" t="s">
        <v>986</v>
      </c>
      <c r="C10" s="418" t="s">
        <v>987</v>
      </c>
      <c r="D10" s="418" t="s">
        <v>1008</v>
      </c>
      <c r="E10" s="418" t="s">
        <v>1009</v>
      </c>
      <c r="F10" s="421">
        <v>25</v>
      </c>
      <c r="G10" s="421">
        <v>925</v>
      </c>
      <c r="H10" s="421">
        <v>1</v>
      </c>
      <c r="I10" s="421">
        <v>37</v>
      </c>
      <c r="J10" s="421">
        <v>18</v>
      </c>
      <c r="K10" s="421">
        <v>666</v>
      </c>
      <c r="L10" s="421">
        <v>0.72</v>
      </c>
      <c r="M10" s="421">
        <v>37</v>
      </c>
      <c r="N10" s="421">
        <v>6</v>
      </c>
      <c r="O10" s="421">
        <v>222</v>
      </c>
      <c r="P10" s="443">
        <v>0.24</v>
      </c>
      <c r="Q10" s="422">
        <v>37</v>
      </c>
    </row>
    <row r="11" spans="1:17" ht="14.4" customHeight="1" x14ac:dyDescent="0.3">
      <c r="A11" s="417" t="s">
        <v>1128</v>
      </c>
      <c r="B11" s="418" t="s">
        <v>986</v>
      </c>
      <c r="C11" s="418" t="s">
        <v>987</v>
      </c>
      <c r="D11" s="418" t="s">
        <v>1012</v>
      </c>
      <c r="E11" s="418" t="s">
        <v>1013</v>
      </c>
      <c r="F11" s="421">
        <v>9</v>
      </c>
      <c r="G11" s="421">
        <v>3996</v>
      </c>
      <c r="H11" s="421">
        <v>1</v>
      </c>
      <c r="I11" s="421">
        <v>444</v>
      </c>
      <c r="J11" s="421">
        <v>24</v>
      </c>
      <c r="K11" s="421">
        <v>10680</v>
      </c>
      <c r="L11" s="421">
        <v>2.6726726726726726</v>
      </c>
      <c r="M11" s="421">
        <v>445</v>
      </c>
      <c r="N11" s="421">
        <v>36</v>
      </c>
      <c r="O11" s="421">
        <v>16056</v>
      </c>
      <c r="P11" s="443">
        <v>4.0180180180180178</v>
      </c>
      <c r="Q11" s="422">
        <v>446</v>
      </c>
    </row>
    <row r="12" spans="1:17" ht="14.4" customHeight="1" x14ac:dyDescent="0.3">
      <c r="A12" s="417" t="s">
        <v>1128</v>
      </c>
      <c r="B12" s="418" t="s">
        <v>986</v>
      </c>
      <c r="C12" s="418" t="s">
        <v>987</v>
      </c>
      <c r="D12" s="418" t="s">
        <v>1014</v>
      </c>
      <c r="E12" s="418" t="s">
        <v>1015</v>
      </c>
      <c r="F12" s="421">
        <v>6</v>
      </c>
      <c r="G12" s="421">
        <v>246</v>
      </c>
      <c r="H12" s="421">
        <v>1</v>
      </c>
      <c r="I12" s="421">
        <v>41</v>
      </c>
      <c r="J12" s="421">
        <v>4</v>
      </c>
      <c r="K12" s="421">
        <v>164</v>
      </c>
      <c r="L12" s="421">
        <v>0.66666666666666663</v>
      </c>
      <c r="M12" s="421">
        <v>41</v>
      </c>
      <c r="N12" s="421">
        <v>4</v>
      </c>
      <c r="O12" s="421">
        <v>168</v>
      </c>
      <c r="P12" s="443">
        <v>0.68292682926829273</v>
      </c>
      <c r="Q12" s="422">
        <v>42</v>
      </c>
    </row>
    <row r="13" spans="1:17" ht="14.4" customHeight="1" x14ac:dyDescent="0.3">
      <c r="A13" s="417" t="s">
        <v>1128</v>
      </c>
      <c r="B13" s="418" t="s">
        <v>986</v>
      </c>
      <c r="C13" s="418" t="s">
        <v>987</v>
      </c>
      <c r="D13" s="418" t="s">
        <v>1016</v>
      </c>
      <c r="E13" s="418" t="s">
        <v>1017</v>
      </c>
      <c r="F13" s="421">
        <v>2</v>
      </c>
      <c r="G13" s="421">
        <v>980</v>
      </c>
      <c r="H13" s="421">
        <v>1</v>
      </c>
      <c r="I13" s="421">
        <v>490</v>
      </c>
      <c r="J13" s="421">
        <v>14</v>
      </c>
      <c r="K13" s="421">
        <v>6874</v>
      </c>
      <c r="L13" s="421">
        <v>7.0142857142857142</v>
      </c>
      <c r="M13" s="421">
        <v>491</v>
      </c>
      <c r="N13" s="421">
        <v>4</v>
      </c>
      <c r="O13" s="421">
        <v>1968</v>
      </c>
      <c r="P13" s="443">
        <v>2.0081632653061225</v>
      </c>
      <c r="Q13" s="422">
        <v>492</v>
      </c>
    </row>
    <row r="14" spans="1:17" ht="14.4" customHeight="1" x14ac:dyDescent="0.3">
      <c r="A14" s="417" t="s">
        <v>1128</v>
      </c>
      <c r="B14" s="418" t="s">
        <v>986</v>
      </c>
      <c r="C14" s="418" t="s">
        <v>987</v>
      </c>
      <c r="D14" s="418" t="s">
        <v>1018</v>
      </c>
      <c r="E14" s="418" t="s">
        <v>1019</v>
      </c>
      <c r="F14" s="421">
        <v>4</v>
      </c>
      <c r="G14" s="421">
        <v>124</v>
      </c>
      <c r="H14" s="421">
        <v>1</v>
      </c>
      <c r="I14" s="421">
        <v>31</v>
      </c>
      <c r="J14" s="421">
        <v>4</v>
      </c>
      <c r="K14" s="421">
        <v>124</v>
      </c>
      <c r="L14" s="421">
        <v>1</v>
      </c>
      <c r="M14" s="421">
        <v>31</v>
      </c>
      <c r="N14" s="421">
        <v>14</v>
      </c>
      <c r="O14" s="421">
        <v>434</v>
      </c>
      <c r="P14" s="443">
        <v>3.5</v>
      </c>
      <c r="Q14" s="422">
        <v>31</v>
      </c>
    </row>
    <row r="15" spans="1:17" ht="14.4" customHeight="1" x14ac:dyDescent="0.3">
      <c r="A15" s="417" t="s">
        <v>1128</v>
      </c>
      <c r="B15" s="418" t="s">
        <v>986</v>
      </c>
      <c r="C15" s="418" t="s">
        <v>987</v>
      </c>
      <c r="D15" s="418" t="s">
        <v>1020</v>
      </c>
      <c r="E15" s="418" t="s">
        <v>1021</v>
      </c>
      <c r="F15" s="421">
        <v>1</v>
      </c>
      <c r="G15" s="421">
        <v>205</v>
      </c>
      <c r="H15" s="421">
        <v>1</v>
      </c>
      <c r="I15" s="421">
        <v>205</v>
      </c>
      <c r="J15" s="421"/>
      <c r="K15" s="421"/>
      <c r="L15" s="421"/>
      <c r="M15" s="421"/>
      <c r="N15" s="421">
        <v>4</v>
      </c>
      <c r="O15" s="421">
        <v>832</v>
      </c>
      <c r="P15" s="443">
        <v>4.0585365853658537</v>
      </c>
      <c r="Q15" s="422">
        <v>208</v>
      </c>
    </row>
    <row r="16" spans="1:17" ht="14.4" customHeight="1" x14ac:dyDescent="0.3">
      <c r="A16" s="417" t="s">
        <v>1128</v>
      </c>
      <c r="B16" s="418" t="s">
        <v>986</v>
      </c>
      <c r="C16" s="418" t="s">
        <v>987</v>
      </c>
      <c r="D16" s="418" t="s">
        <v>1022</v>
      </c>
      <c r="E16" s="418" t="s">
        <v>1023</v>
      </c>
      <c r="F16" s="421"/>
      <c r="G16" s="421"/>
      <c r="H16" s="421"/>
      <c r="I16" s="421"/>
      <c r="J16" s="421"/>
      <c r="K16" s="421"/>
      <c r="L16" s="421"/>
      <c r="M16" s="421"/>
      <c r="N16" s="421">
        <v>4</v>
      </c>
      <c r="O16" s="421">
        <v>1536</v>
      </c>
      <c r="P16" s="443"/>
      <c r="Q16" s="422">
        <v>384</v>
      </c>
    </row>
    <row r="17" spans="1:17" ht="14.4" customHeight="1" x14ac:dyDescent="0.3">
      <c r="A17" s="417" t="s">
        <v>1128</v>
      </c>
      <c r="B17" s="418" t="s">
        <v>986</v>
      </c>
      <c r="C17" s="418" t="s">
        <v>987</v>
      </c>
      <c r="D17" s="418" t="s">
        <v>1026</v>
      </c>
      <c r="E17" s="418" t="s">
        <v>1027</v>
      </c>
      <c r="F17" s="421"/>
      <c r="G17" s="421"/>
      <c r="H17" s="421"/>
      <c r="I17" s="421"/>
      <c r="J17" s="421">
        <v>10</v>
      </c>
      <c r="K17" s="421">
        <v>1310</v>
      </c>
      <c r="L17" s="421"/>
      <c r="M17" s="421">
        <v>131</v>
      </c>
      <c r="N17" s="421">
        <v>2</v>
      </c>
      <c r="O17" s="421">
        <v>274</v>
      </c>
      <c r="P17" s="443"/>
      <c r="Q17" s="422">
        <v>137</v>
      </c>
    </row>
    <row r="18" spans="1:17" ht="14.4" customHeight="1" x14ac:dyDescent="0.3">
      <c r="A18" s="417" t="s">
        <v>1128</v>
      </c>
      <c r="B18" s="418" t="s">
        <v>986</v>
      </c>
      <c r="C18" s="418" t="s">
        <v>987</v>
      </c>
      <c r="D18" s="418" t="s">
        <v>1032</v>
      </c>
      <c r="E18" s="418" t="s">
        <v>1033</v>
      </c>
      <c r="F18" s="421">
        <v>83</v>
      </c>
      <c r="G18" s="421">
        <v>1328</v>
      </c>
      <c r="H18" s="421">
        <v>1</v>
      </c>
      <c r="I18" s="421">
        <v>16</v>
      </c>
      <c r="J18" s="421">
        <v>141</v>
      </c>
      <c r="K18" s="421">
        <v>2256</v>
      </c>
      <c r="L18" s="421">
        <v>1.6987951807228916</v>
      </c>
      <c r="M18" s="421">
        <v>16</v>
      </c>
      <c r="N18" s="421">
        <v>163</v>
      </c>
      <c r="O18" s="421">
        <v>2771</v>
      </c>
      <c r="P18" s="443">
        <v>2.0865963855421685</v>
      </c>
      <c r="Q18" s="422">
        <v>17</v>
      </c>
    </row>
    <row r="19" spans="1:17" ht="14.4" customHeight="1" x14ac:dyDescent="0.3">
      <c r="A19" s="417" t="s">
        <v>1128</v>
      </c>
      <c r="B19" s="418" t="s">
        <v>986</v>
      </c>
      <c r="C19" s="418" t="s">
        <v>987</v>
      </c>
      <c r="D19" s="418" t="s">
        <v>1034</v>
      </c>
      <c r="E19" s="418" t="s">
        <v>1035</v>
      </c>
      <c r="F19" s="421"/>
      <c r="G19" s="421"/>
      <c r="H19" s="421"/>
      <c r="I19" s="421"/>
      <c r="J19" s="421">
        <v>4</v>
      </c>
      <c r="K19" s="421">
        <v>544</v>
      </c>
      <c r="L19" s="421"/>
      <c r="M19" s="421">
        <v>136</v>
      </c>
      <c r="N19" s="421"/>
      <c r="O19" s="421"/>
      <c r="P19" s="443"/>
      <c r="Q19" s="422"/>
    </row>
    <row r="20" spans="1:17" ht="14.4" customHeight="1" x14ac:dyDescent="0.3">
      <c r="A20" s="417" t="s">
        <v>1128</v>
      </c>
      <c r="B20" s="418" t="s">
        <v>986</v>
      </c>
      <c r="C20" s="418" t="s">
        <v>987</v>
      </c>
      <c r="D20" s="418" t="s">
        <v>1036</v>
      </c>
      <c r="E20" s="418" t="s">
        <v>1037</v>
      </c>
      <c r="F20" s="421">
        <v>6</v>
      </c>
      <c r="G20" s="421">
        <v>612</v>
      </c>
      <c r="H20" s="421">
        <v>1</v>
      </c>
      <c r="I20" s="421">
        <v>102</v>
      </c>
      <c r="J20" s="421">
        <v>9</v>
      </c>
      <c r="K20" s="421">
        <v>927</v>
      </c>
      <c r="L20" s="421">
        <v>1.5147058823529411</v>
      </c>
      <c r="M20" s="421">
        <v>103</v>
      </c>
      <c r="N20" s="421">
        <v>3</v>
      </c>
      <c r="O20" s="421">
        <v>309</v>
      </c>
      <c r="P20" s="443">
        <v>0.50490196078431371</v>
      </c>
      <c r="Q20" s="422">
        <v>103</v>
      </c>
    </row>
    <row r="21" spans="1:17" ht="14.4" customHeight="1" x14ac:dyDescent="0.3">
      <c r="A21" s="417" t="s">
        <v>1128</v>
      </c>
      <c r="B21" s="418" t="s">
        <v>986</v>
      </c>
      <c r="C21" s="418" t="s">
        <v>987</v>
      </c>
      <c r="D21" s="418" t="s">
        <v>1040</v>
      </c>
      <c r="E21" s="418" t="s">
        <v>1041</v>
      </c>
      <c r="F21" s="421">
        <v>112</v>
      </c>
      <c r="G21" s="421">
        <v>12656</v>
      </c>
      <c r="H21" s="421">
        <v>1</v>
      </c>
      <c r="I21" s="421">
        <v>113</v>
      </c>
      <c r="J21" s="421">
        <v>115</v>
      </c>
      <c r="K21" s="421">
        <v>13340</v>
      </c>
      <c r="L21" s="421">
        <v>1.0540455120101138</v>
      </c>
      <c r="M21" s="421">
        <v>116</v>
      </c>
      <c r="N21" s="421">
        <v>145</v>
      </c>
      <c r="O21" s="421">
        <v>16965</v>
      </c>
      <c r="P21" s="443">
        <v>1.3404709228824274</v>
      </c>
      <c r="Q21" s="422">
        <v>117</v>
      </c>
    </row>
    <row r="22" spans="1:17" ht="14.4" customHeight="1" x14ac:dyDescent="0.3">
      <c r="A22" s="417" t="s">
        <v>1128</v>
      </c>
      <c r="B22" s="418" t="s">
        <v>986</v>
      </c>
      <c r="C22" s="418" t="s">
        <v>987</v>
      </c>
      <c r="D22" s="418" t="s">
        <v>1042</v>
      </c>
      <c r="E22" s="418" t="s">
        <v>1043</v>
      </c>
      <c r="F22" s="421">
        <v>19</v>
      </c>
      <c r="G22" s="421">
        <v>1596</v>
      </c>
      <c r="H22" s="421">
        <v>1</v>
      </c>
      <c r="I22" s="421">
        <v>84</v>
      </c>
      <c r="J22" s="421">
        <v>29</v>
      </c>
      <c r="K22" s="421">
        <v>2465</v>
      </c>
      <c r="L22" s="421">
        <v>1.544486215538847</v>
      </c>
      <c r="M22" s="421">
        <v>85</v>
      </c>
      <c r="N22" s="421">
        <v>20</v>
      </c>
      <c r="O22" s="421">
        <v>1820</v>
      </c>
      <c r="P22" s="443">
        <v>1.1403508771929824</v>
      </c>
      <c r="Q22" s="422">
        <v>91</v>
      </c>
    </row>
    <row r="23" spans="1:17" ht="14.4" customHeight="1" x14ac:dyDescent="0.3">
      <c r="A23" s="417" t="s">
        <v>1128</v>
      </c>
      <c r="B23" s="418" t="s">
        <v>986</v>
      </c>
      <c r="C23" s="418" t="s">
        <v>987</v>
      </c>
      <c r="D23" s="418" t="s">
        <v>1044</v>
      </c>
      <c r="E23" s="418" t="s">
        <v>1045</v>
      </c>
      <c r="F23" s="421">
        <v>1</v>
      </c>
      <c r="G23" s="421">
        <v>96</v>
      </c>
      <c r="H23" s="421">
        <v>1</v>
      </c>
      <c r="I23" s="421">
        <v>96</v>
      </c>
      <c r="J23" s="421"/>
      <c r="K23" s="421"/>
      <c r="L23" s="421"/>
      <c r="M23" s="421"/>
      <c r="N23" s="421">
        <v>1</v>
      </c>
      <c r="O23" s="421">
        <v>99</v>
      </c>
      <c r="P23" s="443">
        <v>1.03125</v>
      </c>
      <c r="Q23" s="422">
        <v>99</v>
      </c>
    </row>
    <row r="24" spans="1:17" ht="14.4" customHeight="1" x14ac:dyDescent="0.3">
      <c r="A24" s="417" t="s">
        <v>1128</v>
      </c>
      <c r="B24" s="418" t="s">
        <v>986</v>
      </c>
      <c r="C24" s="418" t="s">
        <v>987</v>
      </c>
      <c r="D24" s="418" t="s">
        <v>1046</v>
      </c>
      <c r="E24" s="418" t="s">
        <v>1047</v>
      </c>
      <c r="F24" s="421">
        <v>9</v>
      </c>
      <c r="G24" s="421">
        <v>189</v>
      </c>
      <c r="H24" s="421">
        <v>1</v>
      </c>
      <c r="I24" s="421">
        <v>21</v>
      </c>
      <c r="J24" s="421">
        <v>26</v>
      </c>
      <c r="K24" s="421">
        <v>546</v>
      </c>
      <c r="L24" s="421">
        <v>2.8888888888888888</v>
      </c>
      <c r="M24" s="421">
        <v>21</v>
      </c>
      <c r="N24" s="421">
        <v>13</v>
      </c>
      <c r="O24" s="421">
        <v>273</v>
      </c>
      <c r="P24" s="443">
        <v>1.4444444444444444</v>
      </c>
      <c r="Q24" s="422">
        <v>21</v>
      </c>
    </row>
    <row r="25" spans="1:17" ht="14.4" customHeight="1" x14ac:dyDescent="0.3">
      <c r="A25" s="417" t="s">
        <v>1128</v>
      </c>
      <c r="B25" s="418" t="s">
        <v>986</v>
      </c>
      <c r="C25" s="418" t="s">
        <v>987</v>
      </c>
      <c r="D25" s="418" t="s">
        <v>1048</v>
      </c>
      <c r="E25" s="418" t="s">
        <v>1049</v>
      </c>
      <c r="F25" s="421">
        <v>152</v>
      </c>
      <c r="G25" s="421">
        <v>73872</v>
      </c>
      <c r="H25" s="421">
        <v>1</v>
      </c>
      <c r="I25" s="421">
        <v>486</v>
      </c>
      <c r="J25" s="421">
        <v>209</v>
      </c>
      <c r="K25" s="421">
        <v>101783</v>
      </c>
      <c r="L25" s="421">
        <v>1.377829218106996</v>
      </c>
      <c r="M25" s="421">
        <v>487</v>
      </c>
      <c r="N25" s="421">
        <v>333</v>
      </c>
      <c r="O25" s="421">
        <v>162504</v>
      </c>
      <c r="P25" s="443">
        <v>2.1998050682261208</v>
      </c>
      <c r="Q25" s="422">
        <v>488</v>
      </c>
    </row>
    <row r="26" spans="1:17" ht="14.4" customHeight="1" x14ac:dyDescent="0.3">
      <c r="A26" s="417" t="s">
        <v>1128</v>
      </c>
      <c r="B26" s="418" t="s">
        <v>986</v>
      </c>
      <c r="C26" s="418" t="s">
        <v>987</v>
      </c>
      <c r="D26" s="418" t="s">
        <v>1056</v>
      </c>
      <c r="E26" s="418" t="s">
        <v>1057</v>
      </c>
      <c r="F26" s="421">
        <v>28</v>
      </c>
      <c r="G26" s="421">
        <v>1120</v>
      </c>
      <c r="H26" s="421">
        <v>1</v>
      </c>
      <c r="I26" s="421">
        <v>40</v>
      </c>
      <c r="J26" s="421">
        <v>23</v>
      </c>
      <c r="K26" s="421">
        <v>943</v>
      </c>
      <c r="L26" s="421">
        <v>0.84196428571428572</v>
      </c>
      <c r="M26" s="421">
        <v>41</v>
      </c>
      <c r="N26" s="421">
        <v>29</v>
      </c>
      <c r="O26" s="421">
        <v>1189</v>
      </c>
      <c r="P26" s="443">
        <v>1.0616071428571427</v>
      </c>
      <c r="Q26" s="422">
        <v>41</v>
      </c>
    </row>
    <row r="27" spans="1:17" ht="14.4" customHeight="1" x14ac:dyDescent="0.3">
      <c r="A27" s="417" t="s">
        <v>1128</v>
      </c>
      <c r="B27" s="418" t="s">
        <v>986</v>
      </c>
      <c r="C27" s="418" t="s">
        <v>987</v>
      </c>
      <c r="D27" s="418" t="s">
        <v>1064</v>
      </c>
      <c r="E27" s="418" t="s">
        <v>1065</v>
      </c>
      <c r="F27" s="421"/>
      <c r="G27" s="421"/>
      <c r="H27" s="421"/>
      <c r="I27" s="421"/>
      <c r="J27" s="421"/>
      <c r="K27" s="421"/>
      <c r="L27" s="421"/>
      <c r="M27" s="421"/>
      <c r="N27" s="421">
        <v>1</v>
      </c>
      <c r="O27" s="421">
        <v>223</v>
      </c>
      <c r="P27" s="443"/>
      <c r="Q27" s="422">
        <v>223</v>
      </c>
    </row>
    <row r="28" spans="1:17" ht="14.4" customHeight="1" x14ac:dyDescent="0.3">
      <c r="A28" s="417" t="s">
        <v>1128</v>
      </c>
      <c r="B28" s="418" t="s">
        <v>986</v>
      </c>
      <c r="C28" s="418" t="s">
        <v>987</v>
      </c>
      <c r="D28" s="418" t="s">
        <v>1066</v>
      </c>
      <c r="E28" s="418" t="s">
        <v>1067</v>
      </c>
      <c r="F28" s="421">
        <v>3</v>
      </c>
      <c r="G28" s="421">
        <v>2283</v>
      </c>
      <c r="H28" s="421">
        <v>1</v>
      </c>
      <c r="I28" s="421">
        <v>761</v>
      </c>
      <c r="J28" s="421">
        <v>1</v>
      </c>
      <c r="K28" s="421">
        <v>762</v>
      </c>
      <c r="L28" s="421">
        <v>0.33377135348226017</v>
      </c>
      <c r="M28" s="421">
        <v>762</v>
      </c>
      <c r="N28" s="421">
        <v>2</v>
      </c>
      <c r="O28" s="421">
        <v>1526</v>
      </c>
      <c r="P28" s="443">
        <v>0.66841874726237405</v>
      </c>
      <c r="Q28" s="422">
        <v>763</v>
      </c>
    </row>
    <row r="29" spans="1:17" ht="14.4" customHeight="1" x14ac:dyDescent="0.3">
      <c r="A29" s="417" t="s">
        <v>1128</v>
      </c>
      <c r="B29" s="418" t="s">
        <v>986</v>
      </c>
      <c r="C29" s="418" t="s">
        <v>987</v>
      </c>
      <c r="D29" s="418" t="s">
        <v>1068</v>
      </c>
      <c r="E29" s="418" t="s">
        <v>1069</v>
      </c>
      <c r="F29" s="421">
        <v>3</v>
      </c>
      <c r="G29" s="421">
        <v>6087</v>
      </c>
      <c r="H29" s="421">
        <v>1</v>
      </c>
      <c r="I29" s="421">
        <v>2029</v>
      </c>
      <c r="J29" s="421">
        <v>5</v>
      </c>
      <c r="K29" s="421">
        <v>10360</v>
      </c>
      <c r="L29" s="421">
        <v>1.701987842943979</v>
      </c>
      <c r="M29" s="421">
        <v>2072</v>
      </c>
      <c r="N29" s="421">
        <v>4</v>
      </c>
      <c r="O29" s="421">
        <v>8448</v>
      </c>
      <c r="P29" s="443">
        <v>1.3878758008871366</v>
      </c>
      <c r="Q29" s="422">
        <v>2112</v>
      </c>
    </row>
    <row r="30" spans="1:17" ht="14.4" customHeight="1" x14ac:dyDescent="0.3">
      <c r="A30" s="417" t="s">
        <v>1128</v>
      </c>
      <c r="B30" s="418" t="s">
        <v>986</v>
      </c>
      <c r="C30" s="418" t="s">
        <v>987</v>
      </c>
      <c r="D30" s="418" t="s">
        <v>1070</v>
      </c>
      <c r="E30" s="418" t="s">
        <v>1071</v>
      </c>
      <c r="F30" s="421">
        <v>2</v>
      </c>
      <c r="G30" s="421">
        <v>1208</v>
      </c>
      <c r="H30" s="421">
        <v>1</v>
      </c>
      <c r="I30" s="421">
        <v>604</v>
      </c>
      <c r="J30" s="421">
        <v>4</v>
      </c>
      <c r="K30" s="421">
        <v>2432</v>
      </c>
      <c r="L30" s="421">
        <v>2.0132450331125828</v>
      </c>
      <c r="M30" s="421">
        <v>608</v>
      </c>
      <c r="N30" s="421">
        <v>2</v>
      </c>
      <c r="O30" s="421">
        <v>1228</v>
      </c>
      <c r="P30" s="443">
        <v>1.0165562913907285</v>
      </c>
      <c r="Q30" s="422">
        <v>614</v>
      </c>
    </row>
    <row r="31" spans="1:17" ht="14.4" customHeight="1" x14ac:dyDescent="0.3">
      <c r="A31" s="417" t="s">
        <v>1128</v>
      </c>
      <c r="B31" s="418" t="s">
        <v>986</v>
      </c>
      <c r="C31" s="418" t="s">
        <v>987</v>
      </c>
      <c r="D31" s="418" t="s">
        <v>1074</v>
      </c>
      <c r="E31" s="418" t="s">
        <v>1075</v>
      </c>
      <c r="F31" s="421">
        <v>5</v>
      </c>
      <c r="G31" s="421">
        <v>2530</v>
      </c>
      <c r="H31" s="421">
        <v>1</v>
      </c>
      <c r="I31" s="421">
        <v>506</v>
      </c>
      <c r="J31" s="421"/>
      <c r="K31" s="421"/>
      <c r="L31" s="421"/>
      <c r="M31" s="421"/>
      <c r="N31" s="421"/>
      <c r="O31" s="421"/>
      <c r="P31" s="443"/>
      <c r="Q31" s="422"/>
    </row>
    <row r="32" spans="1:17" ht="14.4" customHeight="1" x14ac:dyDescent="0.3">
      <c r="A32" s="417" t="s">
        <v>1128</v>
      </c>
      <c r="B32" s="418" t="s">
        <v>986</v>
      </c>
      <c r="C32" s="418" t="s">
        <v>987</v>
      </c>
      <c r="D32" s="418" t="s">
        <v>1088</v>
      </c>
      <c r="E32" s="418" t="s">
        <v>1089</v>
      </c>
      <c r="F32" s="421"/>
      <c r="G32" s="421"/>
      <c r="H32" s="421"/>
      <c r="I32" s="421"/>
      <c r="J32" s="421">
        <v>6</v>
      </c>
      <c r="K32" s="421">
        <v>912</v>
      </c>
      <c r="L32" s="421"/>
      <c r="M32" s="421">
        <v>152</v>
      </c>
      <c r="N32" s="421"/>
      <c r="O32" s="421"/>
      <c r="P32" s="443"/>
      <c r="Q32" s="422"/>
    </row>
    <row r="33" spans="1:17" ht="14.4" customHeight="1" x14ac:dyDescent="0.3">
      <c r="A33" s="417" t="s">
        <v>1129</v>
      </c>
      <c r="B33" s="418" t="s">
        <v>986</v>
      </c>
      <c r="C33" s="418" t="s">
        <v>987</v>
      </c>
      <c r="D33" s="418" t="s">
        <v>988</v>
      </c>
      <c r="E33" s="418" t="s">
        <v>989</v>
      </c>
      <c r="F33" s="421">
        <v>202</v>
      </c>
      <c r="G33" s="421">
        <v>32118</v>
      </c>
      <c r="H33" s="421">
        <v>1</v>
      </c>
      <c r="I33" s="421">
        <v>159</v>
      </c>
      <c r="J33" s="421">
        <v>243</v>
      </c>
      <c r="K33" s="421">
        <v>39123</v>
      </c>
      <c r="L33" s="421">
        <v>1.2181019988791333</v>
      </c>
      <c r="M33" s="421">
        <v>161</v>
      </c>
      <c r="N33" s="421">
        <v>228</v>
      </c>
      <c r="O33" s="421">
        <v>39444</v>
      </c>
      <c r="P33" s="443">
        <v>1.2280963945451149</v>
      </c>
      <c r="Q33" s="422">
        <v>173</v>
      </c>
    </row>
    <row r="34" spans="1:17" ht="14.4" customHeight="1" x14ac:dyDescent="0.3">
      <c r="A34" s="417" t="s">
        <v>1129</v>
      </c>
      <c r="B34" s="418" t="s">
        <v>986</v>
      </c>
      <c r="C34" s="418" t="s">
        <v>987</v>
      </c>
      <c r="D34" s="418" t="s">
        <v>1002</v>
      </c>
      <c r="E34" s="418" t="s">
        <v>1003</v>
      </c>
      <c r="F34" s="421">
        <v>2</v>
      </c>
      <c r="G34" s="421">
        <v>2330</v>
      </c>
      <c r="H34" s="421">
        <v>1</v>
      </c>
      <c r="I34" s="421">
        <v>1165</v>
      </c>
      <c r="J34" s="421"/>
      <c r="K34" s="421"/>
      <c r="L34" s="421"/>
      <c r="M34" s="421"/>
      <c r="N34" s="421">
        <v>4</v>
      </c>
      <c r="O34" s="421">
        <v>4692</v>
      </c>
      <c r="P34" s="443">
        <v>2.0137339055793992</v>
      </c>
      <c r="Q34" s="422">
        <v>1173</v>
      </c>
    </row>
    <row r="35" spans="1:17" ht="14.4" customHeight="1" x14ac:dyDescent="0.3">
      <c r="A35" s="417" t="s">
        <v>1129</v>
      </c>
      <c r="B35" s="418" t="s">
        <v>986</v>
      </c>
      <c r="C35" s="418" t="s">
        <v>987</v>
      </c>
      <c r="D35" s="418" t="s">
        <v>1004</v>
      </c>
      <c r="E35" s="418" t="s">
        <v>1005</v>
      </c>
      <c r="F35" s="421">
        <v>141</v>
      </c>
      <c r="G35" s="421">
        <v>5499</v>
      </c>
      <c r="H35" s="421">
        <v>1</v>
      </c>
      <c r="I35" s="421">
        <v>39</v>
      </c>
      <c r="J35" s="421">
        <v>100</v>
      </c>
      <c r="K35" s="421">
        <v>4000</v>
      </c>
      <c r="L35" s="421">
        <v>0.72740498272413168</v>
      </c>
      <c r="M35" s="421">
        <v>40</v>
      </c>
      <c r="N35" s="421">
        <v>133</v>
      </c>
      <c r="O35" s="421">
        <v>5453</v>
      </c>
      <c r="P35" s="443">
        <v>0.99163484269867253</v>
      </c>
      <c r="Q35" s="422">
        <v>41</v>
      </c>
    </row>
    <row r="36" spans="1:17" ht="14.4" customHeight="1" x14ac:dyDescent="0.3">
      <c r="A36" s="417" t="s">
        <v>1129</v>
      </c>
      <c r="B36" s="418" t="s">
        <v>986</v>
      </c>
      <c r="C36" s="418" t="s">
        <v>987</v>
      </c>
      <c r="D36" s="418" t="s">
        <v>1006</v>
      </c>
      <c r="E36" s="418" t="s">
        <v>1007</v>
      </c>
      <c r="F36" s="421">
        <v>37</v>
      </c>
      <c r="G36" s="421">
        <v>14134</v>
      </c>
      <c r="H36" s="421">
        <v>1</v>
      </c>
      <c r="I36" s="421">
        <v>382</v>
      </c>
      <c r="J36" s="421">
        <v>45</v>
      </c>
      <c r="K36" s="421">
        <v>17235</v>
      </c>
      <c r="L36" s="421">
        <v>1.2194000283005519</v>
      </c>
      <c r="M36" s="421">
        <v>383</v>
      </c>
      <c r="N36" s="421">
        <v>35</v>
      </c>
      <c r="O36" s="421">
        <v>13440</v>
      </c>
      <c r="P36" s="443">
        <v>0.95089854252157913</v>
      </c>
      <c r="Q36" s="422">
        <v>384</v>
      </c>
    </row>
    <row r="37" spans="1:17" ht="14.4" customHeight="1" x14ac:dyDescent="0.3">
      <c r="A37" s="417" t="s">
        <v>1129</v>
      </c>
      <c r="B37" s="418" t="s">
        <v>986</v>
      </c>
      <c r="C37" s="418" t="s">
        <v>987</v>
      </c>
      <c r="D37" s="418" t="s">
        <v>1008</v>
      </c>
      <c r="E37" s="418" t="s">
        <v>1009</v>
      </c>
      <c r="F37" s="421">
        <v>215</v>
      </c>
      <c r="G37" s="421">
        <v>7955</v>
      </c>
      <c r="H37" s="421">
        <v>1</v>
      </c>
      <c r="I37" s="421">
        <v>37</v>
      </c>
      <c r="J37" s="421">
        <v>134</v>
      </c>
      <c r="K37" s="421">
        <v>4958</v>
      </c>
      <c r="L37" s="421">
        <v>0.62325581395348839</v>
      </c>
      <c r="M37" s="421">
        <v>37</v>
      </c>
      <c r="N37" s="421">
        <v>219</v>
      </c>
      <c r="O37" s="421">
        <v>8103</v>
      </c>
      <c r="P37" s="443">
        <v>1.0186046511627906</v>
      </c>
      <c r="Q37" s="422">
        <v>37</v>
      </c>
    </row>
    <row r="38" spans="1:17" ht="14.4" customHeight="1" x14ac:dyDescent="0.3">
      <c r="A38" s="417" t="s">
        <v>1129</v>
      </c>
      <c r="B38" s="418" t="s">
        <v>986</v>
      </c>
      <c r="C38" s="418" t="s">
        <v>987</v>
      </c>
      <c r="D38" s="418" t="s">
        <v>1012</v>
      </c>
      <c r="E38" s="418" t="s">
        <v>1013</v>
      </c>
      <c r="F38" s="421">
        <v>42</v>
      </c>
      <c r="G38" s="421">
        <v>18648</v>
      </c>
      <c r="H38" s="421">
        <v>1</v>
      </c>
      <c r="I38" s="421">
        <v>444</v>
      </c>
      <c r="J38" s="421">
        <v>42</v>
      </c>
      <c r="K38" s="421">
        <v>18690</v>
      </c>
      <c r="L38" s="421">
        <v>1.0022522522522523</v>
      </c>
      <c r="M38" s="421">
        <v>445</v>
      </c>
      <c r="N38" s="421">
        <v>30</v>
      </c>
      <c r="O38" s="421">
        <v>13380</v>
      </c>
      <c r="P38" s="443">
        <v>0.71750321750321755</v>
      </c>
      <c r="Q38" s="422">
        <v>446</v>
      </c>
    </row>
    <row r="39" spans="1:17" ht="14.4" customHeight="1" x14ac:dyDescent="0.3">
      <c r="A39" s="417" t="s">
        <v>1129</v>
      </c>
      <c r="B39" s="418" t="s">
        <v>986</v>
      </c>
      <c r="C39" s="418" t="s">
        <v>987</v>
      </c>
      <c r="D39" s="418" t="s">
        <v>1014</v>
      </c>
      <c r="E39" s="418" t="s">
        <v>1015</v>
      </c>
      <c r="F39" s="421">
        <v>2</v>
      </c>
      <c r="G39" s="421">
        <v>82</v>
      </c>
      <c r="H39" s="421">
        <v>1</v>
      </c>
      <c r="I39" s="421">
        <v>41</v>
      </c>
      <c r="J39" s="421"/>
      <c r="K39" s="421"/>
      <c r="L39" s="421"/>
      <c r="M39" s="421"/>
      <c r="N39" s="421"/>
      <c r="O39" s="421"/>
      <c r="P39" s="443"/>
      <c r="Q39" s="422"/>
    </row>
    <row r="40" spans="1:17" ht="14.4" customHeight="1" x14ac:dyDescent="0.3">
      <c r="A40" s="417" t="s">
        <v>1129</v>
      </c>
      <c r="B40" s="418" t="s">
        <v>986</v>
      </c>
      <c r="C40" s="418" t="s">
        <v>987</v>
      </c>
      <c r="D40" s="418" t="s">
        <v>1016</v>
      </c>
      <c r="E40" s="418" t="s">
        <v>1017</v>
      </c>
      <c r="F40" s="421">
        <v>14</v>
      </c>
      <c r="G40" s="421">
        <v>6860</v>
      </c>
      <c r="H40" s="421">
        <v>1</v>
      </c>
      <c r="I40" s="421">
        <v>490</v>
      </c>
      <c r="J40" s="421">
        <v>27</v>
      </c>
      <c r="K40" s="421">
        <v>13257</v>
      </c>
      <c r="L40" s="421">
        <v>1.9325072886297376</v>
      </c>
      <c r="M40" s="421">
        <v>491</v>
      </c>
      <c r="N40" s="421">
        <v>52</v>
      </c>
      <c r="O40" s="421">
        <v>25584</v>
      </c>
      <c r="P40" s="443">
        <v>3.7294460641399416</v>
      </c>
      <c r="Q40" s="422">
        <v>492</v>
      </c>
    </row>
    <row r="41" spans="1:17" ht="14.4" customHeight="1" x14ac:dyDescent="0.3">
      <c r="A41" s="417" t="s">
        <v>1129</v>
      </c>
      <c r="B41" s="418" t="s">
        <v>986</v>
      </c>
      <c r="C41" s="418" t="s">
        <v>987</v>
      </c>
      <c r="D41" s="418" t="s">
        <v>1018</v>
      </c>
      <c r="E41" s="418" t="s">
        <v>1019</v>
      </c>
      <c r="F41" s="421">
        <v>10</v>
      </c>
      <c r="G41" s="421">
        <v>310</v>
      </c>
      <c r="H41" s="421">
        <v>1</v>
      </c>
      <c r="I41" s="421">
        <v>31</v>
      </c>
      <c r="J41" s="421"/>
      <c r="K41" s="421"/>
      <c r="L41" s="421"/>
      <c r="M41" s="421"/>
      <c r="N41" s="421">
        <v>5</v>
      </c>
      <c r="O41" s="421">
        <v>155</v>
      </c>
      <c r="P41" s="443">
        <v>0.5</v>
      </c>
      <c r="Q41" s="422">
        <v>31</v>
      </c>
    </row>
    <row r="42" spans="1:17" ht="14.4" customHeight="1" x14ac:dyDescent="0.3">
      <c r="A42" s="417" t="s">
        <v>1129</v>
      </c>
      <c r="B42" s="418" t="s">
        <v>986</v>
      </c>
      <c r="C42" s="418" t="s">
        <v>987</v>
      </c>
      <c r="D42" s="418" t="s">
        <v>1020</v>
      </c>
      <c r="E42" s="418" t="s">
        <v>1021</v>
      </c>
      <c r="F42" s="421">
        <v>1</v>
      </c>
      <c r="G42" s="421">
        <v>205</v>
      </c>
      <c r="H42" s="421">
        <v>1</v>
      </c>
      <c r="I42" s="421">
        <v>205</v>
      </c>
      <c r="J42" s="421">
        <v>2</v>
      </c>
      <c r="K42" s="421">
        <v>414</v>
      </c>
      <c r="L42" s="421">
        <v>2.0195121951219512</v>
      </c>
      <c r="M42" s="421">
        <v>207</v>
      </c>
      <c r="N42" s="421">
        <v>4</v>
      </c>
      <c r="O42" s="421">
        <v>832</v>
      </c>
      <c r="P42" s="443">
        <v>4.0585365853658537</v>
      </c>
      <c r="Q42" s="422">
        <v>208</v>
      </c>
    </row>
    <row r="43" spans="1:17" ht="14.4" customHeight="1" x14ac:dyDescent="0.3">
      <c r="A43" s="417" t="s">
        <v>1129</v>
      </c>
      <c r="B43" s="418" t="s">
        <v>986</v>
      </c>
      <c r="C43" s="418" t="s">
        <v>987</v>
      </c>
      <c r="D43" s="418" t="s">
        <v>1022</v>
      </c>
      <c r="E43" s="418" t="s">
        <v>1023</v>
      </c>
      <c r="F43" s="421"/>
      <c r="G43" s="421"/>
      <c r="H43" s="421"/>
      <c r="I43" s="421"/>
      <c r="J43" s="421">
        <v>2</v>
      </c>
      <c r="K43" s="421">
        <v>760</v>
      </c>
      <c r="L43" s="421"/>
      <c r="M43" s="421">
        <v>380</v>
      </c>
      <c r="N43" s="421">
        <v>4</v>
      </c>
      <c r="O43" s="421">
        <v>1536</v>
      </c>
      <c r="P43" s="443"/>
      <c r="Q43" s="422">
        <v>384</v>
      </c>
    </row>
    <row r="44" spans="1:17" ht="14.4" customHeight="1" x14ac:dyDescent="0.3">
      <c r="A44" s="417" t="s">
        <v>1129</v>
      </c>
      <c r="B44" s="418" t="s">
        <v>986</v>
      </c>
      <c r="C44" s="418" t="s">
        <v>987</v>
      </c>
      <c r="D44" s="418" t="s">
        <v>1026</v>
      </c>
      <c r="E44" s="418" t="s">
        <v>1027</v>
      </c>
      <c r="F44" s="421"/>
      <c r="G44" s="421"/>
      <c r="H44" s="421"/>
      <c r="I44" s="421"/>
      <c r="J44" s="421">
        <v>2</v>
      </c>
      <c r="K44" s="421">
        <v>262</v>
      </c>
      <c r="L44" s="421"/>
      <c r="M44" s="421">
        <v>131</v>
      </c>
      <c r="N44" s="421"/>
      <c r="O44" s="421"/>
      <c r="P44" s="443"/>
      <c r="Q44" s="422"/>
    </row>
    <row r="45" spans="1:17" ht="14.4" customHeight="1" x14ac:dyDescent="0.3">
      <c r="A45" s="417" t="s">
        <v>1129</v>
      </c>
      <c r="B45" s="418" t="s">
        <v>986</v>
      </c>
      <c r="C45" s="418" t="s">
        <v>987</v>
      </c>
      <c r="D45" s="418" t="s">
        <v>1032</v>
      </c>
      <c r="E45" s="418" t="s">
        <v>1033</v>
      </c>
      <c r="F45" s="421">
        <v>194</v>
      </c>
      <c r="G45" s="421">
        <v>3104</v>
      </c>
      <c r="H45" s="421">
        <v>1</v>
      </c>
      <c r="I45" s="421">
        <v>16</v>
      </c>
      <c r="J45" s="421">
        <v>165</v>
      </c>
      <c r="K45" s="421">
        <v>2640</v>
      </c>
      <c r="L45" s="421">
        <v>0.85051546391752575</v>
      </c>
      <c r="M45" s="421">
        <v>16</v>
      </c>
      <c r="N45" s="421">
        <v>170</v>
      </c>
      <c r="O45" s="421">
        <v>2890</v>
      </c>
      <c r="P45" s="443">
        <v>0.93105670103092786</v>
      </c>
      <c r="Q45" s="422">
        <v>17</v>
      </c>
    </row>
    <row r="46" spans="1:17" ht="14.4" customHeight="1" x14ac:dyDescent="0.3">
      <c r="A46" s="417" t="s">
        <v>1129</v>
      </c>
      <c r="B46" s="418" t="s">
        <v>986</v>
      </c>
      <c r="C46" s="418" t="s">
        <v>987</v>
      </c>
      <c r="D46" s="418" t="s">
        <v>1034</v>
      </c>
      <c r="E46" s="418" t="s">
        <v>1035</v>
      </c>
      <c r="F46" s="421"/>
      <c r="G46" s="421"/>
      <c r="H46" s="421"/>
      <c r="I46" s="421"/>
      <c r="J46" s="421">
        <v>1</v>
      </c>
      <c r="K46" s="421">
        <v>136</v>
      </c>
      <c r="L46" s="421"/>
      <c r="M46" s="421">
        <v>136</v>
      </c>
      <c r="N46" s="421"/>
      <c r="O46" s="421"/>
      <c r="P46" s="443"/>
      <c r="Q46" s="422"/>
    </row>
    <row r="47" spans="1:17" ht="14.4" customHeight="1" x14ac:dyDescent="0.3">
      <c r="A47" s="417" t="s">
        <v>1129</v>
      </c>
      <c r="B47" s="418" t="s">
        <v>986</v>
      </c>
      <c r="C47" s="418" t="s">
        <v>987</v>
      </c>
      <c r="D47" s="418" t="s">
        <v>1036</v>
      </c>
      <c r="E47" s="418" t="s">
        <v>1037</v>
      </c>
      <c r="F47" s="421">
        <v>10</v>
      </c>
      <c r="G47" s="421">
        <v>1020</v>
      </c>
      <c r="H47" s="421">
        <v>1</v>
      </c>
      <c r="I47" s="421">
        <v>102</v>
      </c>
      <c r="J47" s="421">
        <v>11</v>
      </c>
      <c r="K47" s="421">
        <v>1133</v>
      </c>
      <c r="L47" s="421">
        <v>1.1107843137254902</v>
      </c>
      <c r="M47" s="421">
        <v>103</v>
      </c>
      <c r="N47" s="421">
        <v>7</v>
      </c>
      <c r="O47" s="421">
        <v>721</v>
      </c>
      <c r="P47" s="443">
        <v>0.70686274509803926</v>
      </c>
      <c r="Q47" s="422">
        <v>103</v>
      </c>
    </row>
    <row r="48" spans="1:17" ht="14.4" customHeight="1" x14ac:dyDescent="0.3">
      <c r="A48" s="417" t="s">
        <v>1129</v>
      </c>
      <c r="B48" s="418" t="s">
        <v>986</v>
      </c>
      <c r="C48" s="418" t="s">
        <v>987</v>
      </c>
      <c r="D48" s="418" t="s">
        <v>1040</v>
      </c>
      <c r="E48" s="418" t="s">
        <v>1041</v>
      </c>
      <c r="F48" s="421">
        <v>248</v>
      </c>
      <c r="G48" s="421">
        <v>28024</v>
      </c>
      <c r="H48" s="421">
        <v>1</v>
      </c>
      <c r="I48" s="421">
        <v>113</v>
      </c>
      <c r="J48" s="421">
        <v>174</v>
      </c>
      <c r="K48" s="421">
        <v>20184</v>
      </c>
      <c r="L48" s="421">
        <v>0.72023979446188979</v>
      </c>
      <c r="M48" s="421">
        <v>116</v>
      </c>
      <c r="N48" s="421">
        <v>239</v>
      </c>
      <c r="O48" s="421">
        <v>27963</v>
      </c>
      <c r="P48" s="443">
        <v>0.99782329431915506</v>
      </c>
      <c r="Q48" s="422">
        <v>117</v>
      </c>
    </row>
    <row r="49" spans="1:17" ht="14.4" customHeight="1" x14ac:dyDescent="0.3">
      <c r="A49" s="417" t="s">
        <v>1129</v>
      </c>
      <c r="B49" s="418" t="s">
        <v>986</v>
      </c>
      <c r="C49" s="418" t="s">
        <v>987</v>
      </c>
      <c r="D49" s="418" t="s">
        <v>1042</v>
      </c>
      <c r="E49" s="418" t="s">
        <v>1043</v>
      </c>
      <c r="F49" s="421">
        <v>56</v>
      </c>
      <c r="G49" s="421">
        <v>4704</v>
      </c>
      <c r="H49" s="421">
        <v>1</v>
      </c>
      <c r="I49" s="421">
        <v>84</v>
      </c>
      <c r="J49" s="421">
        <v>55</v>
      </c>
      <c r="K49" s="421">
        <v>4675</v>
      </c>
      <c r="L49" s="421">
        <v>0.9938350340136054</v>
      </c>
      <c r="M49" s="421">
        <v>85</v>
      </c>
      <c r="N49" s="421">
        <v>73</v>
      </c>
      <c r="O49" s="421">
        <v>6643</v>
      </c>
      <c r="P49" s="443">
        <v>1.4122023809523809</v>
      </c>
      <c r="Q49" s="422">
        <v>91</v>
      </c>
    </row>
    <row r="50" spans="1:17" ht="14.4" customHeight="1" x14ac:dyDescent="0.3">
      <c r="A50" s="417" t="s">
        <v>1129</v>
      </c>
      <c r="B50" s="418" t="s">
        <v>986</v>
      </c>
      <c r="C50" s="418" t="s">
        <v>987</v>
      </c>
      <c r="D50" s="418" t="s">
        <v>1044</v>
      </c>
      <c r="E50" s="418" t="s">
        <v>1045</v>
      </c>
      <c r="F50" s="421">
        <v>1</v>
      </c>
      <c r="G50" s="421">
        <v>96</v>
      </c>
      <c r="H50" s="421">
        <v>1</v>
      </c>
      <c r="I50" s="421">
        <v>96</v>
      </c>
      <c r="J50" s="421">
        <v>1</v>
      </c>
      <c r="K50" s="421">
        <v>98</v>
      </c>
      <c r="L50" s="421">
        <v>1.0208333333333333</v>
      </c>
      <c r="M50" s="421">
        <v>98</v>
      </c>
      <c r="N50" s="421">
        <v>1</v>
      </c>
      <c r="O50" s="421">
        <v>99</v>
      </c>
      <c r="P50" s="443">
        <v>1.03125</v>
      </c>
      <c r="Q50" s="422">
        <v>99</v>
      </c>
    </row>
    <row r="51" spans="1:17" ht="14.4" customHeight="1" x14ac:dyDescent="0.3">
      <c r="A51" s="417" t="s">
        <v>1129</v>
      </c>
      <c r="B51" s="418" t="s">
        <v>986</v>
      </c>
      <c r="C51" s="418" t="s">
        <v>987</v>
      </c>
      <c r="D51" s="418" t="s">
        <v>1046</v>
      </c>
      <c r="E51" s="418" t="s">
        <v>1047</v>
      </c>
      <c r="F51" s="421">
        <v>15</v>
      </c>
      <c r="G51" s="421">
        <v>315</v>
      </c>
      <c r="H51" s="421">
        <v>1</v>
      </c>
      <c r="I51" s="421">
        <v>21</v>
      </c>
      <c r="J51" s="421">
        <v>15</v>
      </c>
      <c r="K51" s="421">
        <v>315</v>
      </c>
      <c r="L51" s="421">
        <v>1</v>
      </c>
      <c r="M51" s="421">
        <v>21</v>
      </c>
      <c r="N51" s="421">
        <v>13</v>
      </c>
      <c r="O51" s="421">
        <v>273</v>
      </c>
      <c r="P51" s="443">
        <v>0.8666666666666667</v>
      </c>
      <c r="Q51" s="422">
        <v>21</v>
      </c>
    </row>
    <row r="52" spans="1:17" ht="14.4" customHeight="1" x14ac:dyDescent="0.3">
      <c r="A52" s="417" t="s">
        <v>1129</v>
      </c>
      <c r="B52" s="418" t="s">
        <v>986</v>
      </c>
      <c r="C52" s="418" t="s">
        <v>987</v>
      </c>
      <c r="D52" s="418" t="s">
        <v>1048</v>
      </c>
      <c r="E52" s="418" t="s">
        <v>1049</v>
      </c>
      <c r="F52" s="421">
        <v>199</v>
      </c>
      <c r="G52" s="421">
        <v>96714</v>
      </c>
      <c r="H52" s="421">
        <v>1</v>
      </c>
      <c r="I52" s="421">
        <v>486</v>
      </c>
      <c r="J52" s="421">
        <v>160</v>
      </c>
      <c r="K52" s="421">
        <v>77920</v>
      </c>
      <c r="L52" s="421">
        <v>0.8056744628492255</v>
      </c>
      <c r="M52" s="421">
        <v>487</v>
      </c>
      <c r="N52" s="421">
        <v>154</v>
      </c>
      <c r="O52" s="421">
        <v>75152</v>
      </c>
      <c r="P52" s="443">
        <v>0.7770539942510909</v>
      </c>
      <c r="Q52" s="422">
        <v>488</v>
      </c>
    </row>
    <row r="53" spans="1:17" ht="14.4" customHeight="1" x14ac:dyDescent="0.3">
      <c r="A53" s="417" t="s">
        <v>1129</v>
      </c>
      <c r="B53" s="418" t="s">
        <v>986</v>
      </c>
      <c r="C53" s="418" t="s">
        <v>987</v>
      </c>
      <c r="D53" s="418" t="s">
        <v>1056</v>
      </c>
      <c r="E53" s="418" t="s">
        <v>1057</v>
      </c>
      <c r="F53" s="421">
        <v>42</v>
      </c>
      <c r="G53" s="421">
        <v>1680</v>
      </c>
      <c r="H53" s="421">
        <v>1</v>
      </c>
      <c r="I53" s="421">
        <v>40</v>
      </c>
      <c r="J53" s="421">
        <v>18</v>
      </c>
      <c r="K53" s="421">
        <v>738</v>
      </c>
      <c r="L53" s="421">
        <v>0.43928571428571428</v>
      </c>
      <c r="M53" s="421">
        <v>41</v>
      </c>
      <c r="N53" s="421">
        <v>37</v>
      </c>
      <c r="O53" s="421">
        <v>1517</v>
      </c>
      <c r="P53" s="443">
        <v>0.90297619047619049</v>
      </c>
      <c r="Q53" s="422">
        <v>41</v>
      </c>
    </row>
    <row r="54" spans="1:17" ht="14.4" customHeight="1" x14ac:dyDescent="0.3">
      <c r="A54" s="417" t="s">
        <v>1129</v>
      </c>
      <c r="B54" s="418" t="s">
        <v>986</v>
      </c>
      <c r="C54" s="418" t="s">
        <v>987</v>
      </c>
      <c r="D54" s="418" t="s">
        <v>1064</v>
      </c>
      <c r="E54" s="418" t="s">
        <v>1065</v>
      </c>
      <c r="F54" s="421">
        <v>1</v>
      </c>
      <c r="G54" s="421">
        <v>215</v>
      </c>
      <c r="H54" s="421">
        <v>1</v>
      </c>
      <c r="I54" s="421">
        <v>215</v>
      </c>
      <c r="J54" s="421"/>
      <c r="K54" s="421"/>
      <c r="L54" s="421"/>
      <c r="M54" s="421"/>
      <c r="N54" s="421"/>
      <c r="O54" s="421"/>
      <c r="P54" s="443"/>
      <c r="Q54" s="422"/>
    </row>
    <row r="55" spans="1:17" ht="14.4" customHeight="1" x14ac:dyDescent="0.3">
      <c r="A55" s="417" t="s">
        <v>1129</v>
      </c>
      <c r="B55" s="418" t="s">
        <v>986</v>
      </c>
      <c r="C55" s="418" t="s">
        <v>987</v>
      </c>
      <c r="D55" s="418" t="s">
        <v>1066</v>
      </c>
      <c r="E55" s="418" t="s">
        <v>1067</v>
      </c>
      <c r="F55" s="421">
        <v>7</v>
      </c>
      <c r="G55" s="421">
        <v>5327</v>
      </c>
      <c r="H55" s="421">
        <v>1</v>
      </c>
      <c r="I55" s="421">
        <v>761</v>
      </c>
      <c r="J55" s="421">
        <v>3</v>
      </c>
      <c r="K55" s="421">
        <v>2286</v>
      </c>
      <c r="L55" s="421">
        <v>0.42913459733433451</v>
      </c>
      <c r="M55" s="421">
        <v>762</v>
      </c>
      <c r="N55" s="421">
        <v>18</v>
      </c>
      <c r="O55" s="421">
        <v>13734</v>
      </c>
      <c r="P55" s="443">
        <v>2.5781865965834427</v>
      </c>
      <c r="Q55" s="422">
        <v>763</v>
      </c>
    </row>
    <row r="56" spans="1:17" ht="14.4" customHeight="1" x14ac:dyDescent="0.3">
      <c r="A56" s="417" t="s">
        <v>1129</v>
      </c>
      <c r="B56" s="418" t="s">
        <v>986</v>
      </c>
      <c r="C56" s="418" t="s">
        <v>987</v>
      </c>
      <c r="D56" s="418" t="s">
        <v>1068</v>
      </c>
      <c r="E56" s="418" t="s">
        <v>1069</v>
      </c>
      <c r="F56" s="421">
        <v>3</v>
      </c>
      <c r="G56" s="421">
        <v>6087</v>
      </c>
      <c r="H56" s="421">
        <v>1</v>
      </c>
      <c r="I56" s="421">
        <v>2029</v>
      </c>
      <c r="J56" s="421"/>
      <c r="K56" s="421"/>
      <c r="L56" s="421"/>
      <c r="M56" s="421"/>
      <c r="N56" s="421">
        <v>1</v>
      </c>
      <c r="O56" s="421">
        <v>2112</v>
      </c>
      <c r="P56" s="443">
        <v>0.34696895022178414</v>
      </c>
      <c r="Q56" s="422">
        <v>2112</v>
      </c>
    </row>
    <row r="57" spans="1:17" ht="14.4" customHeight="1" x14ac:dyDescent="0.3">
      <c r="A57" s="417" t="s">
        <v>1129</v>
      </c>
      <c r="B57" s="418" t="s">
        <v>986</v>
      </c>
      <c r="C57" s="418" t="s">
        <v>987</v>
      </c>
      <c r="D57" s="418" t="s">
        <v>1070</v>
      </c>
      <c r="E57" s="418" t="s">
        <v>1071</v>
      </c>
      <c r="F57" s="421">
        <v>48</v>
      </c>
      <c r="G57" s="421">
        <v>28992</v>
      </c>
      <c r="H57" s="421">
        <v>1</v>
      </c>
      <c r="I57" s="421">
        <v>604</v>
      </c>
      <c r="J57" s="421">
        <v>39</v>
      </c>
      <c r="K57" s="421">
        <v>23712</v>
      </c>
      <c r="L57" s="421">
        <v>0.81788079470198671</v>
      </c>
      <c r="M57" s="421">
        <v>608</v>
      </c>
      <c r="N57" s="421">
        <v>24</v>
      </c>
      <c r="O57" s="421">
        <v>14736</v>
      </c>
      <c r="P57" s="443">
        <v>0.50827814569536423</v>
      </c>
      <c r="Q57" s="422">
        <v>614</v>
      </c>
    </row>
    <row r="58" spans="1:17" ht="14.4" customHeight="1" x14ac:dyDescent="0.3">
      <c r="A58" s="417" t="s">
        <v>1129</v>
      </c>
      <c r="B58" s="418" t="s">
        <v>986</v>
      </c>
      <c r="C58" s="418" t="s">
        <v>987</v>
      </c>
      <c r="D58" s="418" t="s">
        <v>1074</v>
      </c>
      <c r="E58" s="418" t="s">
        <v>1075</v>
      </c>
      <c r="F58" s="421">
        <v>7</v>
      </c>
      <c r="G58" s="421">
        <v>3542</v>
      </c>
      <c r="H58" s="421">
        <v>1</v>
      </c>
      <c r="I58" s="421">
        <v>506</v>
      </c>
      <c r="J58" s="421"/>
      <c r="K58" s="421"/>
      <c r="L58" s="421"/>
      <c r="M58" s="421"/>
      <c r="N58" s="421"/>
      <c r="O58" s="421"/>
      <c r="P58" s="443"/>
      <c r="Q58" s="422"/>
    </row>
    <row r="59" spans="1:17" ht="14.4" customHeight="1" x14ac:dyDescent="0.3">
      <c r="A59" s="417" t="s">
        <v>1129</v>
      </c>
      <c r="B59" s="418" t="s">
        <v>986</v>
      </c>
      <c r="C59" s="418" t="s">
        <v>987</v>
      </c>
      <c r="D59" s="418" t="s">
        <v>1088</v>
      </c>
      <c r="E59" s="418" t="s">
        <v>1089</v>
      </c>
      <c r="F59" s="421">
        <v>28</v>
      </c>
      <c r="G59" s="421">
        <v>4256</v>
      </c>
      <c r="H59" s="421">
        <v>1</v>
      </c>
      <c r="I59" s="421">
        <v>152</v>
      </c>
      <c r="J59" s="421">
        <v>26</v>
      </c>
      <c r="K59" s="421">
        <v>3952</v>
      </c>
      <c r="L59" s="421">
        <v>0.9285714285714286</v>
      </c>
      <c r="M59" s="421">
        <v>152</v>
      </c>
      <c r="N59" s="421"/>
      <c r="O59" s="421"/>
      <c r="P59" s="443"/>
      <c r="Q59" s="422"/>
    </row>
    <row r="60" spans="1:17" ht="14.4" customHeight="1" x14ac:dyDescent="0.3">
      <c r="A60" s="417" t="s">
        <v>1129</v>
      </c>
      <c r="B60" s="418" t="s">
        <v>986</v>
      </c>
      <c r="C60" s="418" t="s">
        <v>987</v>
      </c>
      <c r="D60" s="418" t="s">
        <v>1090</v>
      </c>
      <c r="E60" s="418" t="s">
        <v>1091</v>
      </c>
      <c r="F60" s="421">
        <v>1</v>
      </c>
      <c r="G60" s="421">
        <v>27</v>
      </c>
      <c r="H60" s="421">
        <v>1</v>
      </c>
      <c r="I60" s="421">
        <v>27</v>
      </c>
      <c r="J60" s="421"/>
      <c r="K60" s="421"/>
      <c r="L60" s="421"/>
      <c r="M60" s="421"/>
      <c r="N60" s="421"/>
      <c r="O60" s="421"/>
      <c r="P60" s="443"/>
      <c r="Q60" s="422"/>
    </row>
    <row r="61" spans="1:17" ht="14.4" customHeight="1" x14ac:dyDescent="0.3">
      <c r="A61" s="417" t="s">
        <v>1130</v>
      </c>
      <c r="B61" s="418" t="s">
        <v>986</v>
      </c>
      <c r="C61" s="418" t="s">
        <v>987</v>
      </c>
      <c r="D61" s="418" t="s">
        <v>988</v>
      </c>
      <c r="E61" s="418" t="s">
        <v>989</v>
      </c>
      <c r="F61" s="421">
        <v>190</v>
      </c>
      <c r="G61" s="421">
        <v>30210</v>
      </c>
      <c r="H61" s="421">
        <v>1</v>
      </c>
      <c r="I61" s="421">
        <v>159</v>
      </c>
      <c r="J61" s="421">
        <v>178</v>
      </c>
      <c r="K61" s="421">
        <v>28658</v>
      </c>
      <c r="L61" s="421">
        <v>0.94862628268785165</v>
      </c>
      <c r="M61" s="421">
        <v>161</v>
      </c>
      <c r="N61" s="421">
        <v>293</v>
      </c>
      <c r="O61" s="421">
        <v>50689</v>
      </c>
      <c r="P61" s="443">
        <v>1.6778881165177093</v>
      </c>
      <c r="Q61" s="422">
        <v>173</v>
      </c>
    </row>
    <row r="62" spans="1:17" ht="14.4" customHeight="1" x14ac:dyDescent="0.3">
      <c r="A62" s="417" t="s">
        <v>1130</v>
      </c>
      <c r="B62" s="418" t="s">
        <v>986</v>
      </c>
      <c r="C62" s="418" t="s">
        <v>987</v>
      </c>
      <c r="D62" s="418" t="s">
        <v>1002</v>
      </c>
      <c r="E62" s="418" t="s">
        <v>1003</v>
      </c>
      <c r="F62" s="421">
        <v>3</v>
      </c>
      <c r="G62" s="421">
        <v>3495</v>
      </c>
      <c r="H62" s="421">
        <v>1</v>
      </c>
      <c r="I62" s="421">
        <v>1165</v>
      </c>
      <c r="J62" s="421">
        <v>4</v>
      </c>
      <c r="K62" s="421">
        <v>4676</v>
      </c>
      <c r="L62" s="421">
        <v>1.3379113018597997</v>
      </c>
      <c r="M62" s="421">
        <v>1169</v>
      </c>
      <c r="N62" s="421">
        <v>20</v>
      </c>
      <c r="O62" s="421">
        <v>23460</v>
      </c>
      <c r="P62" s="443">
        <v>6.7124463519313302</v>
      </c>
      <c r="Q62" s="422">
        <v>1173</v>
      </c>
    </row>
    <row r="63" spans="1:17" ht="14.4" customHeight="1" x14ac:dyDescent="0.3">
      <c r="A63" s="417" t="s">
        <v>1130</v>
      </c>
      <c r="B63" s="418" t="s">
        <v>986</v>
      </c>
      <c r="C63" s="418" t="s">
        <v>987</v>
      </c>
      <c r="D63" s="418" t="s">
        <v>1004</v>
      </c>
      <c r="E63" s="418" t="s">
        <v>1005</v>
      </c>
      <c r="F63" s="421">
        <v>313</v>
      </c>
      <c r="G63" s="421">
        <v>12207</v>
      </c>
      <c r="H63" s="421">
        <v>1</v>
      </c>
      <c r="I63" s="421">
        <v>39</v>
      </c>
      <c r="J63" s="421">
        <v>326</v>
      </c>
      <c r="K63" s="421">
        <v>13040</v>
      </c>
      <c r="L63" s="421">
        <v>1.0682395346932088</v>
      </c>
      <c r="M63" s="421">
        <v>40</v>
      </c>
      <c r="N63" s="421">
        <v>412</v>
      </c>
      <c r="O63" s="421">
        <v>16892</v>
      </c>
      <c r="P63" s="443">
        <v>1.3837961825182272</v>
      </c>
      <c r="Q63" s="422">
        <v>41</v>
      </c>
    </row>
    <row r="64" spans="1:17" ht="14.4" customHeight="1" x14ac:dyDescent="0.3">
      <c r="A64" s="417" t="s">
        <v>1130</v>
      </c>
      <c r="B64" s="418" t="s">
        <v>986</v>
      </c>
      <c r="C64" s="418" t="s">
        <v>987</v>
      </c>
      <c r="D64" s="418" t="s">
        <v>1006</v>
      </c>
      <c r="E64" s="418" t="s">
        <v>1007</v>
      </c>
      <c r="F64" s="421">
        <v>32</v>
      </c>
      <c r="G64" s="421">
        <v>12224</v>
      </c>
      <c r="H64" s="421">
        <v>1</v>
      </c>
      <c r="I64" s="421">
        <v>382</v>
      </c>
      <c r="J64" s="421">
        <v>31</v>
      </c>
      <c r="K64" s="421">
        <v>11873</v>
      </c>
      <c r="L64" s="421">
        <v>0.97128599476439792</v>
      </c>
      <c r="M64" s="421">
        <v>383</v>
      </c>
      <c r="N64" s="421">
        <v>38</v>
      </c>
      <c r="O64" s="421">
        <v>14592</v>
      </c>
      <c r="P64" s="443">
        <v>1.1937172774869109</v>
      </c>
      <c r="Q64" s="422">
        <v>384</v>
      </c>
    </row>
    <row r="65" spans="1:17" ht="14.4" customHeight="1" x14ac:dyDescent="0.3">
      <c r="A65" s="417" t="s">
        <v>1130</v>
      </c>
      <c r="B65" s="418" t="s">
        <v>986</v>
      </c>
      <c r="C65" s="418" t="s">
        <v>987</v>
      </c>
      <c r="D65" s="418" t="s">
        <v>1008</v>
      </c>
      <c r="E65" s="418" t="s">
        <v>1009</v>
      </c>
      <c r="F65" s="421">
        <v>121</v>
      </c>
      <c r="G65" s="421">
        <v>4477</v>
      </c>
      <c r="H65" s="421">
        <v>1</v>
      </c>
      <c r="I65" s="421">
        <v>37</v>
      </c>
      <c r="J65" s="421">
        <v>94</v>
      </c>
      <c r="K65" s="421">
        <v>3478</v>
      </c>
      <c r="L65" s="421">
        <v>0.77685950413223137</v>
      </c>
      <c r="M65" s="421">
        <v>37</v>
      </c>
      <c r="N65" s="421">
        <v>132</v>
      </c>
      <c r="O65" s="421">
        <v>4884</v>
      </c>
      <c r="P65" s="443">
        <v>1.0909090909090908</v>
      </c>
      <c r="Q65" s="422">
        <v>37</v>
      </c>
    </row>
    <row r="66" spans="1:17" ht="14.4" customHeight="1" x14ac:dyDescent="0.3">
      <c r="A66" s="417" t="s">
        <v>1130</v>
      </c>
      <c r="B66" s="418" t="s">
        <v>986</v>
      </c>
      <c r="C66" s="418" t="s">
        <v>987</v>
      </c>
      <c r="D66" s="418" t="s">
        <v>1012</v>
      </c>
      <c r="E66" s="418" t="s">
        <v>1013</v>
      </c>
      <c r="F66" s="421">
        <v>71</v>
      </c>
      <c r="G66" s="421">
        <v>31524</v>
      </c>
      <c r="H66" s="421">
        <v>1</v>
      </c>
      <c r="I66" s="421">
        <v>444</v>
      </c>
      <c r="J66" s="421">
        <v>51</v>
      </c>
      <c r="K66" s="421">
        <v>22695</v>
      </c>
      <c r="L66" s="421">
        <v>0.71992767415302628</v>
      </c>
      <c r="M66" s="421">
        <v>445</v>
      </c>
      <c r="N66" s="421">
        <v>51</v>
      </c>
      <c r="O66" s="421">
        <v>22746</v>
      </c>
      <c r="P66" s="443">
        <v>0.72154548915112293</v>
      </c>
      <c r="Q66" s="422">
        <v>446</v>
      </c>
    </row>
    <row r="67" spans="1:17" ht="14.4" customHeight="1" x14ac:dyDescent="0.3">
      <c r="A67" s="417" t="s">
        <v>1130</v>
      </c>
      <c r="B67" s="418" t="s">
        <v>986</v>
      </c>
      <c r="C67" s="418" t="s">
        <v>987</v>
      </c>
      <c r="D67" s="418" t="s">
        <v>1014</v>
      </c>
      <c r="E67" s="418" t="s">
        <v>1015</v>
      </c>
      <c r="F67" s="421">
        <v>2</v>
      </c>
      <c r="G67" s="421">
        <v>82</v>
      </c>
      <c r="H67" s="421">
        <v>1</v>
      </c>
      <c r="I67" s="421">
        <v>41</v>
      </c>
      <c r="J67" s="421">
        <v>3</v>
      </c>
      <c r="K67" s="421">
        <v>123</v>
      </c>
      <c r="L67" s="421">
        <v>1.5</v>
      </c>
      <c r="M67" s="421">
        <v>41</v>
      </c>
      <c r="N67" s="421">
        <v>4</v>
      </c>
      <c r="O67" s="421">
        <v>168</v>
      </c>
      <c r="P67" s="443">
        <v>2.0487804878048781</v>
      </c>
      <c r="Q67" s="422">
        <v>42</v>
      </c>
    </row>
    <row r="68" spans="1:17" ht="14.4" customHeight="1" x14ac:dyDescent="0.3">
      <c r="A68" s="417" t="s">
        <v>1130</v>
      </c>
      <c r="B68" s="418" t="s">
        <v>986</v>
      </c>
      <c r="C68" s="418" t="s">
        <v>987</v>
      </c>
      <c r="D68" s="418" t="s">
        <v>1016</v>
      </c>
      <c r="E68" s="418" t="s">
        <v>1017</v>
      </c>
      <c r="F68" s="421">
        <v>20</v>
      </c>
      <c r="G68" s="421">
        <v>9800</v>
      </c>
      <c r="H68" s="421">
        <v>1</v>
      </c>
      <c r="I68" s="421">
        <v>490</v>
      </c>
      <c r="J68" s="421">
        <v>26</v>
      </c>
      <c r="K68" s="421">
        <v>12766</v>
      </c>
      <c r="L68" s="421">
        <v>1.3026530612244898</v>
      </c>
      <c r="M68" s="421">
        <v>491</v>
      </c>
      <c r="N68" s="421">
        <v>67</v>
      </c>
      <c r="O68" s="421">
        <v>32964</v>
      </c>
      <c r="P68" s="443">
        <v>3.3636734693877552</v>
      </c>
      <c r="Q68" s="422">
        <v>492</v>
      </c>
    </row>
    <row r="69" spans="1:17" ht="14.4" customHeight="1" x14ac:dyDescent="0.3">
      <c r="A69" s="417" t="s">
        <v>1130</v>
      </c>
      <c r="B69" s="418" t="s">
        <v>986</v>
      </c>
      <c r="C69" s="418" t="s">
        <v>987</v>
      </c>
      <c r="D69" s="418" t="s">
        <v>1018</v>
      </c>
      <c r="E69" s="418" t="s">
        <v>1019</v>
      </c>
      <c r="F69" s="421">
        <v>7</v>
      </c>
      <c r="G69" s="421">
        <v>217</v>
      </c>
      <c r="H69" s="421">
        <v>1</v>
      </c>
      <c r="I69" s="421">
        <v>31</v>
      </c>
      <c r="J69" s="421">
        <v>9</v>
      </c>
      <c r="K69" s="421">
        <v>279</v>
      </c>
      <c r="L69" s="421">
        <v>1.2857142857142858</v>
      </c>
      <c r="M69" s="421">
        <v>31</v>
      </c>
      <c r="N69" s="421">
        <v>11</v>
      </c>
      <c r="O69" s="421">
        <v>341</v>
      </c>
      <c r="P69" s="443">
        <v>1.5714285714285714</v>
      </c>
      <c r="Q69" s="422">
        <v>31</v>
      </c>
    </row>
    <row r="70" spans="1:17" ht="14.4" customHeight="1" x14ac:dyDescent="0.3">
      <c r="A70" s="417" t="s">
        <v>1130</v>
      </c>
      <c r="B70" s="418" t="s">
        <v>986</v>
      </c>
      <c r="C70" s="418" t="s">
        <v>987</v>
      </c>
      <c r="D70" s="418" t="s">
        <v>1020</v>
      </c>
      <c r="E70" s="418" t="s">
        <v>1021</v>
      </c>
      <c r="F70" s="421">
        <v>4</v>
      </c>
      <c r="G70" s="421">
        <v>820</v>
      </c>
      <c r="H70" s="421">
        <v>1</v>
      </c>
      <c r="I70" s="421">
        <v>205</v>
      </c>
      <c r="J70" s="421"/>
      <c r="K70" s="421"/>
      <c r="L70" s="421"/>
      <c r="M70" s="421"/>
      <c r="N70" s="421">
        <v>2</v>
      </c>
      <c r="O70" s="421">
        <v>416</v>
      </c>
      <c r="P70" s="443">
        <v>0.50731707317073171</v>
      </c>
      <c r="Q70" s="422">
        <v>208</v>
      </c>
    </row>
    <row r="71" spans="1:17" ht="14.4" customHeight="1" x14ac:dyDescent="0.3">
      <c r="A71" s="417" t="s">
        <v>1130</v>
      </c>
      <c r="B71" s="418" t="s">
        <v>986</v>
      </c>
      <c r="C71" s="418" t="s">
        <v>987</v>
      </c>
      <c r="D71" s="418" t="s">
        <v>1022</v>
      </c>
      <c r="E71" s="418" t="s">
        <v>1023</v>
      </c>
      <c r="F71" s="421">
        <v>6</v>
      </c>
      <c r="G71" s="421">
        <v>2262</v>
      </c>
      <c r="H71" s="421">
        <v>1</v>
      </c>
      <c r="I71" s="421">
        <v>377</v>
      </c>
      <c r="J71" s="421"/>
      <c r="K71" s="421"/>
      <c r="L71" s="421"/>
      <c r="M71" s="421"/>
      <c r="N71" s="421">
        <v>2</v>
      </c>
      <c r="O71" s="421">
        <v>768</v>
      </c>
      <c r="P71" s="443">
        <v>0.33952254641909813</v>
      </c>
      <c r="Q71" s="422">
        <v>384</v>
      </c>
    </row>
    <row r="72" spans="1:17" ht="14.4" customHeight="1" x14ac:dyDescent="0.3">
      <c r="A72" s="417" t="s">
        <v>1130</v>
      </c>
      <c r="B72" s="418" t="s">
        <v>986</v>
      </c>
      <c r="C72" s="418" t="s">
        <v>987</v>
      </c>
      <c r="D72" s="418" t="s">
        <v>1024</v>
      </c>
      <c r="E72" s="418" t="s">
        <v>1025</v>
      </c>
      <c r="F72" s="421">
        <v>1</v>
      </c>
      <c r="G72" s="421">
        <v>231</v>
      </c>
      <c r="H72" s="421">
        <v>1</v>
      </c>
      <c r="I72" s="421">
        <v>231</v>
      </c>
      <c r="J72" s="421"/>
      <c r="K72" s="421"/>
      <c r="L72" s="421"/>
      <c r="M72" s="421"/>
      <c r="N72" s="421">
        <v>1</v>
      </c>
      <c r="O72" s="421">
        <v>236</v>
      </c>
      <c r="P72" s="443">
        <v>1.0216450216450217</v>
      </c>
      <c r="Q72" s="422">
        <v>236</v>
      </c>
    </row>
    <row r="73" spans="1:17" ht="14.4" customHeight="1" x14ac:dyDescent="0.3">
      <c r="A73" s="417" t="s">
        <v>1130</v>
      </c>
      <c r="B73" s="418" t="s">
        <v>986</v>
      </c>
      <c r="C73" s="418" t="s">
        <v>987</v>
      </c>
      <c r="D73" s="418" t="s">
        <v>1026</v>
      </c>
      <c r="E73" s="418" t="s">
        <v>1027</v>
      </c>
      <c r="F73" s="421">
        <v>6</v>
      </c>
      <c r="G73" s="421">
        <v>774</v>
      </c>
      <c r="H73" s="421">
        <v>1</v>
      </c>
      <c r="I73" s="421">
        <v>129</v>
      </c>
      <c r="J73" s="421">
        <v>2</v>
      </c>
      <c r="K73" s="421">
        <v>262</v>
      </c>
      <c r="L73" s="421">
        <v>0.33850129198966411</v>
      </c>
      <c r="M73" s="421">
        <v>131</v>
      </c>
      <c r="N73" s="421"/>
      <c r="O73" s="421"/>
      <c r="P73" s="443"/>
      <c r="Q73" s="422"/>
    </row>
    <row r="74" spans="1:17" ht="14.4" customHeight="1" x14ac:dyDescent="0.3">
      <c r="A74" s="417" t="s">
        <v>1130</v>
      </c>
      <c r="B74" s="418" t="s">
        <v>986</v>
      </c>
      <c r="C74" s="418" t="s">
        <v>987</v>
      </c>
      <c r="D74" s="418" t="s">
        <v>1032</v>
      </c>
      <c r="E74" s="418" t="s">
        <v>1033</v>
      </c>
      <c r="F74" s="421">
        <v>287</v>
      </c>
      <c r="G74" s="421">
        <v>4592</v>
      </c>
      <c r="H74" s="421">
        <v>1</v>
      </c>
      <c r="I74" s="421">
        <v>16</v>
      </c>
      <c r="J74" s="421">
        <v>253</v>
      </c>
      <c r="K74" s="421">
        <v>4048</v>
      </c>
      <c r="L74" s="421">
        <v>0.88153310104529614</v>
      </c>
      <c r="M74" s="421">
        <v>16</v>
      </c>
      <c r="N74" s="421">
        <v>391</v>
      </c>
      <c r="O74" s="421">
        <v>6647</v>
      </c>
      <c r="P74" s="443">
        <v>1.4475174216027875</v>
      </c>
      <c r="Q74" s="422">
        <v>17</v>
      </c>
    </row>
    <row r="75" spans="1:17" ht="14.4" customHeight="1" x14ac:dyDescent="0.3">
      <c r="A75" s="417" t="s">
        <v>1130</v>
      </c>
      <c r="B75" s="418" t="s">
        <v>986</v>
      </c>
      <c r="C75" s="418" t="s">
        <v>987</v>
      </c>
      <c r="D75" s="418" t="s">
        <v>1034</v>
      </c>
      <c r="E75" s="418" t="s">
        <v>1035</v>
      </c>
      <c r="F75" s="421">
        <v>2</v>
      </c>
      <c r="G75" s="421">
        <v>266</v>
      </c>
      <c r="H75" s="421">
        <v>1</v>
      </c>
      <c r="I75" s="421">
        <v>133</v>
      </c>
      <c r="J75" s="421">
        <v>5</v>
      </c>
      <c r="K75" s="421">
        <v>680</v>
      </c>
      <c r="L75" s="421">
        <v>2.5563909774436091</v>
      </c>
      <c r="M75" s="421">
        <v>136</v>
      </c>
      <c r="N75" s="421">
        <v>3</v>
      </c>
      <c r="O75" s="421">
        <v>417</v>
      </c>
      <c r="P75" s="443">
        <v>1.5676691729323309</v>
      </c>
      <c r="Q75" s="422">
        <v>139</v>
      </c>
    </row>
    <row r="76" spans="1:17" ht="14.4" customHeight="1" x14ac:dyDescent="0.3">
      <c r="A76" s="417" t="s">
        <v>1130</v>
      </c>
      <c r="B76" s="418" t="s">
        <v>986</v>
      </c>
      <c r="C76" s="418" t="s">
        <v>987</v>
      </c>
      <c r="D76" s="418" t="s">
        <v>1036</v>
      </c>
      <c r="E76" s="418" t="s">
        <v>1037</v>
      </c>
      <c r="F76" s="421">
        <v>13</v>
      </c>
      <c r="G76" s="421">
        <v>1326</v>
      </c>
      <c r="H76" s="421">
        <v>1</v>
      </c>
      <c r="I76" s="421">
        <v>102</v>
      </c>
      <c r="J76" s="421">
        <v>11</v>
      </c>
      <c r="K76" s="421">
        <v>1133</v>
      </c>
      <c r="L76" s="421">
        <v>0.85444947209653088</v>
      </c>
      <c r="M76" s="421">
        <v>103</v>
      </c>
      <c r="N76" s="421">
        <v>9</v>
      </c>
      <c r="O76" s="421">
        <v>927</v>
      </c>
      <c r="P76" s="443">
        <v>0.69909502262443435</v>
      </c>
      <c r="Q76" s="422">
        <v>103</v>
      </c>
    </row>
    <row r="77" spans="1:17" ht="14.4" customHeight="1" x14ac:dyDescent="0.3">
      <c r="A77" s="417" t="s">
        <v>1130</v>
      </c>
      <c r="B77" s="418" t="s">
        <v>986</v>
      </c>
      <c r="C77" s="418" t="s">
        <v>987</v>
      </c>
      <c r="D77" s="418" t="s">
        <v>1040</v>
      </c>
      <c r="E77" s="418" t="s">
        <v>1041</v>
      </c>
      <c r="F77" s="421">
        <v>339</v>
      </c>
      <c r="G77" s="421">
        <v>38307</v>
      </c>
      <c r="H77" s="421">
        <v>1</v>
      </c>
      <c r="I77" s="421">
        <v>113</v>
      </c>
      <c r="J77" s="421">
        <v>296</v>
      </c>
      <c r="K77" s="421">
        <v>34336</v>
      </c>
      <c r="L77" s="421">
        <v>0.89633748401075519</v>
      </c>
      <c r="M77" s="421">
        <v>116</v>
      </c>
      <c r="N77" s="421">
        <v>457</v>
      </c>
      <c r="O77" s="421">
        <v>53469</v>
      </c>
      <c r="P77" s="443">
        <v>1.3958023337771164</v>
      </c>
      <c r="Q77" s="422">
        <v>117</v>
      </c>
    </row>
    <row r="78" spans="1:17" ht="14.4" customHeight="1" x14ac:dyDescent="0.3">
      <c r="A78" s="417" t="s">
        <v>1130</v>
      </c>
      <c r="B78" s="418" t="s">
        <v>986</v>
      </c>
      <c r="C78" s="418" t="s">
        <v>987</v>
      </c>
      <c r="D78" s="418" t="s">
        <v>1042</v>
      </c>
      <c r="E78" s="418" t="s">
        <v>1043</v>
      </c>
      <c r="F78" s="421">
        <v>80</v>
      </c>
      <c r="G78" s="421">
        <v>6720</v>
      </c>
      <c r="H78" s="421">
        <v>1</v>
      </c>
      <c r="I78" s="421">
        <v>84</v>
      </c>
      <c r="J78" s="421">
        <v>54</v>
      </c>
      <c r="K78" s="421">
        <v>4590</v>
      </c>
      <c r="L78" s="421">
        <v>0.6830357142857143</v>
      </c>
      <c r="M78" s="421">
        <v>85</v>
      </c>
      <c r="N78" s="421">
        <v>75</v>
      </c>
      <c r="O78" s="421">
        <v>6825</v>
      </c>
      <c r="P78" s="443">
        <v>1.015625</v>
      </c>
      <c r="Q78" s="422">
        <v>91</v>
      </c>
    </row>
    <row r="79" spans="1:17" ht="14.4" customHeight="1" x14ac:dyDescent="0.3">
      <c r="A79" s="417" t="s">
        <v>1130</v>
      </c>
      <c r="B79" s="418" t="s">
        <v>986</v>
      </c>
      <c r="C79" s="418" t="s">
        <v>987</v>
      </c>
      <c r="D79" s="418" t="s">
        <v>1044</v>
      </c>
      <c r="E79" s="418" t="s">
        <v>1045</v>
      </c>
      <c r="F79" s="421">
        <v>1</v>
      </c>
      <c r="G79" s="421">
        <v>96</v>
      </c>
      <c r="H79" s="421">
        <v>1</v>
      </c>
      <c r="I79" s="421">
        <v>96</v>
      </c>
      <c r="J79" s="421">
        <v>2</v>
      </c>
      <c r="K79" s="421">
        <v>196</v>
      </c>
      <c r="L79" s="421">
        <v>2.0416666666666665</v>
      </c>
      <c r="M79" s="421">
        <v>98</v>
      </c>
      <c r="N79" s="421">
        <v>3</v>
      </c>
      <c r="O79" s="421">
        <v>297</v>
      </c>
      <c r="P79" s="443">
        <v>3.09375</v>
      </c>
      <c r="Q79" s="422">
        <v>99</v>
      </c>
    </row>
    <row r="80" spans="1:17" ht="14.4" customHeight="1" x14ac:dyDescent="0.3">
      <c r="A80" s="417" t="s">
        <v>1130</v>
      </c>
      <c r="B80" s="418" t="s">
        <v>986</v>
      </c>
      <c r="C80" s="418" t="s">
        <v>987</v>
      </c>
      <c r="D80" s="418" t="s">
        <v>1046</v>
      </c>
      <c r="E80" s="418" t="s">
        <v>1047</v>
      </c>
      <c r="F80" s="421">
        <v>7</v>
      </c>
      <c r="G80" s="421">
        <v>147</v>
      </c>
      <c r="H80" s="421">
        <v>1</v>
      </c>
      <c r="I80" s="421">
        <v>21</v>
      </c>
      <c r="J80" s="421">
        <v>23</v>
      </c>
      <c r="K80" s="421">
        <v>483</v>
      </c>
      <c r="L80" s="421">
        <v>3.2857142857142856</v>
      </c>
      <c r="M80" s="421">
        <v>21</v>
      </c>
      <c r="N80" s="421">
        <v>30</v>
      </c>
      <c r="O80" s="421">
        <v>630</v>
      </c>
      <c r="P80" s="443">
        <v>4.2857142857142856</v>
      </c>
      <c r="Q80" s="422">
        <v>21</v>
      </c>
    </row>
    <row r="81" spans="1:17" ht="14.4" customHeight="1" x14ac:dyDescent="0.3">
      <c r="A81" s="417" t="s">
        <v>1130</v>
      </c>
      <c r="B81" s="418" t="s">
        <v>986</v>
      </c>
      <c r="C81" s="418" t="s">
        <v>987</v>
      </c>
      <c r="D81" s="418" t="s">
        <v>1048</v>
      </c>
      <c r="E81" s="418" t="s">
        <v>1049</v>
      </c>
      <c r="F81" s="421">
        <v>432</v>
      </c>
      <c r="G81" s="421">
        <v>209952</v>
      </c>
      <c r="H81" s="421">
        <v>1</v>
      </c>
      <c r="I81" s="421">
        <v>486</v>
      </c>
      <c r="J81" s="421">
        <v>345</v>
      </c>
      <c r="K81" s="421">
        <v>168015</v>
      </c>
      <c r="L81" s="421">
        <v>0.80025434385002281</v>
      </c>
      <c r="M81" s="421">
        <v>487</v>
      </c>
      <c r="N81" s="421">
        <v>594</v>
      </c>
      <c r="O81" s="421">
        <v>289872</v>
      </c>
      <c r="P81" s="443">
        <v>1.3806584362139918</v>
      </c>
      <c r="Q81" s="422">
        <v>488</v>
      </c>
    </row>
    <row r="82" spans="1:17" ht="14.4" customHeight="1" x14ac:dyDescent="0.3">
      <c r="A82" s="417" t="s">
        <v>1130</v>
      </c>
      <c r="B82" s="418" t="s">
        <v>986</v>
      </c>
      <c r="C82" s="418" t="s">
        <v>987</v>
      </c>
      <c r="D82" s="418" t="s">
        <v>1056</v>
      </c>
      <c r="E82" s="418" t="s">
        <v>1057</v>
      </c>
      <c r="F82" s="421">
        <v>45</v>
      </c>
      <c r="G82" s="421">
        <v>1800</v>
      </c>
      <c r="H82" s="421">
        <v>1</v>
      </c>
      <c r="I82" s="421">
        <v>40</v>
      </c>
      <c r="J82" s="421">
        <v>35</v>
      </c>
      <c r="K82" s="421">
        <v>1435</v>
      </c>
      <c r="L82" s="421">
        <v>0.79722222222222228</v>
      </c>
      <c r="M82" s="421">
        <v>41</v>
      </c>
      <c r="N82" s="421">
        <v>55</v>
      </c>
      <c r="O82" s="421">
        <v>2255</v>
      </c>
      <c r="P82" s="443">
        <v>1.2527777777777778</v>
      </c>
      <c r="Q82" s="422">
        <v>41</v>
      </c>
    </row>
    <row r="83" spans="1:17" ht="14.4" customHeight="1" x14ac:dyDescent="0.3">
      <c r="A83" s="417" t="s">
        <v>1130</v>
      </c>
      <c r="B83" s="418" t="s">
        <v>986</v>
      </c>
      <c r="C83" s="418" t="s">
        <v>987</v>
      </c>
      <c r="D83" s="418" t="s">
        <v>1064</v>
      </c>
      <c r="E83" s="418" t="s">
        <v>1065</v>
      </c>
      <c r="F83" s="421"/>
      <c r="G83" s="421"/>
      <c r="H83" s="421"/>
      <c r="I83" s="421"/>
      <c r="J83" s="421"/>
      <c r="K83" s="421"/>
      <c r="L83" s="421"/>
      <c r="M83" s="421"/>
      <c r="N83" s="421">
        <v>2</v>
      </c>
      <c r="O83" s="421">
        <v>446</v>
      </c>
      <c r="P83" s="443"/>
      <c r="Q83" s="422">
        <v>223</v>
      </c>
    </row>
    <row r="84" spans="1:17" ht="14.4" customHeight="1" x14ac:dyDescent="0.3">
      <c r="A84" s="417" t="s">
        <v>1130</v>
      </c>
      <c r="B84" s="418" t="s">
        <v>986</v>
      </c>
      <c r="C84" s="418" t="s">
        <v>987</v>
      </c>
      <c r="D84" s="418" t="s">
        <v>1066</v>
      </c>
      <c r="E84" s="418" t="s">
        <v>1067</v>
      </c>
      <c r="F84" s="421">
        <v>3</v>
      </c>
      <c r="G84" s="421">
        <v>2283</v>
      </c>
      <c r="H84" s="421">
        <v>1</v>
      </c>
      <c r="I84" s="421">
        <v>761</v>
      </c>
      <c r="J84" s="421">
        <v>7</v>
      </c>
      <c r="K84" s="421">
        <v>5334</v>
      </c>
      <c r="L84" s="421">
        <v>2.3363994743758214</v>
      </c>
      <c r="M84" s="421">
        <v>762</v>
      </c>
      <c r="N84" s="421">
        <v>8</v>
      </c>
      <c r="O84" s="421">
        <v>6104</v>
      </c>
      <c r="P84" s="443">
        <v>2.6736749890494962</v>
      </c>
      <c r="Q84" s="422">
        <v>763</v>
      </c>
    </row>
    <row r="85" spans="1:17" ht="14.4" customHeight="1" x14ac:dyDescent="0.3">
      <c r="A85" s="417" t="s">
        <v>1130</v>
      </c>
      <c r="B85" s="418" t="s">
        <v>986</v>
      </c>
      <c r="C85" s="418" t="s">
        <v>987</v>
      </c>
      <c r="D85" s="418" t="s">
        <v>1068</v>
      </c>
      <c r="E85" s="418" t="s">
        <v>1069</v>
      </c>
      <c r="F85" s="421">
        <v>3</v>
      </c>
      <c r="G85" s="421">
        <v>6087</v>
      </c>
      <c r="H85" s="421">
        <v>1</v>
      </c>
      <c r="I85" s="421">
        <v>2029</v>
      </c>
      <c r="J85" s="421">
        <v>1</v>
      </c>
      <c r="K85" s="421">
        <v>2072</v>
      </c>
      <c r="L85" s="421">
        <v>0.34039756858879577</v>
      </c>
      <c r="M85" s="421">
        <v>2072</v>
      </c>
      <c r="N85" s="421">
        <v>2</v>
      </c>
      <c r="O85" s="421">
        <v>4224</v>
      </c>
      <c r="P85" s="443">
        <v>0.69393790044356829</v>
      </c>
      <c r="Q85" s="422">
        <v>2112</v>
      </c>
    </row>
    <row r="86" spans="1:17" ht="14.4" customHeight="1" x14ac:dyDescent="0.3">
      <c r="A86" s="417" t="s">
        <v>1130</v>
      </c>
      <c r="B86" s="418" t="s">
        <v>986</v>
      </c>
      <c r="C86" s="418" t="s">
        <v>987</v>
      </c>
      <c r="D86" s="418" t="s">
        <v>1070</v>
      </c>
      <c r="E86" s="418" t="s">
        <v>1071</v>
      </c>
      <c r="F86" s="421">
        <v>42</v>
      </c>
      <c r="G86" s="421">
        <v>25368</v>
      </c>
      <c r="H86" s="421">
        <v>1</v>
      </c>
      <c r="I86" s="421">
        <v>604</v>
      </c>
      <c r="J86" s="421">
        <v>22</v>
      </c>
      <c r="K86" s="421">
        <v>13376</v>
      </c>
      <c r="L86" s="421">
        <v>0.52727846105329546</v>
      </c>
      <c r="M86" s="421">
        <v>608</v>
      </c>
      <c r="N86" s="421">
        <v>39</v>
      </c>
      <c r="O86" s="421">
        <v>23946</v>
      </c>
      <c r="P86" s="443">
        <v>0.9439451277199622</v>
      </c>
      <c r="Q86" s="422">
        <v>614</v>
      </c>
    </row>
    <row r="87" spans="1:17" ht="14.4" customHeight="1" x14ac:dyDescent="0.3">
      <c r="A87" s="417" t="s">
        <v>1130</v>
      </c>
      <c r="B87" s="418" t="s">
        <v>986</v>
      </c>
      <c r="C87" s="418" t="s">
        <v>987</v>
      </c>
      <c r="D87" s="418" t="s">
        <v>1074</v>
      </c>
      <c r="E87" s="418" t="s">
        <v>1075</v>
      </c>
      <c r="F87" s="421">
        <v>9</v>
      </c>
      <c r="G87" s="421">
        <v>4554</v>
      </c>
      <c r="H87" s="421">
        <v>1</v>
      </c>
      <c r="I87" s="421">
        <v>506</v>
      </c>
      <c r="J87" s="421">
        <v>1</v>
      </c>
      <c r="K87" s="421">
        <v>509</v>
      </c>
      <c r="L87" s="421">
        <v>0.11176987263943786</v>
      </c>
      <c r="M87" s="421">
        <v>509</v>
      </c>
      <c r="N87" s="421"/>
      <c r="O87" s="421"/>
      <c r="P87" s="443"/>
      <c r="Q87" s="422"/>
    </row>
    <row r="88" spans="1:17" ht="14.4" customHeight="1" x14ac:dyDescent="0.3">
      <c r="A88" s="417" t="s">
        <v>1130</v>
      </c>
      <c r="B88" s="418" t="s">
        <v>986</v>
      </c>
      <c r="C88" s="418" t="s">
        <v>987</v>
      </c>
      <c r="D88" s="418" t="s">
        <v>1082</v>
      </c>
      <c r="E88" s="418" t="s">
        <v>1083</v>
      </c>
      <c r="F88" s="421">
        <v>1</v>
      </c>
      <c r="G88" s="421">
        <v>245</v>
      </c>
      <c r="H88" s="421">
        <v>1</v>
      </c>
      <c r="I88" s="421">
        <v>245</v>
      </c>
      <c r="J88" s="421"/>
      <c r="K88" s="421"/>
      <c r="L88" s="421"/>
      <c r="M88" s="421"/>
      <c r="N88" s="421">
        <v>1</v>
      </c>
      <c r="O88" s="421">
        <v>249</v>
      </c>
      <c r="P88" s="443">
        <v>1.0163265306122449</v>
      </c>
      <c r="Q88" s="422">
        <v>249</v>
      </c>
    </row>
    <row r="89" spans="1:17" ht="14.4" customHeight="1" x14ac:dyDescent="0.3">
      <c r="A89" s="417" t="s">
        <v>1130</v>
      </c>
      <c r="B89" s="418" t="s">
        <v>986</v>
      </c>
      <c r="C89" s="418" t="s">
        <v>987</v>
      </c>
      <c r="D89" s="418" t="s">
        <v>1088</v>
      </c>
      <c r="E89" s="418" t="s">
        <v>1089</v>
      </c>
      <c r="F89" s="421">
        <v>12</v>
      </c>
      <c r="G89" s="421">
        <v>1824</v>
      </c>
      <c r="H89" s="421">
        <v>1</v>
      </c>
      <c r="I89" s="421">
        <v>152</v>
      </c>
      <c r="J89" s="421">
        <v>18</v>
      </c>
      <c r="K89" s="421">
        <v>2736</v>
      </c>
      <c r="L89" s="421">
        <v>1.5</v>
      </c>
      <c r="M89" s="421">
        <v>152</v>
      </c>
      <c r="N89" s="421"/>
      <c r="O89" s="421"/>
      <c r="P89" s="443"/>
      <c r="Q89" s="422"/>
    </row>
    <row r="90" spans="1:17" ht="14.4" customHeight="1" x14ac:dyDescent="0.3">
      <c r="A90" s="417" t="s">
        <v>1130</v>
      </c>
      <c r="B90" s="418" t="s">
        <v>986</v>
      </c>
      <c r="C90" s="418" t="s">
        <v>987</v>
      </c>
      <c r="D90" s="418" t="s">
        <v>1090</v>
      </c>
      <c r="E90" s="418" t="s">
        <v>1091</v>
      </c>
      <c r="F90" s="421">
        <v>1</v>
      </c>
      <c r="G90" s="421">
        <v>27</v>
      </c>
      <c r="H90" s="421">
        <v>1</v>
      </c>
      <c r="I90" s="421">
        <v>27</v>
      </c>
      <c r="J90" s="421"/>
      <c r="K90" s="421"/>
      <c r="L90" s="421"/>
      <c r="M90" s="421"/>
      <c r="N90" s="421"/>
      <c r="O90" s="421"/>
      <c r="P90" s="443"/>
      <c r="Q90" s="422"/>
    </row>
    <row r="91" spans="1:17" ht="14.4" customHeight="1" x14ac:dyDescent="0.3">
      <c r="A91" s="417" t="s">
        <v>1130</v>
      </c>
      <c r="B91" s="418" t="s">
        <v>986</v>
      </c>
      <c r="C91" s="418" t="s">
        <v>987</v>
      </c>
      <c r="D91" s="418" t="s">
        <v>1131</v>
      </c>
      <c r="E91" s="418" t="s">
        <v>1132</v>
      </c>
      <c r="F91" s="421"/>
      <c r="G91" s="421"/>
      <c r="H91" s="421"/>
      <c r="I91" s="421"/>
      <c r="J91" s="421">
        <v>1</v>
      </c>
      <c r="K91" s="421">
        <v>328</v>
      </c>
      <c r="L91" s="421"/>
      <c r="M91" s="421">
        <v>328</v>
      </c>
      <c r="N91" s="421"/>
      <c r="O91" s="421"/>
      <c r="P91" s="443"/>
      <c r="Q91" s="422"/>
    </row>
    <row r="92" spans="1:17" ht="14.4" customHeight="1" x14ac:dyDescent="0.3">
      <c r="A92" s="417" t="s">
        <v>1133</v>
      </c>
      <c r="B92" s="418" t="s">
        <v>986</v>
      </c>
      <c r="C92" s="418" t="s">
        <v>987</v>
      </c>
      <c r="D92" s="418" t="s">
        <v>988</v>
      </c>
      <c r="E92" s="418" t="s">
        <v>989</v>
      </c>
      <c r="F92" s="421">
        <v>625</v>
      </c>
      <c r="G92" s="421">
        <v>99375</v>
      </c>
      <c r="H92" s="421">
        <v>1</v>
      </c>
      <c r="I92" s="421">
        <v>159</v>
      </c>
      <c r="J92" s="421">
        <v>499</v>
      </c>
      <c r="K92" s="421">
        <v>80339</v>
      </c>
      <c r="L92" s="421">
        <v>0.8084427672955975</v>
      </c>
      <c r="M92" s="421">
        <v>161</v>
      </c>
      <c r="N92" s="421">
        <v>660</v>
      </c>
      <c r="O92" s="421">
        <v>114180</v>
      </c>
      <c r="P92" s="443">
        <v>1.1489811320754717</v>
      </c>
      <c r="Q92" s="422">
        <v>173</v>
      </c>
    </row>
    <row r="93" spans="1:17" ht="14.4" customHeight="1" x14ac:dyDescent="0.3">
      <c r="A93" s="417" t="s">
        <v>1133</v>
      </c>
      <c r="B93" s="418" t="s">
        <v>986</v>
      </c>
      <c r="C93" s="418" t="s">
        <v>987</v>
      </c>
      <c r="D93" s="418" t="s">
        <v>1002</v>
      </c>
      <c r="E93" s="418" t="s">
        <v>1003</v>
      </c>
      <c r="F93" s="421"/>
      <c r="G93" s="421"/>
      <c r="H93" s="421"/>
      <c r="I93" s="421"/>
      <c r="J93" s="421">
        <v>1</v>
      </c>
      <c r="K93" s="421">
        <v>1169</v>
      </c>
      <c r="L93" s="421"/>
      <c r="M93" s="421">
        <v>1169</v>
      </c>
      <c r="N93" s="421"/>
      <c r="O93" s="421"/>
      <c r="P93" s="443"/>
      <c r="Q93" s="422"/>
    </row>
    <row r="94" spans="1:17" ht="14.4" customHeight="1" x14ac:dyDescent="0.3">
      <c r="A94" s="417" t="s">
        <v>1133</v>
      </c>
      <c r="B94" s="418" t="s">
        <v>986</v>
      </c>
      <c r="C94" s="418" t="s">
        <v>987</v>
      </c>
      <c r="D94" s="418" t="s">
        <v>1004</v>
      </c>
      <c r="E94" s="418" t="s">
        <v>1005</v>
      </c>
      <c r="F94" s="421">
        <v>77</v>
      </c>
      <c r="G94" s="421">
        <v>3003</v>
      </c>
      <c r="H94" s="421">
        <v>1</v>
      </c>
      <c r="I94" s="421">
        <v>39</v>
      </c>
      <c r="J94" s="421">
        <v>29</v>
      </c>
      <c r="K94" s="421">
        <v>1160</v>
      </c>
      <c r="L94" s="421">
        <v>0.3862803862803863</v>
      </c>
      <c r="M94" s="421">
        <v>40</v>
      </c>
      <c r="N94" s="421">
        <v>37</v>
      </c>
      <c r="O94" s="421">
        <v>1517</v>
      </c>
      <c r="P94" s="443">
        <v>0.50516150516150515</v>
      </c>
      <c r="Q94" s="422">
        <v>41</v>
      </c>
    </row>
    <row r="95" spans="1:17" ht="14.4" customHeight="1" x14ac:dyDescent="0.3">
      <c r="A95" s="417" t="s">
        <v>1133</v>
      </c>
      <c r="B95" s="418" t="s">
        <v>986</v>
      </c>
      <c r="C95" s="418" t="s">
        <v>987</v>
      </c>
      <c r="D95" s="418" t="s">
        <v>1006</v>
      </c>
      <c r="E95" s="418" t="s">
        <v>1007</v>
      </c>
      <c r="F95" s="421">
        <v>4</v>
      </c>
      <c r="G95" s="421">
        <v>1528</v>
      </c>
      <c r="H95" s="421">
        <v>1</v>
      </c>
      <c r="I95" s="421">
        <v>382</v>
      </c>
      <c r="J95" s="421"/>
      <c r="K95" s="421"/>
      <c r="L95" s="421"/>
      <c r="M95" s="421"/>
      <c r="N95" s="421">
        <v>6</v>
      </c>
      <c r="O95" s="421">
        <v>2304</v>
      </c>
      <c r="P95" s="443">
        <v>1.5078534031413613</v>
      </c>
      <c r="Q95" s="422">
        <v>384</v>
      </c>
    </row>
    <row r="96" spans="1:17" ht="14.4" customHeight="1" x14ac:dyDescent="0.3">
      <c r="A96" s="417" t="s">
        <v>1133</v>
      </c>
      <c r="B96" s="418" t="s">
        <v>986</v>
      </c>
      <c r="C96" s="418" t="s">
        <v>987</v>
      </c>
      <c r="D96" s="418" t="s">
        <v>1008</v>
      </c>
      <c r="E96" s="418" t="s">
        <v>1009</v>
      </c>
      <c r="F96" s="421"/>
      <c r="G96" s="421"/>
      <c r="H96" s="421"/>
      <c r="I96" s="421"/>
      <c r="J96" s="421"/>
      <c r="K96" s="421"/>
      <c r="L96" s="421"/>
      <c r="M96" s="421"/>
      <c r="N96" s="421">
        <v>11</v>
      </c>
      <c r="O96" s="421">
        <v>407</v>
      </c>
      <c r="P96" s="443"/>
      <c r="Q96" s="422">
        <v>37</v>
      </c>
    </row>
    <row r="97" spans="1:17" ht="14.4" customHeight="1" x14ac:dyDescent="0.3">
      <c r="A97" s="417" t="s">
        <v>1133</v>
      </c>
      <c r="B97" s="418" t="s">
        <v>986</v>
      </c>
      <c r="C97" s="418" t="s">
        <v>987</v>
      </c>
      <c r="D97" s="418" t="s">
        <v>1012</v>
      </c>
      <c r="E97" s="418" t="s">
        <v>1013</v>
      </c>
      <c r="F97" s="421"/>
      <c r="G97" s="421"/>
      <c r="H97" s="421"/>
      <c r="I97" s="421"/>
      <c r="J97" s="421"/>
      <c r="K97" s="421"/>
      <c r="L97" s="421"/>
      <c r="M97" s="421"/>
      <c r="N97" s="421">
        <v>4</v>
      </c>
      <c r="O97" s="421">
        <v>1784</v>
      </c>
      <c r="P97" s="443"/>
      <c r="Q97" s="422">
        <v>446</v>
      </c>
    </row>
    <row r="98" spans="1:17" ht="14.4" customHeight="1" x14ac:dyDescent="0.3">
      <c r="A98" s="417" t="s">
        <v>1133</v>
      </c>
      <c r="B98" s="418" t="s">
        <v>986</v>
      </c>
      <c r="C98" s="418" t="s">
        <v>987</v>
      </c>
      <c r="D98" s="418" t="s">
        <v>1014</v>
      </c>
      <c r="E98" s="418" t="s">
        <v>1015</v>
      </c>
      <c r="F98" s="421"/>
      <c r="G98" s="421"/>
      <c r="H98" s="421"/>
      <c r="I98" s="421"/>
      <c r="J98" s="421"/>
      <c r="K98" s="421"/>
      <c r="L98" s="421"/>
      <c r="M98" s="421"/>
      <c r="N98" s="421">
        <v>1</v>
      </c>
      <c r="O98" s="421">
        <v>42</v>
      </c>
      <c r="P98" s="443"/>
      <c r="Q98" s="422">
        <v>42</v>
      </c>
    </row>
    <row r="99" spans="1:17" ht="14.4" customHeight="1" x14ac:dyDescent="0.3">
      <c r="A99" s="417" t="s">
        <v>1133</v>
      </c>
      <c r="B99" s="418" t="s">
        <v>986</v>
      </c>
      <c r="C99" s="418" t="s">
        <v>987</v>
      </c>
      <c r="D99" s="418" t="s">
        <v>1016</v>
      </c>
      <c r="E99" s="418" t="s">
        <v>1017</v>
      </c>
      <c r="F99" s="421">
        <v>3</v>
      </c>
      <c r="G99" s="421">
        <v>1470</v>
      </c>
      <c r="H99" s="421">
        <v>1</v>
      </c>
      <c r="I99" s="421">
        <v>490</v>
      </c>
      <c r="J99" s="421">
        <v>1</v>
      </c>
      <c r="K99" s="421">
        <v>491</v>
      </c>
      <c r="L99" s="421">
        <v>0.3340136054421769</v>
      </c>
      <c r="M99" s="421">
        <v>491</v>
      </c>
      <c r="N99" s="421">
        <v>1</v>
      </c>
      <c r="O99" s="421">
        <v>492</v>
      </c>
      <c r="P99" s="443">
        <v>0.33469387755102042</v>
      </c>
      <c r="Q99" s="422">
        <v>492</v>
      </c>
    </row>
    <row r="100" spans="1:17" ht="14.4" customHeight="1" x14ac:dyDescent="0.3">
      <c r="A100" s="417" t="s">
        <v>1133</v>
      </c>
      <c r="B100" s="418" t="s">
        <v>986</v>
      </c>
      <c r="C100" s="418" t="s">
        <v>987</v>
      </c>
      <c r="D100" s="418" t="s">
        <v>1018</v>
      </c>
      <c r="E100" s="418" t="s">
        <v>1019</v>
      </c>
      <c r="F100" s="421">
        <v>2</v>
      </c>
      <c r="G100" s="421">
        <v>62</v>
      </c>
      <c r="H100" s="421">
        <v>1</v>
      </c>
      <c r="I100" s="421">
        <v>31</v>
      </c>
      <c r="J100" s="421">
        <v>12</v>
      </c>
      <c r="K100" s="421">
        <v>372</v>
      </c>
      <c r="L100" s="421">
        <v>6</v>
      </c>
      <c r="M100" s="421">
        <v>31</v>
      </c>
      <c r="N100" s="421">
        <v>8</v>
      </c>
      <c r="O100" s="421">
        <v>248</v>
      </c>
      <c r="P100" s="443">
        <v>4</v>
      </c>
      <c r="Q100" s="422">
        <v>31</v>
      </c>
    </row>
    <row r="101" spans="1:17" ht="14.4" customHeight="1" x14ac:dyDescent="0.3">
      <c r="A101" s="417" t="s">
        <v>1133</v>
      </c>
      <c r="B101" s="418" t="s">
        <v>986</v>
      </c>
      <c r="C101" s="418" t="s">
        <v>987</v>
      </c>
      <c r="D101" s="418" t="s">
        <v>1020</v>
      </c>
      <c r="E101" s="418" t="s">
        <v>1021</v>
      </c>
      <c r="F101" s="421"/>
      <c r="G101" s="421"/>
      <c r="H101" s="421"/>
      <c r="I101" s="421"/>
      <c r="J101" s="421">
        <v>3</v>
      </c>
      <c r="K101" s="421">
        <v>621</v>
      </c>
      <c r="L101" s="421"/>
      <c r="M101" s="421">
        <v>207</v>
      </c>
      <c r="N101" s="421">
        <v>1</v>
      </c>
      <c r="O101" s="421">
        <v>208</v>
      </c>
      <c r="P101" s="443"/>
      <c r="Q101" s="422">
        <v>208</v>
      </c>
    </row>
    <row r="102" spans="1:17" ht="14.4" customHeight="1" x14ac:dyDescent="0.3">
      <c r="A102" s="417" t="s">
        <v>1133</v>
      </c>
      <c r="B102" s="418" t="s">
        <v>986</v>
      </c>
      <c r="C102" s="418" t="s">
        <v>987</v>
      </c>
      <c r="D102" s="418" t="s">
        <v>1022</v>
      </c>
      <c r="E102" s="418" t="s">
        <v>1023</v>
      </c>
      <c r="F102" s="421">
        <v>1</v>
      </c>
      <c r="G102" s="421">
        <v>377</v>
      </c>
      <c r="H102" s="421">
        <v>1</v>
      </c>
      <c r="I102" s="421">
        <v>377</v>
      </c>
      <c r="J102" s="421">
        <v>3</v>
      </c>
      <c r="K102" s="421">
        <v>1140</v>
      </c>
      <c r="L102" s="421">
        <v>3.0238726790450929</v>
      </c>
      <c r="M102" s="421">
        <v>380</v>
      </c>
      <c r="N102" s="421">
        <v>1</v>
      </c>
      <c r="O102" s="421">
        <v>384</v>
      </c>
      <c r="P102" s="443">
        <v>1.0185676392572944</v>
      </c>
      <c r="Q102" s="422">
        <v>384</v>
      </c>
    </row>
    <row r="103" spans="1:17" ht="14.4" customHeight="1" x14ac:dyDescent="0.3">
      <c r="A103" s="417" t="s">
        <v>1133</v>
      </c>
      <c r="B103" s="418" t="s">
        <v>986</v>
      </c>
      <c r="C103" s="418" t="s">
        <v>987</v>
      </c>
      <c r="D103" s="418" t="s">
        <v>1032</v>
      </c>
      <c r="E103" s="418" t="s">
        <v>1033</v>
      </c>
      <c r="F103" s="421">
        <v>15</v>
      </c>
      <c r="G103" s="421">
        <v>240</v>
      </c>
      <c r="H103" s="421">
        <v>1</v>
      </c>
      <c r="I103" s="421">
        <v>16</v>
      </c>
      <c r="J103" s="421">
        <v>3</v>
      </c>
      <c r="K103" s="421">
        <v>48</v>
      </c>
      <c r="L103" s="421">
        <v>0.2</v>
      </c>
      <c r="M103" s="421">
        <v>16</v>
      </c>
      <c r="N103" s="421">
        <v>14</v>
      </c>
      <c r="O103" s="421">
        <v>238</v>
      </c>
      <c r="P103" s="443">
        <v>0.9916666666666667</v>
      </c>
      <c r="Q103" s="422">
        <v>17</v>
      </c>
    </row>
    <row r="104" spans="1:17" ht="14.4" customHeight="1" x14ac:dyDescent="0.3">
      <c r="A104" s="417" t="s">
        <v>1133</v>
      </c>
      <c r="B104" s="418" t="s">
        <v>986</v>
      </c>
      <c r="C104" s="418" t="s">
        <v>987</v>
      </c>
      <c r="D104" s="418" t="s">
        <v>1034</v>
      </c>
      <c r="E104" s="418" t="s">
        <v>1035</v>
      </c>
      <c r="F104" s="421"/>
      <c r="G104" s="421"/>
      <c r="H104" s="421"/>
      <c r="I104" s="421"/>
      <c r="J104" s="421"/>
      <c r="K104" s="421"/>
      <c r="L104" s="421"/>
      <c r="M104" s="421"/>
      <c r="N104" s="421">
        <v>1</v>
      </c>
      <c r="O104" s="421">
        <v>139</v>
      </c>
      <c r="P104" s="443"/>
      <c r="Q104" s="422">
        <v>139</v>
      </c>
    </row>
    <row r="105" spans="1:17" ht="14.4" customHeight="1" x14ac:dyDescent="0.3">
      <c r="A105" s="417" t="s">
        <v>1133</v>
      </c>
      <c r="B105" s="418" t="s">
        <v>986</v>
      </c>
      <c r="C105" s="418" t="s">
        <v>987</v>
      </c>
      <c r="D105" s="418" t="s">
        <v>1036</v>
      </c>
      <c r="E105" s="418" t="s">
        <v>1037</v>
      </c>
      <c r="F105" s="421">
        <v>10</v>
      </c>
      <c r="G105" s="421">
        <v>1020</v>
      </c>
      <c r="H105" s="421">
        <v>1</v>
      </c>
      <c r="I105" s="421">
        <v>102</v>
      </c>
      <c r="J105" s="421">
        <v>15</v>
      </c>
      <c r="K105" s="421">
        <v>1545</v>
      </c>
      <c r="L105" s="421">
        <v>1.5147058823529411</v>
      </c>
      <c r="M105" s="421">
        <v>103</v>
      </c>
      <c r="N105" s="421">
        <v>2</v>
      </c>
      <c r="O105" s="421">
        <v>206</v>
      </c>
      <c r="P105" s="443">
        <v>0.20196078431372549</v>
      </c>
      <c r="Q105" s="422">
        <v>103</v>
      </c>
    </row>
    <row r="106" spans="1:17" ht="14.4" customHeight="1" x14ac:dyDescent="0.3">
      <c r="A106" s="417" t="s">
        <v>1133</v>
      </c>
      <c r="B106" s="418" t="s">
        <v>986</v>
      </c>
      <c r="C106" s="418" t="s">
        <v>987</v>
      </c>
      <c r="D106" s="418" t="s">
        <v>1040</v>
      </c>
      <c r="E106" s="418" t="s">
        <v>1041</v>
      </c>
      <c r="F106" s="421">
        <v>242</v>
      </c>
      <c r="G106" s="421">
        <v>27346</v>
      </c>
      <c r="H106" s="421">
        <v>1</v>
      </c>
      <c r="I106" s="421">
        <v>113</v>
      </c>
      <c r="J106" s="421">
        <v>223</v>
      </c>
      <c r="K106" s="421">
        <v>25868</v>
      </c>
      <c r="L106" s="421">
        <v>0.94595187595992103</v>
      </c>
      <c r="M106" s="421">
        <v>116</v>
      </c>
      <c r="N106" s="421">
        <v>348</v>
      </c>
      <c r="O106" s="421">
        <v>40716</v>
      </c>
      <c r="P106" s="443">
        <v>1.4889197688875886</v>
      </c>
      <c r="Q106" s="422">
        <v>117</v>
      </c>
    </row>
    <row r="107" spans="1:17" ht="14.4" customHeight="1" x14ac:dyDescent="0.3">
      <c r="A107" s="417" t="s">
        <v>1133</v>
      </c>
      <c r="B107" s="418" t="s">
        <v>986</v>
      </c>
      <c r="C107" s="418" t="s">
        <v>987</v>
      </c>
      <c r="D107" s="418" t="s">
        <v>1042</v>
      </c>
      <c r="E107" s="418" t="s">
        <v>1043</v>
      </c>
      <c r="F107" s="421">
        <v>71</v>
      </c>
      <c r="G107" s="421">
        <v>5964</v>
      </c>
      <c r="H107" s="421">
        <v>1</v>
      </c>
      <c r="I107" s="421">
        <v>84</v>
      </c>
      <c r="J107" s="421">
        <v>74</v>
      </c>
      <c r="K107" s="421">
        <v>6290</v>
      </c>
      <c r="L107" s="421">
        <v>1.0546613011401744</v>
      </c>
      <c r="M107" s="421">
        <v>85</v>
      </c>
      <c r="N107" s="421">
        <v>91</v>
      </c>
      <c r="O107" s="421">
        <v>8281</v>
      </c>
      <c r="P107" s="443">
        <v>1.3884976525821595</v>
      </c>
      <c r="Q107" s="422">
        <v>91</v>
      </c>
    </row>
    <row r="108" spans="1:17" ht="14.4" customHeight="1" x14ac:dyDescent="0.3">
      <c r="A108" s="417" t="s">
        <v>1133</v>
      </c>
      <c r="B108" s="418" t="s">
        <v>986</v>
      </c>
      <c r="C108" s="418" t="s">
        <v>987</v>
      </c>
      <c r="D108" s="418" t="s">
        <v>1044</v>
      </c>
      <c r="E108" s="418" t="s">
        <v>1045</v>
      </c>
      <c r="F108" s="421">
        <v>3</v>
      </c>
      <c r="G108" s="421">
        <v>288</v>
      </c>
      <c r="H108" s="421">
        <v>1</v>
      </c>
      <c r="I108" s="421">
        <v>96</v>
      </c>
      <c r="J108" s="421">
        <v>2</v>
      </c>
      <c r="K108" s="421">
        <v>196</v>
      </c>
      <c r="L108" s="421">
        <v>0.68055555555555558</v>
      </c>
      <c r="M108" s="421">
        <v>98</v>
      </c>
      <c r="N108" s="421"/>
      <c r="O108" s="421"/>
      <c r="P108" s="443"/>
      <c r="Q108" s="422"/>
    </row>
    <row r="109" spans="1:17" ht="14.4" customHeight="1" x14ac:dyDescent="0.3">
      <c r="A109" s="417" t="s">
        <v>1133</v>
      </c>
      <c r="B109" s="418" t="s">
        <v>986</v>
      </c>
      <c r="C109" s="418" t="s">
        <v>987</v>
      </c>
      <c r="D109" s="418" t="s">
        <v>1046</v>
      </c>
      <c r="E109" s="418" t="s">
        <v>1047</v>
      </c>
      <c r="F109" s="421">
        <v>22</v>
      </c>
      <c r="G109" s="421">
        <v>462</v>
      </c>
      <c r="H109" s="421">
        <v>1</v>
      </c>
      <c r="I109" s="421">
        <v>21</v>
      </c>
      <c r="J109" s="421">
        <v>30</v>
      </c>
      <c r="K109" s="421">
        <v>630</v>
      </c>
      <c r="L109" s="421">
        <v>1.3636363636363635</v>
      </c>
      <c r="M109" s="421">
        <v>21</v>
      </c>
      <c r="N109" s="421">
        <v>54</v>
      </c>
      <c r="O109" s="421">
        <v>1134</v>
      </c>
      <c r="P109" s="443">
        <v>2.4545454545454546</v>
      </c>
      <c r="Q109" s="422">
        <v>21</v>
      </c>
    </row>
    <row r="110" spans="1:17" ht="14.4" customHeight="1" x14ac:dyDescent="0.3">
      <c r="A110" s="417" t="s">
        <v>1133</v>
      </c>
      <c r="B110" s="418" t="s">
        <v>986</v>
      </c>
      <c r="C110" s="418" t="s">
        <v>987</v>
      </c>
      <c r="D110" s="418" t="s">
        <v>1048</v>
      </c>
      <c r="E110" s="418" t="s">
        <v>1049</v>
      </c>
      <c r="F110" s="421">
        <v>16</v>
      </c>
      <c r="G110" s="421">
        <v>7776</v>
      </c>
      <c r="H110" s="421">
        <v>1</v>
      </c>
      <c r="I110" s="421">
        <v>486</v>
      </c>
      <c r="J110" s="421">
        <v>5</v>
      </c>
      <c r="K110" s="421">
        <v>2435</v>
      </c>
      <c r="L110" s="421">
        <v>0.31314300411522633</v>
      </c>
      <c r="M110" s="421">
        <v>487</v>
      </c>
      <c r="N110" s="421">
        <v>6</v>
      </c>
      <c r="O110" s="421">
        <v>2928</v>
      </c>
      <c r="P110" s="443">
        <v>0.37654320987654322</v>
      </c>
      <c r="Q110" s="422">
        <v>488</v>
      </c>
    </row>
    <row r="111" spans="1:17" ht="14.4" customHeight="1" x14ac:dyDescent="0.3">
      <c r="A111" s="417" t="s">
        <v>1133</v>
      </c>
      <c r="B111" s="418" t="s">
        <v>986</v>
      </c>
      <c r="C111" s="418" t="s">
        <v>987</v>
      </c>
      <c r="D111" s="418" t="s">
        <v>1056</v>
      </c>
      <c r="E111" s="418" t="s">
        <v>1057</v>
      </c>
      <c r="F111" s="421">
        <v>44</v>
      </c>
      <c r="G111" s="421">
        <v>1760</v>
      </c>
      <c r="H111" s="421">
        <v>1</v>
      </c>
      <c r="I111" s="421">
        <v>40</v>
      </c>
      <c r="J111" s="421">
        <v>32</v>
      </c>
      <c r="K111" s="421">
        <v>1312</v>
      </c>
      <c r="L111" s="421">
        <v>0.74545454545454548</v>
      </c>
      <c r="M111" s="421">
        <v>41</v>
      </c>
      <c r="N111" s="421">
        <v>30</v>
      </c>
      <c r="O111" s="421">
        <v>1230</v>
      </c>
      <c r="P111" s="443">
        <v>0.69886363636363635</v>
      </c>
      <c r="Q111" s="422">
        <v>41</v>
      </c>
    </row>
    <row r="112" spans="1:17" ht="14.4" customHeight="1" x14ac:dyDescent="0.3">
      <c r="A112" s="417" t="s">
        <v>1133</v>
      </c>
      <c r="B112" s="418" t="s">
        <v>986</v>
      </c>
      <c r="C112" s="418" t="s">
        <v>987</v>
      </c>
      <c r="D112" s="418" t="s">
        <v>1064</v>
      </c>
      <c r="E112" s="418" t="s">
        <v>1065</v>
      </c>
      <c r="F112" s="421"/>
      <c r="G112" s="421"/>
      <c r="H112" s="421"/>
      <c r="I112" s="421"/>
      <c r="J112" s="421"/>
      <c r="K112" s="421"/>
      <c r="L112" s="421"/>
      <c r="M112" s="421"/>
      <c r="N112" s="421">
        <v>2</v>
      </c>
      <c r="O112" s="421">
        <v>446</v>
      </c>
      <c r="P112" s="443"/>
      <c r="Q112" s="422">
        <v>223</v>
      </c>
    </row>
    <row r="113" spans="1:17" ht="14.4" customHeight="1" x14ac:dyDescent="0.3">
      <c r="A113" s="417" t="s">
        <v>1133</v>
      </c>
      <c r="B113" s="418" t="s">
        <v>986</v>
      </c>
      <c r="C113" s="418" t="s">
        <v>987</v>
      </c>
      <c r="D113" s="418" t="s">
        <v>1070</v>
      </c>
      <c r="E113" s="418" t="s">
        <v>1071</v>
      </c>
      <c r="F113" s="421">
        <v>3</v>
      </c>
      <c r="G113" s="421">
        <v>1812</v>
      </c>
      <c r="H113" s="421">
        <v>1</v>
      </c>
      <c r="I113" s="421">
        <v>604</v>
      </c>
      <c r="J113" s="421"/>
      <c r="K113" s="421"/>
      <c r="L113" s="421"/>
      <c r="M113" s="421"/>
      <c r="N113" s="421">
        <v>1</v>
      </c>
      <c r="O113" s="421">
        <v>614</v>
      </c>
      <c r="P113" s="443">
        <v>0.33885209713024284</v>
      </c>
      <c r="Q113" s="422">
        <v>614</v>
      </c>
    </row>
    <row r="114" spans="1:17" ht="14.4" customHeight="1" x14ac:dyDescent="0.3">
      <c r="A114" s="417" t="s">
        <v>1133</v>
      </c>
      <c r="B114" s="418" t="s">
        <v>986</v>
      </c>
      <c r="C114" s="418" t="s">
        <v>987</v>
      </c>
      <c r="D114" s="418" t="s">
        <v>1074</v>
      </c>
      <c r="E114" s="418" t="s">
        <v>1075</v>
      </c>
      <c r="F114" s="421">
        <v>6</v>
      </c>
      <c r="G114" s="421">
        <v>3036</v>
      </c>
      <c r="H114" s="421">
        <v>1</v>
      </c>
      <c r="I114" s="421">
        <v>506</v>
      </c>
      <c r="J114" s="421">
        <v>1</v>
      </c>
      <c r="K114" s="421">
        <v>509</v>
      </c>
      <c r="L114" s="421">
        <v>0.1676548089591568</v>
      </c>
      <c r="M114" s="421">
        <v>509</v>
      </c>
      <c r="N114" s="421"/>
      <c r="O114" s="421"/>
      <c r="P114" s="443"/>
      <c r="Q114" s="422"/>
    </row>
    <row r="115" spans="1:17" ht="14.4" customHeight="1" x14ac:dyDescent="0.3">
      <c r="A115" s="417" t="s">
        <v>1134</v>
      </c>
      <c r="B115" s="418" t="s">
        <v>986</v>
      </c>
      <c r="C115" s="418" t="s">
        <v>987</v>
      </c>
      <c r="D115" s="418" t="s">
        <v>988</v>
      </c>
      <c r="E115" s="418" t="s">
        <v>989</v>
      </c>
      <c r="F115" s="421">
        <v>94</v>
      </c>
      <c r="G115" s="421">
        <v>14946</v>
      </c>
      <c r="H115" s="421">
        <v>1</v>
      </c>
      <c r="I115" s="421">
        <v>159</v>
      </c>
      <c r="J115" s="421">
        <v>73</v>
      </c>
      <c r="K115" s="421">
        <v>11753</v>
      </c>
      <c r="L115" s="421">
        <v>0.7863642446139435</v>
      </c>
      <c r="M115" s="421">
        <v>161</v>
      </c>
      <c r="N115" s="421">
        <v>85</v>
      </c>
      <c r="O115" s="421">
        <v>14705</v>
      </c>
      <c r="P115" s="443">
        <v>0.98387528435701865</v>
      </c>
      <c r="Q115" s="422">
        <v>173</v>
      </c>
    </row>
    <row r="116" spans="1:17" ht="14.4" customHeight="1" x14ac:dyDescent="0.3">
      <c r="A116" s="417" t="s">
        <v>1134</v>
      </c>
      <c r="B116" s="418" t="s">
        <v>986</v>
      </c>
      <c r="C116" s="418" t="s">
        <v>987</v>
      </c>
      <c r="D116" s="418" t="s">
        <v>1004</v>
      </c>
      <c r="E116" s="418" t="s">
        <v>1005</v>
      </c>
      <c r="F116" s="421">
        <v>142</v>
      </c>
      <c r="G116" s="421">
        <v>5538</v>
      </c>
      <c r="H116" s="421">
        <v>1</v>
      </c>
      <c r="I116" s="421">
        <v>39</v>
      </c>
      <c r="J116" s="421">
        <v>10</v>
      </c>
      <c r="K116" s="421">
        <v>400</v>
      </c>
      <c r="L116" s="421">
        <v>7.2228241242325755E-2</v>
      </c>
      <c r="M116" s="421">
        <v>40</v>
      </c>
      <c r="N116" s="421">
        <v>35</v>
      </c>
      <c r="O116" s="421">
        <v>1435</v>
      </c>
      <c r="P116" s="443">
        <v>0.25911881545684362</v>
      </c>
      <c r="Q116" s="422">
        <v>41</v>
      </c>
    </row>
    <row r="117" spans="1:17" ht="14.4" customHeight="1" x14ac:dyDescent="0.3">
      <c r="A117" s="417" t="s">
        <v>1134</v>
      </c>
      <c r="B117" s="418" t="s">
        <v>986</v>
      </c>
      <c r="C117" s="418" t="s">
        <v>987</v>
      </c>
      <c r="D117" s="418" t="s">
        <v>1006</v>
      </c>
      <c r="E117" s="418" t="s">
        <v>1007</v>
      </c>
      <c r="F117" s="421">
        <v>13</v>
      </c>
      <c r="G117" s="421">
        <v>4966</v>
      </c>
      <c r="H117" s="421">
        <v>1</v>
      </c>
      <c r="I117" s="421">
        <v>382</v>
      </c>
      <c r="J117" s="421">
        <v>3</v>
      </c>
      <c r="K117" s="421">
        <v>1149</v>
      </c>
      <c r="L117" s="421">
        <v>0.23137333870318164</v>
      </c>
      <c r="M117" s="421">
        <v>383</v>
      </c>
      <c r="N117" s="421">
        <v>1</v>
      </c>
      <c r="O117" s="421">
        <v>384</v>
      </c>
      <c r="P117" s="443">
        <v>7.732581554571083E-2</v>
      </c>
      <c r="Q117" s="422">
        <v>384</v>
      </c>
    </row>
    <row r="118" spans="1:17" ht="14.4" customHeight="1" x14ac:dyDescent="0.3">
      <c r="A118" s="417" t="s">
        <v>1134</v>
      </c>
      <c r="B118" s="418" t="s">
        <v>986</v>
      </c>
      <c r="C118" s="418" t="s">
        <v>987</v>
      </c>
      <c r="D118" s="418" t="s">
        <v>1012</v>
      </c>
      <c r="E118" s="418" t="s">
        <v>1013</v>
      </c>
      <c r="F118" s="421">
        <v>21</v>
      </c>
      <c r="G118" s="421">
        <v>9324</v>
      </c>
      <c r="H118" s="421">
        <v>1</v>
      </c>
      <c r="I118" s="421">
        <v>444</v>
      </c>
      <c r="J118" s="421">
        <v>3</v>
      </c>
      <c r="K118" s="421">
        <v>1335</v>
      </c>
      <c r="L118" s="421">
        <v>0.14317889317889318</v>
      </c>
      <c r="M118" s="421">
        <v>445</v>
      </c>
      <c r="N118" s="421">
        <v>3</v>
      </c>
      <c r="O118" s="421">
        <v>1338</v>
      </c>
      <c r="P118" s="443">
        <v>0.14350064350064351</v>
      </c>
      <c r="Q118" s="422">
        <v>446</v>
      </c>
    </row>
    <row r="119" spans="1:17" ht="14.4" customHeight="1" x14ac:dyDescent="0.3">
      <c r="A119" s="417" t="s">
        <v>1134</v>
      </c>
      <c r="B119" s="418" t="s">
        <v>986</v>
      </c>
      <c r="C119" s="418" t="s">
        <v>987</v>
      </c>
      <c r="D119" s="418" t="s">
        <v>1014</v>
      </c>
      <c r="E119" s="418" t="s">
        <v>1015</v>
      </c>
      <c r="F119" s="421">
        <v>7</v>
      </c>
      <c r="G119" s="421">
        <v>287</v>
      </c>
      <c r="H119" s="421">
        <v>1</v>
      </c>
      <c r="I119" s="421">
        <v>41</v>
      </c>
      <c r="J119" s="421">
        <v>2</v>
      </c>
      <c r="K119" s="421">
        <v>82</v>
      </c>
      <c r="L119" s="421">
        <v>0.2857142857142857</v>
      </c>
      <c r="M119" s="421">
        <v>41</v>
      </c>
      <c r="N119" s="421">
        <v>1</v>
      </c>
      <c r="O119" s="421">
        <v>42</v>
      </c>
      <c r="P119" s="443">
        <v>0.14634146341463414</v>
      </c>
      <c r="Q119" s="422">
        <v>42</v>
      </c>
    </row>
    <row r="120" spans="1:17" ht="14.4" customHeight="1" x14ac:dyDescent="0.3">
      <c r="A120" s="417" t="s">
        <v>1134</v>
      </c>
      <c r="B120" s="418" t="s">
        <v>986</v>
      </c>
      <c r="C120" s="418" t="s">
        <v>987</v>
      </c>
      <c r="D120" s="418" t="s">
        <v>1016</v>
      </c>
      <c r="E120" s="418" t="s">
        <v>1017</v>
      </c>
      <c r="F120" s="421"/>
      <c r="G120" s="421"/>
      <c r="H120" s="421"/>
      <c r="I120" s="421"/>
      <c r="J120" s="421">
        <v>1</v>
      </c>
      <c r="K120" s="421">
        <v>491</v>
      </c>
      <c r="L120" s="421"/>
      <c r="M120" s="421">
        <v>491</v>
      </c>
      <c r="N120" s="421"/>
      <c r="O120" s="421"/>
      <c r="P120" s="443"/>
      <c r="Q120" s="422"/>
    </row>
    <row r="121" spans="1:17" ht="14.4" customHeight="1" x14ac:dyDescent="0.3">
      <c r="A121" s="417" t="s">
        <v>1134</v>
      </c>
      <c r="B121" s="418" t="s">
        <v>986</v>
      </c>
      <c r="C121" s="418" t="s">
        <v>987</v>
      </c>
      <c r="D121" s="418" t="s">
        <v>1018</v>
      </c>
      <c r="E121" s="418" t="s">
        <v>1019</v>
      </c>
      <c r="F121" s="421">
        <v>3</v>
      </c>
      <c r="G121" s="421">
        <v>93</v>
      </c>
      <c r="H121" s="421">
        <v>1</v>
      </c>
      <c r="I121" s="421">
        <v>31</v>
      </c>
      <c r="J121" s="421">
        <v>1</v>
      </c>
      <c r="K121" s="421">
        <v>31</v>
      </c>
      <c r="L121" s="421">
        <v>0.33333333333333331</v>
      </c>
      <c r="M121" s="421">
        <v>31</v>
      </c>
      <c r="N121" s="421"/>
      <c r="O121" s="421"/>
      <c r="P121" s="443"/>
      <c r="Q121" s="422"/>
    </row>
    <row r="122" spans="1:17" ht="14.4" customHeight="1" x14ac:dyDescent="0.3">
      <c r="A122" s="417" t="s">
        <v>1134</v>
      </c>
      <c r="B122" s="418" t="s">
        <v>986</v>
      </c>
      <c r="C122" s="418" t="s">
        <v>987</v>
      </c>
      <c r="D122" s="418" t="s">
        <v>1032</v>
      </c>
      <c r="E122" s="418" t="s">
        <v>1033</v>
      </c>
      <c r="F122" s="421">
        <v>47</v>
      </c>
      <c r="G122" s="421">
        <v>752</v>
      </c>
      <c r="H122" s="421">
        <v>1</v>
      </c>
      <c r="I122" s="421">
        <v>16</v>
      </c>
      <c r="J122" s="421">
        <v>12</v>
      </c>
      <c r="K122" s="421">
        <v>192</v>
      </c>
      <c r="L122" s="421">
        <v>0.25531914893617019</v>
      </c>
      <c r="M122" s="421">
        <v>16</v>
      </c>
      <c r="N122" s="421">
        <v>6</v>
      </c>
      <c r="O122" s="421">
        <v>102</v>
      </c>
      <c r="P122" s="443">
        <v>0.13563829787234041</v>
      </c>
      <c r="Q122" s="422">
        <v>17</v>
      </c>
    </row>
    <row r="123" spans="1:17" ht="14.4" customHeight="1" x14ac:dyDescent="0.3">
      <c r="A123" s="417" t="s">
        <v>1134</v>
      </c>
      <c r="B123" s="418" t="s">
        <v>986</v>
      </c>
      <c r="C123" s="418" t="s">
        <v>987</v>
      </c>
      <c r="D123" s="418" t="s">
        <v>1036</v>
      </c>
      <c r="E123" s="418" t="s">
        <v>1037</v>
      </c>
      <c r="F123" s="421"/>
      <c r="G123" s="421"/>
      <c r="H123" s="421"/>
      <c r="I123" s="421"/>
      <c r="J123" s="421">
        <v>1</v>
      </c>
      <c r="K123" s="421">
        <v>103</v>
      </c>
      <c r="L123" s="421"/>
      <c r="M123" s="421">
        <v>103</v>
      </c>
      <c r="N123" s="421">
        <v>1</v>
      </c>
      <c r="O123" s="421">
        <v>103</v>
      </c>
      <c r="P123" s="443"/>
      <c r="Q123" s="422">
        <v>103</v>
      </c>
    </row>
    <row r="124" spans="1:17" ht="14.4" customHeight="1" x14ac:dyDescent="0.3">
      <c r="A124" s="417" t="s">
        <v>1134</v>
      </c>
      <c r="B124" s="418" t="s">
        <v>986</v>
      </c>
      <c r="C124" s="418" t="s">
        <v>987</v>
      </c>
      <c r="D124" s="418" t="s">
        <v>1040</v>
      </c>
      <c r="E124" s="418" t="s">
        <v>1041</v>
      </c>
      <c r="F124" s="421">
        <v>39</v>
      </c>
      <c r="G124" s="421">
        <v>4407</v>
      </c>
      <c r="H124" s="421">
        <v>1</v>
      </c>
      <c r="I124" s="421">
        <v>113</v>
      </c>
      <c r="J124" s="421">
        <v>26</v>
      </c>
      <c r="K124" s="421">
        <v>3016</v>
      </c>
      <c r="L124" s="421">
        <v>0.68436578171091444</v>
      </c>
      <c r="M124" s="421">
        <v>116</v>
      </c>
      <c r="N124" s="421">
        <v>12</v>
      </c>
      <c r="O124" s="421">
        <v>1404</v>
      </c>
      <c r="P124" s="443">
        <v>0.31858407079646017</v>
      </c>
      <c r="Q124" s="422">
        <v>117</v>
      </c>
    </row>
    <row r="125" spans="1:17" ht="14.4" customHeight="1" x14ac:dyDescent="0.3">
      <c r="A125" s="417" t="s">
        <v>1134</v>
      </c>
      <c r="B125" s="418" t="s">
        <v>986</v>
      </c>
      <c r="C125" s="418" t="s">
        <v>987</v>
      </c>
      <c r="D125" s="418" t="s">
        <v>1042</v>
      </c>
      <c r="E125" s="418" t="s">
        <v>1043</v>
      </c>
      <c r="F125" s="421">
        <v>6</v>
      </c>
      <c r="G125" s="421">
        <v>504</v>
      </c>
      <c r="H125" s="421">
        <v>1</v>
      </c>
      <c r="I125" s="421">
        <v>84</v>
      </c>
      <c r="J125" s="421">
        <v>3</v>
      </c>
      <c r="K125" s="421">
        <v>255</v>
      </c>
      <c r="L125" s="421">
        <v>0.50595238095238093</v>
      </c>
      <c r="M125" s="421">
        <v>85</v>
      </c>
      <c r="N125" s="421">
        <v>2</v>
      </c>
      <c r="O125" s="421">
        <v>182</v>
      </c>
      <c r="P125" s="443">
        <v>0.3611111111111111</v>
      </c>
      <c r="Q125" s="422">
        <v>91</v>
      </c>
    </row>
    <row r="126" spans="1:17" ht="14.4" customHeight="1" x14ac:dyDescent="0.3">
      <c r="A126" s="417" t="s">
        <v>1134</v>
      </c>
      <c r="B126" s="418" t="s">
        <v>986</v>
      </c>
      <c r="C126" s="418" t="s">
        <v>987</v>
      </c>
      <c r="D126" s="418" t="s">
        <v>1046</v>
      </c>
      <c r="E126" s="418" t="s">
        <v>1047</v>
      </c>
      <c r="F126" s="421">
        <v>10</v>
      </c>
      <c r="G126" s="421">
        <v>210</v>
      </c>
      <c r="H126" s="421">
        <v>1</v>
      </c>
      <c r="I126" s="421">
        <v>21</v>
      </c>
      <c r="J126" s="421">
        <v>1</v>
      </c>
      <c r="K126" s="421">
        <v>21</v>
      </c>
      <c r="L126" s="421">
        <v>0.1</v>
      </c>
      <c r="M126" s="421">
        <v>21</v>
      </c>
      <c r="N126" s="421"/>
      <c r="O126" s="421"/>
      <c r="P126" s="443"/>
      <c r="Q126" s="422"/>
    </row>
    <row r="127" spans="1:17" ht="14.4" customHeight="1" x14ac:dyDescent="0.3">
      <c r="A127" s="417" t="s">
        <v>1134</v>
      </c>
      <c r="B127" s="418" t="s">
        <v>986</v>
      </c>
      <c r="C127" s="418" t="s">
        <v>987</v>
      </c>
      <c r="D127" s="418" t="s">
        <v>1048</v>
      </c>
      <c r="E127" s="418" t="s">
        <v>1049</v>
      </c>
      <c r="F127" s="421">
        <v>28</v>
      </c>
      <c r="G127" s="421">
        <v>13608</v>
      </c>
      <c r="H127" s="421">
        <v>1</v>
      </c>
      <c r="I127" s="421">
        <v>486</v>
      </c>
      <c r="J127" s="421">
        <v>4</v>
      </c>
      <c r="K127" s="421">
        <v>1948</v>
      </c>
      <c r="L127" s="421">
        <v>0.14315108759553205</v>
      </c>
      <c r="M127" s="421">
        <v>487</v>
      </c>
      <c r="N127" s="421">
        <v>4</v>
      </c>
      <c r="O127" s="421">
        <v>1952</v>
      </c>
      <c r="P127" s="443">
        <v>0.14344503233392122</v>
      </c>
      <c r="Q127" s="422">
        <v>488</v>
      </c>
    </row>
    <row r="128" spans="1:17" ht="14.4" customHeight="1" x14ac:dyDescent="0.3">
      <c r="A128" s="417" t="s">
        <v>1134</v>
      </c>
      <c r="B128" s="418" t="s">
        <v>986</v>
      </c>
      <c r="C128" s="418" t="s">
        <v>987</v>
      </c>
      <c r="D128" s="418" t="s">
        <v>1056</v>
      </c>
      <c r="E128" s="418" t="s">
        <v>1057</v>
      </c>
      <c r="F128" s="421">
        <v>14</v>
      </c>
      <c r="G128" s="421">
        <v>560</v>
      </c>
      <c r="H128" s="421">
        <v>1</v>
      </c>
      <c r="I128" s="421">
        <v>40</v>
      </c>
      <c r="J128" s="421"/>
      <c r="K128" s="421"/>
      <c r="L128" s="421"/>
      <c r="M128" s="421"/>
      <c r="N128" s="421">
        <v>1</v>
      </c>
      <c r="O128" s="421">
        <v>41</v>
      </c>
      <c r="P128" s="443">
        <v>7.3214285714285718E-2</v>
      </c>
      <c r="Q128" s="422">
        <v>41</v>
      </c>
    </row>
    <row r="129" spans="1:17" ht="14.4" customHeight="1" x14ac:dyDescent="0.3">
      <c r="A129" s="417" t="s">
        <v>1134</v>
      </c>
      <c r="B129" s="418" t="s">
        <v>986</v>
      </c>
      <c r="C129" s="418" t="s">
        <v>987</v>
      </c>
      <c r="D129" s="418" t="s">
        <v>1064</v>
      </c>
      <c r="E129" s="418" t="s">
        <v>1065</v>
      </c>
      <c r="F129" s="421"/>
      <c r="G129" s="421"/>
      <c r="H129" s="421"/>
      <c r="I129" s="421"/>
      <c r="J129" s="421"/>
      <c r="K129" s="421"/>
      <c r="L129" s="421"/>
      <c r="M129" s="421"/>
      <c r="N129" s="421">
        <v>1</v>
      </c>
      <c r="O129" s="421">
        <v>223</v>
      </c>
      <c r="P129" s="443"/>
      <c r="Q129" s="422">
        <v>223</v>
      </c>
    </row>
    <row r="130" spans="1:17" ht="14.4" customHeight="1" x14ac:dyDescent="0.3">
      <c r="A130" s="417" t="s">
        <v>1135</v>
      </c>
      <c r="B130" s="418" t="s">
        <v>986</v>
      </c>
      <c r="C130" s="418" t="s">
        <v>987</v>
      </c>
      <c r="D130" s="418" t="s">
        <v>988</v>
      </c>
      <c r="E130" s="418" t="s">
        <v>989</v>
      </c>
      <c r="F130" s="421">
        <v>287</v>
      </c>
      <c r="G130" s="421">
        <v>45633</v>
      </c>
      <c r="H130" s="421">
        <v>1</v>
      </c>
      <c r="I130" s="421">
        <v>159</v>
      </c>
      <c r="J130" s="421">
        <v>321</v>
      </c>
      <c r="K130" s="421">
        <v>51681</v>
      </c>
      <c r="L130" s="421">
        <v>1.1325356649792913</v>
      </c>
      <c r="M130" s="421">
        <v>161</v>
      </c>
      <c r="N130" s="421">
        <v>287</v>
      </c>
      <c r="O130" s="421">
        <v>49651</v>
      </c>
      <c r="P130" s="443">
        <v>1.0880503144654088</v>
      </c>
      <c r="Q130" s="422">
        <v>173</v>
      </c>
    </row>
    <row r="131" spans="1:17" ht="14.4" customHeight="1" x14ac:dyDescent="0.3">
      <c r="A131" s="417" t="s">
        <v>1135</v>
      </c>
      <c r="B131" s="418" t="s">
        <v>986</v>
      </c>
      <c r="C131" s="418" t="s">
        <v>987</v>
      </c>
      <c r="D131" s="418" t="s">
        <v>1002</v>
      </c>
      <c r="E131" s="418" t="s">
        <v>1003</v>
      </c>
      <c r="F131" s="421">
        <v>1</v>
      </c>
      <c r="G131" s="421">
        <v>1165</v>
      </c>
      <c r="H131" s="421">
        <v>1</v>
      </c>
      <c r="I131" s="421">
        <v>1165</v>
      </c>
      <c r="J131" s="421">
        <v>1</v>
      </c>
      <c r="K131" s="421">
        <v>1169</v>
      </c>
      <c r="L131" s="421">
        <v>1.0034334763948498</v>
      </c>
      <c r="M131" s="421">
        <v>1169</v>
      </c>
      <c r="N131" s="421"/>
      <c r="O131" s="421"/>
      <c r="P131" s="443"/>
      <c r="Q131" s="422"/>
    </row>
    <row r="132" spans="1:17" ht="14.4" customHeight="1" x14ac:dyDescent="0.3">
      <c r="A132" s="417" t="s">
        <v>1135</v>
      </c>
      <c r="B132" s="418" t="s">
        <v>986</v>
      </c>
      <c r="C132" s="418" t="s">
        <v>987</v>
      </c>
      <c r="D132" s="418" t="s">
        <v>1004</v>
      </c>
      <c r="E132" s="418" t="s">
        <v>1005</v>
      </c>
      <c r="F132" s="421">
        <v>20</v>
      </c>
      <c r="G132" s="421">
        <v>780</v>
      </c>
      <c r="H132" s="421">
        <v>1</v>
      </c>
      <c r="I132" s="421">
        <v>39</v>
      </c>
      <c r="J132" s="421">
        <v>33</v>
      </c>
      <c r="K132" s="421">
        <v>1320</v>
      </c>
      <c r="L132" s="421">
        <v>1.6923076923076923</v>
      </c>
      <c r="M132" s="421">
        <v>40</v>
      </c>
      <c r="N132" s="421">
        <v>18</v>
      </c>
      <c r="O132" s="421">
        <v>738</v>
      </c>
      <c r="P132" s="443">
        <v>0.94615384615384612</v>
      </c>
      <c r="Q132" s="422">
        <v>41</v>
      </c>
    </row>
    <row r="133" spans="1:17" ht="14.4" customHeight="1" x14ac:dyDescent="0.3">
      <c r="A133" s="417" t="s">
        <v>1135</v>
      </c>
      <c r="B133" s="418" t="s">
        <v>986</v>
      </c>
      <c r="C133" s="418" t="s">
        <v>987</v>
      </c>
      <c r="D133" s="418" t="s">
        <v>1006</v>
      </c>
      <c r="E133" s="418" t="s">
        <v>1007</v>
      </c>
      <c r="F133" s="421"/>
      <c r="G133" s="421"/>
      <c r="H133" s="421"/>
      <c r="I133" s="421"/>
      <c r="J133" s="421">
        <v>3</v>
      </c>
      <c r="K133" s="421">
        <v>1149</v>
      </c>
      <c r="L133" s="421"/>
      <c r="M133" s="421">
        <v>383</v>
      </c>
      <c r="N133" s="421">
        <v>3</v>
      </c>
      <c r="O133" s="421">
        <v>1152</v>
      </c>
      <c r="P133" s="443"/>
      <c r="Q133" s="422">
        <v>384</v>
      </c>
    </row>
    <row r="134" spans="1:17" ht="14.4" customHeight="1" x14ac:dyDescent="0.3">
      <c r="A134" s="417" t="s">
        <v>1135</v>
      </c>
      <c r="B134" s="418" t="s">
        <v>986</v>
      </c>
      <c r="C134" s="418" t="s">
        <v>987</v>
      </c>
      <c r="D134" s="418" t="s">
        <v>1014</v>
      </c>
      <c r="E134" s="418" t="s">
        <v>1015</v>
      </c>
      <c r="F134" s="421">
        <v>17</v>
      </c>
      <c r="G134" s="421">
        <v>697</v>
      </c>
      <c r="H134" s="421">
        <v>1</v>
      </c>
      <c r="I134" s="421">
        <v>41</v>
      </c>
      <c r="J134" s="421">
        <v>14</v>
      </c>
      <c r="K134" s="421">
        <v>574</v>
      </c>
      <c r="L134" s="421">
        <v>0.82352941176470584</v>
      </c>
      <c r="M134" s="421">
        <v>41</v>
      </c>
      <c r="N134" s="421">
        <v>14</v>
      </c>
      <c r="O134" s="421">
        <v>588</v>
      </c>
      <c r="P134" s="443">
        <v>0.84361549497847921</v>
      </c>
      <c r="Q134" s="422">
        <v>42</v>
      </c>
    </row>
    <row r="135" spans="1:17" ht="14.4" customHeight="1" x14ac:dyDescent="0.3">
      <c r="A135" s="417" t="s">
        <v>1135</v>
      </c>
      <c r="B135" s="418" t="s">
        <v>986</v>
      </c>
      <c r="C135" s="418" t="s">
        <v>987</v>
      </c>
      <c r="D135" s="418" t="s">
        <v>1016</v>
      </c>
      <c r="E135" s="418" t="s">
        <v>1017</v>
      </c>
      <c r="F135" s="421"/>
      <c r="G135" s="421"/>
      <c r="H135" s="421"/>
      <c r="I135" s="421"/>
      <c r="J135" s="421">
        <v>1</v>
      </c>
      <c r="K135" s="421">
        <v>491</v>
      </c>
      <c r="L135" s="421"/>
      <c r="M135" s="421">
        <v>491</v>
      </c>
      <c r="N135" s="421">
        <v>3</v>
      </c>
      <c r="O135" s="421">
        <v>1476</v>
      </c>
      <c r="P135" s="443"/>
      <c r="Q135" s="422">
        <v>492</v>
      </c>
    </row>
    <row r="136" spans="1:17" ht="14.4" customHeight="1" x14ac:dyDescent="0.3">
      <c r="A136" s="417" t="s">
        <v>1135</v>
      </c>
      <c r="B136" s="418" t="s">
        <v>986</v>
      </c>
      <c r="C136" s="418" t="s">
        <v>987</v>
      </c>
      <c r="D136" s="418" t="s">
        <v>1018</v>
      </c>
      <c r="E136" s="418" t="s">
        <v>1019</v>
      </c>
      <c r="F136" s="421">
        <v>8</v>
      </c>
      <c r="G136" s="421">
        <v>248</v>
      </c>
      <c r="H136" s="421">
        <v>1</v>
      </c>
      <c r="I136" s="421">
        <v>31</v>
      </c>
      <c r="J136" s="421">
        <v>19</v>
      </c>
      <c r="K136" s="421">
        <v>589</v>
      </c>
      <c r="L136" s="421">
        <v>2.375</v>
      </c>
      <c r="M136" s="421">
        <v>31</v>
      </c>
      <c r="N136" s="421"/>
      <c r="O136" s="421"/>
      <c r="P136" s="443"/>
      <c r="Q136" s="422"/>
    </row>
    <row r="137" spans="1:17" ht="14.4" customHeight="1" x14ac:dyDescent="0.3">
      <c r="A137" s="417" t="s">
        <v>1135</v>
      </c>
      <c r="B137" s="418" t="s">
        <v>986</v>
      </c>
      <c r="C137" s="418" t="s">
        <v>987</v>
      </c>
      <c r="D137" s="418" t="s">
        <v>1020</v>
      </c>
      <c r="E137" s="418" t="s">
        <v>1021</v>
      </c>
      <c r="F137" s="421">
        <v>1</v>
      </c>
      <c r="G137" s="421">
        <v>205</v>
      </c>
      <c r="H137" s="421">
        <v>1</v>
      </c>
      <c r="I137" s="421">
        <v>205</v>
      </c>
      <c r="J137" s="421">
        <v>3</v>
      </c>
      <c r="K137" s="421">
        <v>621</v>
      </c>
      <c r="L137" s="421">
        <v>3.0292682926829269</v>
      </c>
      <c r="M137" s="421">
        <v>207</v>
      </c>
      <c r="N137" s="421"/>
      <c r="O137" s="421"/>
      <c r="P137" s="443"/>
      <c r="Q137" s="422"/>
    </row>
    <row r="138" spans="1:17" ht="14.4" customHeight="1" x14ac:dyDescent="0.3">
      <c r="A138" s="417" t="s">
        <v>1135</v>
      </c>
      <c r="B138" s="418" t="s">
        <v>986</v>
      </c>
      <c r="C138" s="418" t="s">
        <v>987</v>
      </c>
      <c r="D138" s="418" t="s">
        <v>1022</v>
      </c>
      <c r="E138" s="418" t="s">
        <v>1023</v>
      </c>
      <c r="F138" s="421">
        <v>1</v>
      </c>
      <c r="G138" s="421">
        <v>377</v>
      </c>
      <c r="H138" s="421">
        <v>1</v>
      </c>
      <c r="I138" s="421">
        <v>377</v>
      </c>
      <c r="J138" s="421">
        <v>3</v>
      </c>
      <c r="K138" s="421">
        <v>1140</v>
      </c>
      <c r="L138" s="421">
        <v>3.0238726790450929</v>
      </c>
      <c r="M138" s="421">
        <v>380</v>
      </c>
      <c r="N138" s="421"/>
      <c r="O138" s="421"/>
      <c r="P138" s="443"/>
      <c r="Q138" s="422"/>
    </row>
    <row r="139" spans="1:17" ht="14.4" customHeight="1" x14ac:dyDescent="0.3">
      <c r="A139" s="417" t="s">
        <v>1135</v>
      </c>
      <c r="B139" s="418" t="s">
        <v>986</v>
      </c>
      <c r="C139" s="418" t="s">
        <v>987</v>
      </c>
      <c r="D139" s="418" t="s">
        <v>1032</v>
      </c>
      <c r="E139" s="418" t="s">
        <v>1033</v>
      </c>
      <c r="F139" s="421">
        <v>54</v>
      </c>
      <c r="G139" s="421">
        <v>864</v>
      </c>
      <c r="H139" s="421">
        <v>1</v>
      </c>
      <c r="I139" s="421">
        <v>16</v>
      </c>
      <c r="J139" s="421">
        <v>59</v>
      </c>
      <c r="K139" s="421">
        <v>944</v>
      </c>
      <c r="L139" s="421">
        <v>1.0925925925925926</v>
      </c>
      <c r="M139" s="421">
        <v>16</v>
      </c>
      <c r="N139" s="421">
        <v>52</v>
      </c>
      <c r="O139" s="421">
        <v>884</v>
      </c>
      <c r="P139" s="443">
        <v>1.0231481481481481</v>
      </c>
      <c r="Q139" s="422">
        <v>17</v>
      </c>
    </row>
    <row r="140" spans="1:17" ht="14.4" customHeight="1" x14ac:dyDescent="0.3">
      <c r="A140" s="417" t="s">
        <v>1135</v>
      </c>
      <c r="B140" s="418" t="s">
        <v>986</v>
      </c>
      <c r="C140" s="418" t="s">
        <v>987</v>
      </c>
      <c r="D140" s="418" t="s">
        <v>1036</v>
      </c>
      <c r="E140" s="418" t="s">
        <v>1037</v>
      </c>
      <c r="F140" s="421">
        <v>7</v>
      </c>
      <c r="G140" s="421">
        <v>714</v>
      </c>
      <c r="H140" s="421">
        <v>1</v>
      </c>
      <c r="I140" s="421">
        <v>102</v>
      </c>
      <c r="J140" s="421">
        <v>11</v>
      </c>
      <c r="K140" s="421">
        <v>1133</v>
      </c>
      <c r="L140" s="421">
        <v>1.5868347338935573</v>
      </c>
      <c r="M140" s="421">
        <v>103</v>
      </c>
      <c r="N140" s="421">
        <v>1</v>
      </c>
      <c r="O140" s="421">
        <v>103</v>
      </c>
      <c r="P140" s="443">
        <v>0.14425770308123248</v>
      </c>
      <c r="Q140" s="422">
        <v>103</v>
      </c>
    </row>
    <row r="141" spans="1:17" ht="14.4" customHeight="1" x14ac:dyDescent="0.3">
      <c r="A141" s="417" t="s">
        <v>1135</v>
      </c>
      <c r="B141" s="418" t="s">
        <v>986</v>
      </c>
      <c r="C141" s="418" t="s">
        <v>987</v>
      </c>
      <c r="D141" s="418" t="s">
        <v>1040</v>
      </c>
      <c r="E141" s="418" t="s">
        <v>1041</v>
      </c>
      <c r="F141" s="421">
        <v>82</v>
      </c>
      <c r="G141" s="421">
        <v>9266</v>
      </c>
      <c r="H141" s="421">
        <v>1</v>
      </c>
      <c r="I141" s="421">
        <v>113</v>
      </c>
      <c r="J141" s="421">
        <v>95</v>
      </c>
      <c r="K141" s="421">
        <v>11020</v>
      </c>
      <c r="L141" s="421">
        <v>1.1892941938268939</v>
      </c>
      <c r="M141" s="421">
        <v>116</v>
      </c>
      <c r="N141" s="421">
        <v>122</v>
      </c>
      <c r="O141" s="421">
        <v>14274</v>
      </c>
      <c r="P141" s="443">
        <v>1.5404705374487373</v>
      </c>
      <c r="Q141" s="422">
        <v>117</v>
      </c>
    </row>
    <row r="142" spans="1:17" ht="14.4" customHeight="1" x14ac:dyDescent="0.3">
      <c r="A142" s="417" t="s">
        <v>1135</v>
      </c>
      <c r="B142" s="418" t="s">
        <v>986</v>
      </c>
      <c r="C142" s="418" t="s">
        <v>987</v>
      </c>
      <c r="D142" s="418" t="s">
        <v>1042</v>
      </c>
      <c r="E142" s="418" t="s">
        <v>1043</v>
      </c>
      <c r="F142" s="421">
        <v>60</v>
      </c>
      <c r="G142" s="421">
        <v>5040</v>
      </c>
      <c r="H142" s="421">
        <v>1</v>
      </c>
      <c r="I142" s="421">
        <v>84</v>
      </c>
      <c r="J142" s="421">
        <v>67</v>
      </c>
      <c r="K142" s="421">
        <v>5695</v>
      </c>
      <c r="L142" s="421">
        <v>1.1299603174603174</v>
      </c>
      <c r="M142" s="421">
        <v>85</v>
      </c>
      <c r="N142" s="421">
        <v>61</v>
      </c>
      <c r="O142" s="421">
        <v>5551</v>
      </c>
      <c r="P142" s="443">
        <v>1.101388888888889</v>
      </c>
      <c r="Q142" s="422">
        <v>91</v>
      </c>
    </row>
    <row r="143" spans="1:17" ht="14.4" customHeight="1" x14ac:dyDescent="0.3">
      <c r="A143" s="417" t="s">
        <v>1135</v>
      </c>
      <c r="B143" s="418" t="s">
        <v>986</v>
      </c>
      <c r="C143" s="418" t="s">
        <v>987</v>
      </c>
      <c r="D143" s="418" t="s">
        <v>1044</v>
      </c>
      <c r="E143" s="418" t="s">
        <v>1045</v>
      </c>
      <c r="F143" s="421"/>
      <c r="G143" s="421"/>
      <c r="H143" s="421"/>
      <c r="I143" s="421"/>
      <c r="J143" s="421"/>
      <c r="K143" s="421"/>
      <c r="L143" s="421"/>
      <c r="M143" s="421"/>
      <c r="N143" s="421">
        <v>1</v>
      </c>
      <c r="O143" s="421">
        <v>99</v>
      </c>
      <c r="P143" s="443"/>
      <c r="Q143" s="422">
        <v>99</v>
      </c>
    </row>
    <row r="144" spans="1:17" ht="14.4" customHeight="1" x14ac:dyDescent="0.3">
      <c r="A144" s="417" t="s">
        <v>1135</v>
      </c>
      <c r="B144" s="418" t="s">
        <v>986</v>
      </c>
      <c r="C144" s="418" t="s">
        <v>987</v>
      </c>
      <c r="D144" s="418" t="s">
        <v>1046</v>
      </c>
      <c r="E144" s="418" t="s">
        <v>1047</v>
      </c>
      <c r="F144" s="421">
        <v>1</v>
      </c>
      <c r="G144" s="421">
        <v>21</v>
      </c>
      <c r="H144" s="421">
        <v>1</v>
      </c>
      <c r="I144" s="421">
        <v>21</v>
      </c>
      <c r="J144" s="421">
        <v>24</v>
      </c>
      <c r="K144" s="421">
        <v>504</v>
      </c>
      <c r="L144" s="421">
        <v>24</v>
      </c>
      <c r="M144" s="421">
        <v>21</v>
      </c>
      <c r="N144" s="421">
        <v>16</v>
      </c>
      <c r="O144" s="421">
        <v>336</v>
      </c>
      <c r="P144" s="443">
        <v>16</v>
      </c>
      <c r="Q144" s="422">
        <v>21</v>
      </c>
    </row>
    <row r="145" spans="1:17" ht="14.4" customHeight="1" x14ac:dyDescent="0.3">
      <c r="A145" s="417" t="s">
        <v>1135</v>
      </c>
      <c r="B145" s="418" t="s">
        <v>986</v>
      </c>
      <c r="C145" s="418" t="s">
        <v>987</v>
      </c>
      <c r="D145" s="418" t="s">
        <v>1048</v>
      </c>
      <c r="E145" s="418" t="s">
        <v>1049</v>
      </c>
      <c r="F145" s="421">
        <v>5</v>
      </c>
      <c r="G145" s="421">
        <v>2430</v>
      </c>
      <c r="H145" s="421">
        <v>1</v>
      </c>
      <c r="I145" s="421">
        <v>486</v>
      </c>
      <c r="J145" s="421">
        <v>7</v>
      </c>
      <c r="K145" s="421">
        <v>3409</v>
      </c>
      <c r="L145" s="421">
        <v>1.4028806584362139</v>
      </c>
      <c r="M145" s="421">
        <v>487</v>
      </c>
      <c r="N145" s="421">
        <v>9</v>
      </c>
      <c r="O145" s="421">
        <v>4392</v>
      </c>
      <c r="P145" s="443">
        <v>1.8074074074074074</v>
      </c>
      <c r="Q145" s="422">
        <v>488</v>
      </c>
    </row>
    <row r="146" spans="1:17" ht="14.4" customHeight="1" x14ac:dyDescent="0.3">
      <c r="A146" s="417" t="s">
        <v>1135</v>
      </c>
      <c r="B146" s="418" t="s">
        <v>986</v>
      </c>
      <c r="C146" s="418" t="s">
        <v>987</v>
      </c>
      <c r="D146" s="418" t="s">
        <v>1056</v>
      </c>
      <c r="E146" s="418" t="s">
        <v>1057</v>
      </c>
      <c r="F146" s="421">
        <v>6</v>
      </c>
      <c r="G146" s="421">
        <v>240</v>
      </c>
      <c r="H146" s="421">
        <v>1</v>
      </c>
      <c r="I146" s="421">
        <v>40</v>
      </c>
      <c r="J146" s="421">
        <v>13</v>
      </c>
      <c r="K146" s="421">
        <v>533</v>
      </c>
      <c r="L146" s="421">
        <v>2.2208333333333332</v>
      </c>
      <c r="M146" s="421">
        <v>41</v>
      </c>
      <c r="N146" s="421">
        <v>6</v>
      </c>
      <c r="O146" s="421">
        <v>246</v>
      </c>
      <c r="P146" s="443">
        <v>1.0249999999999999</v>
      </c>
      <c r="Q146" s="422">
        <v>41</v>
      </c>
    </row>
    <row r="147" spans="1:17" ht="14.4" customHeight="1" x14ac:dyDescent="0.3">
      <c r="A147" s="417" t="s">
        <v>1135</v>
      </c>
      <c r="B147" s="418" t="s">
        <v>986</v>
      </c>
      <c r="C147" s="418" t="s">
        <v>987</v>
      </c>
      <c r="D147" s="418" t="s">
        <v>1070</v>
      </c>
      <c r="E147" s="418" t="s">
        <v>1071</v>
      </c>
      <c r="F147" s="421"/>
      <c r="G147" s="421"/>
      <c r="H147" s="421"/>
      <c r="I147" s="421"/>
      <c r="J147" s="421"/>
      <c r="K147" s="421"/>
      <c r="L147" s="421"/>
      <c r="M147" s="421"/>
      <c r="N147" s="421">
        <v>2</v>
      </c>
      <c r="O147" s="421">
        <v>1228</v>
      </c>
      <c r="P147" s="443"/>
      <c r="Q147" s="422">
        <v>614</v>
      </c>
    </row>
    <row r="148" spans="1:17" ht="14.4" customHeight="1" x14ac:dyDescent="0.3">
      <c r="A148" s="417" t="s">
        <v>1135</v>
      </c>
      <c r="B148" s="418" t="s">
        <v>986</v>
      </c>
      <c r="C148" s="418" t="s">
        <v>987</v>
      </c>
      <c r="D148" s="418" t="s">
        <v>1074</v>
      </c>
      <c r="E148" s="418" t="s">
        <v>1075</v>
      </c>
      <c r="F148" s="421">
        <v>6</v>
      </c>
      <c r="G148" s="421">
        <v>3036</v>
      </c>
      <c r="H148" s="421">
        <v>1</v>
      </c>
      <c r="I148" s="421">
        <v>506</v>
      </c>
      <c r="J148" s="421"/>
      <c r="K148" s="421"/>
      <c r="L148" s="421"/>
      <c r="M148" s="421"/>
      <c r="N148" s="421"/>
      <c r="O148" s="421"/>
      <c r="P148" s="443"/>
      <c r="Q148" s="422"/>
    </row>
    <row r="149" spans="1:17" ht="14.4" customHeight="1" x14ac:dyDescent="0.3">
      <c r="A149" s="417" t="s">
        <v>1136</v>
      </c>
      <c r="B149" s="418" t="s">
        <v>986</v>
      </c>
      <c r="C149" s="418" t="s">
        <v>987</v>
      </c>
      <c r="D149" s="418" t="s">
        <v>988</v>
      </c>
      <c r="E149" s="418" t="s">
        <v>989</v>
      </c>
      <c r="F149" s="421">
        <v>211</v>
      </c>
      <c r="G149" s="421">
        <v>33549</v>
      </c>
      <c r="H149" s="421">
        <v>1</v>
      </c>
      <c r="I149" s="421">
        <v>159</v>
      </c>
      <c r="J149" s="421">
        <v>195</v>
      </c>
      <c r="K149" s="421">
        <v>31395</v>
      </c>
      <c r="L149" s="421">
        <v>0.93579540373781633</v>
      </c>
      <c r="M149" s="421">
        <v>161</v>
      </c>
      <c r="N149" s="421">
        <v>281</v>
      </c>
      <c r="O149" s="421">
        <v>48613</v>
      </c>
      <c r="P149" s="443">
        <v>1.4490148737667292</v>
      </c>
      <c r="Q149" s="422">
        <v>173</v>
      </c>
    </row>
    <row r="150" spans="1:17" ht="14.4" customHeight="1" x14ac:dyDescent="0.3">
      <c r="A150" s="417" t="s">
        <v>1136</v>
      </c>
      <c r="B150" s="418" t="s">
        <v>986</v>
      </c>
      <c r="C150" s="418" t="s">
        <v>987</v>
      </c>
      <c r="D150" s="418" t="s">
        <v>1002</v>
      </c>
      <c r="E150" s="418" t="s">
        <v>1003</v>
      </c>
      <c r="F150" s="421">
        <v>70</v>
      </c>
      <c r="G150" s="421">
        <v>81550</v>
      </c>
      <c r="H150" s="421">
        <v>1</v>
      </c>
      <c r="I150" s="421">
        <v>1165</v>
      </c>
      <c r="J150" s="421">
        <v>20</v>
      </c>
      <c r="K150" s="421">
        <v>23380</v>
      </c>
      <c r="L150" s="421">
        <v>0.28669527896995706</v>
      </c>
      <c r="M150" s="421">
        <v>1169</v>
      </c>
      <c r="N150" s="421">
        <v>40</v>
      </c>
      <c r="O150" s="421">
        <v>46920</v>
      </c>
      <c r="P150" s="443">
        <v>0.57535254445125694</v>
      </c>
      <c r="Q150" s="422">
        <v>1173</v>
      </c>
    </row>
    <row r="151" spans="1:17" ht="14.4" customHeight="1" x14ac:dyDescent="0.3">
      <c r="A151" s="417" t="s">
        <v>1136</v>
      </c>
      <c r="B151" s="418" t="s">
        <v>986</v>
      </c>
      <c r="C151" s="418" t="s">
        <v>987</v>
      </c>
      <c r="D151" s="418" t="s">
        <v>1004</v>
      </c>
      <c r="E151" s="418" t="s">
        <v>1005</v>
      </c>
      <c r="F151" s="421">
        <v>122</v>
      </c>
      <c r="G151" s="421">
        <v>4758</v>
      </c>
      <c r="H151" s="421">
        <v>1</v>
      </c>
      <c r="I151" s="421">
        <v>39</v>
      </c>
      <c r="J151" s="421">
        <v>45</v>
      </c>
      <c r="K151" s="421">
        <v>1800</v>
      </c>
      <c r="L151" s="421">
        <v>0.37831021437578816</v>
      </c>
      <c r="M151" s="421">
        <v>40</v>
      </c>
      <c r="N151" s="421">
        <v>50</v>
      </c>
      <c r="O151" s="421">
        <v>2050</v>
      </c>
      <c r="P151" s="443">
        <v>0.4308532997057587</v>
      </c>
      <c r="Q151" s="422">
        <v>41</v>
      </c>
    </row>
    <row r="152" spans="1:17" ht="14.4" customHeight="1" x14ac:dyDescent="0.3">
      <c r="A152" s="417" t="s">
        <v>1136</v>
      </c>
      <c r="B152" s="418" t="s">
        <v>986</v>
      </c>
      <c r="C152" s="418" t="s">
        <v>987</v>
      </c>
      <c r="D152" s="418" t="s">
        <v>1006</v>
      </c>
      <c r="E152" s="418" t="s">
        <v>1007</v>
      </c>
      <c r="F152" s="421">
        <v>5</v>
      </c>
      <c r="G152" s="421">
        <v>1910</v>
      </c>
      <c r="H152" s="421">
        <v>1</v>
      </c>
      <c r="I152" s="421">
        <v>382</v>
      </c>
      <c r="J152" s="421">
        <v>11</v>
      </c>
      <c r="K152" s="421">
        <v>4213</v>
      </c>
      <c r="L152" s="421">
        <v>2.2057591623036648</v>
      </c>
      <c r="M152" s="421">
        <v>383</v>
      </c>
      <c r="N152" s="421">
        <v>7</v>
      </c>
      <c r="O152" s="421">
        <v>2688</v>
      </c>
      <c r="P152" s="443">
        <v>1.4073298429319372</v>
      </c>
      <c r="Q152" s="422">
        <v>384</v>
      </c>
    </row>
    <row r="153" spans="1:17" ht="14.4" customHeight="1" x14ac:dyDescent="0.3">
      <c r="A153" s="417" t="s">
        <v>1136</v>
      </c>
      <c r="B153" s="418" t="s">
        <v>986</v>
      </c>
      <c r="C153" s="418" t="s">
        <v>987</v>
      </c>
      <c r="D153" s="418" t="s">
        <v>1008</v>
      </c>
      <c r="E153" s="418" t="s">
        <v>1009</v>
      </c>
      <c r="F153" s="421">
        <v>2</v>
      </c>
      <c r="G153" s="421">
        <v>74</v>
      </c>
      <c r="H153" s="421">
        <v>1</v>
      </c>
      <c r="I153" s="421">
        <v>37</v>
      </c>
      <c r="J153" s="421"/>
      <c r="K153" s="421"/>
      <c r="L153" s="421"/>
      <c r="M153" s="421"/>
      <c r="N153" s="421">
        <v>24</v>
      </c>
      <c r="O153" s="421">
        <v>888</v>
      </c>
      <c r="P153" s="443">
        <v>12</v>
      </c>
      <c r="Q153" s="422">
        <v>37</v>
      </c>
    </row>
    <row r="154" spans="1:17" ht="14.4" customHeight="1" x14ac:dyDescent="0.3">
      <c r="A154" s="417" t="s">
        <v>1136</v>
      </c>
      <c r="B154" s="418" t="s">
        <v>986</v>
      </c>
      <c r="C154" s="418" t="s">
        <v>987</v>
      </c>
      <c r="D154" s="418" t="s">
        <v>1012</v>
      </c>
      <c r="E154" s="418" t="s">
        <v>1013</v>
      </c>
      <c r="F154" s="421">
        <v>12</v>
      </c>
      <c r="G154" s="421">
        <v>5328</v>
      </c>
      <c r="H154" s="421">
        <v>1</v>
      </c>
      <c r="I154" s="421">
        <v>444</v>
      </c>
      <c r="J154" s="421">
        <v>15</v>
      </c>
      <c r="K154" s="421">
        <v>6675</v>
      </c>
      <c r="L154" s="421">
        <v>1.2528153153153154</v>
      </c>
      <c r="M154" s="421">
        <v>445</v>
      </c>
      <c r="N154" s="421">
        <v>15</v>
      </c>
      <c r="O154" s="421">
        <v>6690</v>
      </c>
      <c r="P154" s="443">
        <v>1.2556306306306306</v>
      </c>
      <c r="Q154" s="422">
        <v>446</v>
      </c>
    </row>
    <row r="155" spans="1:17" ht="14.4" customHeight="1" x14ac:dyDescent="0.3">
      <c r="A155" s="417" t="s">
        <v>1136</v>
      </c>
      <c r="B155" s="418" t="s">
        <v>986</v>
      </c>
      <c r="C155" s="418" t="s">
        <v>987</v>
      </c>
      <c r="D155" s="418" t="s">
        <v>1014</v>
      </c>
      <c r="E155" s="418" t="s">
        <v>1015</v>
      </c>
      <c r="F155" s="421">
        <v>32</v>
      </c>
      <c r="G155" s="421">
        <v>1312</v>
      </c>
      <c r="H155" s="421">
        <v>1</v>
      </c>
      <c r="I155" s="421">
        <v>41</v>
      </c>
      <c r="J155" s="421">
        <v>23</v>
      </c>
      <c r="K155" s="421">
        <v>943</v>
      </c>
      <c r="L155" s="421">
        <v>0.71875</v>
      </c>
      <c r="M155" s="421">
        <v>41</v>
      </c>
      <c r="N155" s="421">
        <v>26</v>
      </c>
      <c r="O155" s="421">
        <v>1092</v>
      </c>
      <c r="P155" s="443">
        <v>0.83231707317073167</v>
      </c>
      <c r="Q155" s="422">
        <v>42</v>
      </c>
    </row>
    <row r="156" spans="1:17" ht="14.4" customHeight="1" x14ac:dyDescent="0.3">
      <c r="A156" s="417" t="s">
        <v>1136</v>
      </c>
      <c r="B156" s="418" t="s">
        <v>986</v>
      </c>
      <c r="C156" s="418" t="s">
        <v>987</v>
      </c>
      <c r="D156" s="418" t="s">
        <v>1016</v>
      </c>
      <c r="E156" s="418" t="s">
        <v>1017</v>
      </c>
      <c r="F156" s="421">
        <v>21</v>
      </c>
      <c r="G156" s="421">
        <v>10290</v>
      </c>
      <c r="H156" s="421">
        <v>1</v>
      </c>
      <c r="I156" s="421">
        <v>490</v>
      </c>
      <c r="J156" s="421">
        <v>10</v>
      </c>
      <c r="K156" s="421">
        <v>4910</v>
      </c>
      <c r="L156" s="421">
        <v>0.47716229348882411</v>
      </c>
      <c r="M156" s="421">
        <v>491</v>
      </c>
      <c r="N156" s="421">
        <v>14</v>
      </c>
      <c r="O156" s="421">
        <v>6888</v>
      </c>
      <c r="P156" s="443">
        <v>0.66938775510204085</v>
      </c>
      <c r="Q156" s="422">
        <v>492</v>
      </c>
    </row>
    <row r="157" spans="1:17" ht="14.4" customHeight="1" x14ac:dyDescent="0.3">
      <c r="A157" s="417" t="s">
        <v>1136</v>
      </c>
      <c r="B157" s="418" t="s">
        <v>986</v>
      </c>
      <c r="C157" s="418" t="s">
        <v>987</v>
      </c>
      <c r="D157" s="418" t="s">
        <v>1018</v>
      </c>
      <c r="E157" s="418" t="s">
        <v>1019</v>
      </c>
      <c r="F157" s="421">
        <v>28</v>
      </c>
      <c r="G157" s="421">
        <v>868</v>
      </c>
      <c r="H157" s="421">
        <v>1</v>
      </c>
      <c r="I157" s="421">
        <v>31</v>
      </c>
      <c r="J157" s="421">
        <v>23</v>
      </c>
      <c r="K157" s="421">
        <v>713</v>
      </c>
      <c r="L157" s="421">
        <v>0.8214285714285714</v>
      </c>
      <c r="M157" s="421">
        <v>31</v>
      </c>
      <c r="N157" s="421">
        <v>21</v>
      </c>
      <c r="O157" s="421">
        <v>651</v>
      </c>
      <c r="P157" s="443">
        <v>0.75</v>
      </c>
      <c r="Q157" s="422">
        <v>31</v>
      </c>
    </row>
    <row r="158" spans="1:17" ht="14.4" customHeight="1" x14ac:dyDescent="0.3">
      <c r="A158" s="417" t="s">
        <v>1136</v>
      </c>
      <c r="B158" s="418" t="s">
        <v>986</v>
      </c>
      <c r="C158" s="418" t="s">
        <v>987</v>
      </c>
      <c r="D158" s="418" t="s">
        <v>1020</v>
      </c>
      <c r="E158" s="418" t="s">
        <v>1021</v>
      </c>
      <c r="F158" s="421"/>
      <c r="G158" s="421"/>
      <c r="H158" s="421"/>
      <c r="I158" s="421"/>
      <c r="J158" s="421">
        <v>2</v>
      </c>
      <c r="K158" s="421">
        <v>414</v>
      </c>
      <c r="L158" s="421"/>
      <c r="M158" s="421">
        <v>207</v>
      </c>
      <c r="N158" s="421">
        <v>4</v>
      </c>
      <c r="O158" s="421">
        <v>832</v>
      </c>
      <c r="P158" s="443"/>
      <c r="Q158" s="422">
        <v>208</v>
      </c>
    </row>
    <row r="159" spans="1:17" ht="14.4" customHeight="1" x14ac:dyDescent="0.3">
      <c r="A159" s="417" t="s">
        <v>1136</v>
      </c>
      <c r="B159" s="418" t="s">
        <v>986</v>
      </c>
      <c r="C159" s="418" t="s">
        <v>987</v>
      </c>
      <c r="D159" s="418" t="s">
        <v>1022</v>
      </c>
      <c r="E159" s="418" t="s">
        <v>1023</v>
      </c>
      <c r="F159" s="421"/>
      <c r="G159" s="421"/>
      <c r="H159" s="421"/>
      <c r="I159" s="421"/>
      <c r="J159" s="421">
        <v>2</v>
      </c>
      <c r="K159" s="421">
        <v>760</v>
      </c>
      <c r="L159" s="421"/>
      <c r="M159" s="421">
        <v>380</v>
      </c>
      <c r="N159" s="421">
        <v>5</v>
      </c>
      <c r="O159" s="421">
        <v>1920</v>
      </c>
      <c r="P159" s="443"/>
      <c r="Q159" s="422">
        <v>384</v>
      </c>
    </row>
    <row r="160" spans="1:17" ht="14.4" customHeight="1" x14ac:dyDescent="0.3">
      <c r="A160" s="417" t="s">
        <v>1136</v>
      </c>
      <c r="B160" s="418" t="s">
        <v>986</v>
      </c>
      <c r="C160" s="418" t="s">
        <v>987</v>
      </c>
      <c r="D160" s="418" t="s">
        <v>1032</v>
      </c>
      <c r="E160" s="418" t="s">
        <v>1033</v>
      </c>
      <c r="F160" s="421">
        <v>107</v>
      </c>
      <c r="G160" s="421">
        <v>1712</v>
      </c>
      <c r="H160" s="421">
        <v>1</v>
      </c>
      <c r="I160" s="421">
        <v>16</v>
      </c>
      <c r="J160" s="421">
        <v>107</v>
      </c>
      <c r="K160" s="421">
        <v>1712</v>
      </c>
      <c r="L160" s="421">
        <v>1</v>
      </c>
      <c r="M160" s="421">
        <v>16</v>
      </c>
      <c r="N160" s="421">
        <v>96</v>
      </c>
      <c r="O160" s="421">
        <v>1632</v>
      </c>
      <c r="P160" s="443">
        <v>0.95327102803738317</v>
      </c>
      <c r="Q160" s="422">
        <v>17</v>
      </c>
    </row>
    <row r="161" spans="1:17" ht="14.4" customHeight="1" x14ac:dyDescent="0.3">
      <c r="A161" s="417" t="s">
        <v>1136</v>
      </c>
      <c r="B161" s="418" t="s">
        <v>986</v>
      </c>
      <c r="C161" s="418" t="s">
        <v>987</v>
      </c>
      <c r="D161" s="418" t="s">
        <v>1034</v>
      </c>
      <c r="E161" s="418" t="s">
        <v>1035</v>
      </c>
      <c r="F161" s="421">
        <v>70</v>
      </c>
      <c r="G161" s="421">
        <v>9310</v>
      </c>
      <c r="H161" s="421">
        <v>1</v>
      </c>
      <c r="I161" s="421">
        <v>133</v>
      </c>
      <c r="J161" s="421">
        <v>36</v>
      </c>
      <c r="K161" s="421">
        <v>4896</v>
      </c>
      <c r="L161" s="421">
        <v>0.52588614393125677</v>
      </c>
      <c r="M161" s="421">
        <v>136</v>
      </c>
      <c r="N161" s="421">
        <v>52</v>
      </c>
      <c r="O161" s="421">
        <v>7228</v>
      </c>
      <c r="P161" s="443">
        <v>0.77636949516648768</v>
      </c>
      <c r="Q161" s="422">
        <v>139</v>
      </c>
    </row>
    <row r="162" spans="1:17" ht="14.4" customHeight="1" x14ac:dyDescent="0.3">
      <c r="A162" s="417" t="s">
        <v>1136</v>
      </c>
      <c r="B162" s="418" t="s">
        <v>986</v>
      </c>
      <c r="C162" s="418" t="s">
        <v>987</v>
      </c>
      <c r="D162" s="418" t="s">
        <v>1036</v>
      </c>
      <c r="E162" s="418" t="s">
        <v>1037</v>
      </c>
      <c r="F162" s="421">
        <v>51</v>
      </c>
      <c r="G162" s="421">
        <v>5202</v>
      </c>
      <c r="H162" s="421">
        <v>1</v>
      </c>
      <c r="I162" s="421">
        <v>102</v>
      </c>
      <c r="J162" s="421">
        <v>37</v>
      </c>
      <c r="K162" s="421">
        <v>3811</v>
      </c>
      <c r="L162" s="421">
        <v>0.7326028450595925</v>
      </c>
      <c r="M162" s="421">
        <v>103</v>
      </c>
      <c r="N162" s="421">
        <v>33</v>
      </c>
      <c r="O162" s="421">
        <v>3399</v>
      </c>
      <c r="P162" s="443">
        <v>0.65340253748558241</v>
      </c>
      <c r="Q162" s="422">
        <v>103</v>
      </c>
    </row>
    <row r="163" spans="1:17" ht="14.4" customHeight="1" x14ac:dyDescent="0.3">
      <c r="A163" s="417" t="s">
        <v>1136</v>
      </c>
      <c r="B163" s="418" t="s">
        <v>986</v>
      </c>
      <c r="C163" s="418" t="s">
        <v>987</v>
      </c>
      <c r="D163" s="418" t="s">
        <v>1040</v>
      </c>
      <c r="E163" s="418" t="s">
        <v>1041</v>
      </c>
      <c r="F163" s="421">
        <v>298</v>
      </c>
      <c r="G163" s="421">
        <v>33674</v>
      </c>
      <c r="H163" s="421">
        <v>1</v>
      </c>
      <c r="I163" s="421">
        <v>113</v>
      </c>
      <c r="J163" s="421">
        <v>322</v>
      </c>
      <c r="K163" s="421">
        <v>37352</v>
      </c>
      <c r="L163" s="421">
        <v>1.1092237334442003</v>
      </c>
      <c r="M163" s="421">
        <v>116</v>
      </c>
      <c r="N163" s="421">
        <v>316</v>
      </c>
      <c r="O163" s="421">
        <v>36972</v>
      </c>
      <c r="P163" s="443">
        <v>1.0979390627784047</v>
      </c>
      <c r="Q163" s="422">
        <v>117</v>
      </c>
    </row>
    <row r="164" spans="1:17" ht="14.4" customHeight="1" x14ac:dyDescent="0.3">
      <c r="A164" s="417" t="s">
        <v>1136</v>
      </c>
      <c r="B164" s="418" t="s">
        <v>986</v>
      </c>
      <c r="C164" s="418" t="s">
        <v>987</v>
      </c>
      <c r="D164" s="418" t="s">
        <v>1042</v>
      </c>
      <c r="E164" s="418" t="s">
        <v>1043</v>
      </c>
      <c r="F164" s="421">
        <v>150</v>
      </c>
      <c r="G164" s="421">
        <v>12600</v>
      </c>
      <c r="H164" s="421">
        <v>1</v>
      </c>
      <c r="I164" s="421">
        <v>84</v>
      </c>
      <c r="J164" s="421">
        <v>118</v>
      </c>
      <c r="K164" s="421">
        <v>10030</v>
      </c>
      <c r="L164" s="421">
        <v>0.79603174603174598</v>
      </c>
      <c r="M164" s="421">
        <v>85</v>
      </c>
      <c r="N164" s="421">
        <v>172</v>
      </c>
      <c r="O164" s="421">
        <v>15652</v>
      </c>
      <c r="P164" s="443">
        <v>1.2422222222222221</v>
      </c>
      <c r="Q164" s="422">
        <v>91</v>
      </c>
    </row>
    <row r="165" spans="1:17" ht="14.4" customHeight="1" x14ac:dyDescent="0.3">
      <c r="A165" s="417" t="s">
        <v>1136</v>
      </c>
      <c r="B165" s="418" t="s">
        <v>986</v>
      </c>
      <c r="C165" s="418" t="s">
        <v>987</v>
      </c>
      <c r="D165" s="418" t="s">
        <v>1044</v>
      </c>
      <c r="E165" s="418" t="s">
        <v>1045</v>
      </c>
      <c r="F165" s="421"/>
      <c r="G165" s="421"/>
      <c r="H165" s="421"/>
      <c r="I165" s="421"/>
      <c r="J165" s="421">
        <v>4</v>
      </c>
      <c r="K165" s="421">
        <v>392</v>
      </c>
      <c r="L165" s="421"/>
      <c r="M165" s="421">
        <v>98</v>
      </c>
      <c r="N165" s="421">
        <v>2</v>
      </c>
      <c r="O165" s="421">
        <v>198</v>
      </c>
      <c r="P165" s="443"/>
      <c r="Q165" s="422">
        <v>99</v>
      </c>
    </row>
    <row r="166" spans="1:17" ht="14.4" customHeight="1" x14ac:dyDescent="0.3">
      <c r="A166" s="417" t="s">
        <v>1136</v>
      </c>
      <c r="B166" s="418" t="s">
        <v>986</v>
      </c>
      <c r="C166" s="418" t="s">
        <v>987</v>
      </c>
      <c r="D166" s="418" t="s">
        <v>1046</v>
      </c>
      <c r="E166" s="418" t="s">
        <v>1047</v>
      </c>
      <c r="F166" s="421">
        <v>9</v>
      </c>
      <c r="G166" s="421">
        <v>189</v>
      </c>
      <c r="H166" s="421">
        <v>1</v>
      </c>
      <c r="I166" s="421">
        <v>21</v>
      </c>
      <c r="J166" s="421">
        <v>24</v>
      </c>
      <c r="K166" s="421">
        <v>504</v>
      </c>
      <c r="L166" s="421">
        <v>2.6666666666666665</v>
      </c>
      <c r="M166" s="421">
        <v>21</v>
      </c>
      <c r="N166" s="421">
        <v>35</v>
      </c>
      <c r="O166" s="421">
        <v>735</v>
      </c>
      <c r="P166" s="443">
        <v>3.8888888888888888</v>
      </c>
      <c r="Q166" s="422">
        <v>21</v>
      </c>
    </row>
    <row r="167" spans="1:17" ht="14.4" customHeight="1" x14ac:dyDescent="0.3">
      <c r="A167" s="417" t="s">
        <v>1136</v>
      </c>
      <c r="B167" s="418" t="s">
        <v>986</v>
      </c>
      <c r="C167" s="418" t="s">
        <v>987</v>
      </c>
      <c r="D167" s="418" t="s">
        <v>1048</v>
      </c>
      <c r="E167" s="418" t="s">
        <v>1049</v>
      </c>
      <c r="F167" s="421">
        <v>43</v>
      </c>
      <c r="G167" s="421">
        <v>20898</v>
      </c>
      <c r="H167" s="421">
        <v>1</v>
      </c>
      <c r="I167" s="421">
        <v>486</v>
      </c>
      <c r="J167" s="421">
        <v>96</v>
      </c>
      <c r="K167" s="421">
        <v>46752</v>
      </c>
      <c r="L167" s="421">
        <v>2.2371518805627333</v>
      </c>
      <c r="M167" s="421">
        <v>487</v>
      </c>
      <c r="N167" s="421">
        <v>65</v>
      </c>
      <c r="O167" s="421">
        <v>31720</v>
      </c>
      <c r="P167" s="443">
        <v>1.5178485979519571</v>
      </c>
      <c r="Q167" s="422">
        <v>488</v>
      </c>
    </row>
    <row r="168" spans="1:17" ht="14.4" customHeight="1" x14ac:dyDescent="0.3">
      <c r="A168" s="417" t="s">
        <v>1136</v>
      </c>
      <c r="B168" s="418" t="s">
        <v>986</v>
      </c>
      <c r="C168" s="418" t="s">
        <v>987</v>
      </c>
      <c r="D168" s="418" t="s">
        <v>1056</v>
      </c>
      <c r="E168" s="418" t="s">
        <v>1057</v>
      </c>
      <c r="F168" s="421">
        <v>41</v>
      </c>
      <c r="G168" s="421">
        <v>1640</v>
      </c>
      <c r="H168" s="421">
        <v>1</v>
      </c>
      <c r="I168" s="421">
        <v>40</v>
      </c>
      <c r="J168" s="421">
        <v>34</v>
      </c>
      <c r="K168" s="421">
        <v>1394</v>
      </c>
      <c r="L168" s="421">
        <v>0.85</v>
      </c>
      <c r="M168" s="421">
        <v>41</v>
      </c>
      <c r="N168" s="421">
        <v>26</v>
      </c>
      <c r="O168" s="421">
        <v>1066</v>
      </c>
      <c r="P168" s="443">
        <v>0.65</v>
      </c>
      <c r="Q168" s="422">
        <v>41</v>
      </c>
    </row>
    <row r="169" spans="1:17" ht="14.4" customHeight="1" x14ac:dyDescent="0.3">
      <c r="A169" s="417" t="s">
        <v>1136</v>
      </c>
      <c r="B169" s="418" t="s">
        <v>986</v>
      </c>
      <c r="C169" s="418" t="s">
        <v>987</v>
      </c>
      <c r="D169" s="418" t="s">
        <v>1064</v>
      </c>
      <c r="E169" s="418" t="s">
        <v>1065</v>
      </c>
      <c r="F169" s="421"/>
      <c r="G169" s="421"/>
      <c r="H169" s="421"/>
      <c r="I169" s="421"/>
      <c r="J169" s="421">
        <v>7</v>
      </c>
      <c r="K169" s="421">
        <v>1533</v>
      </c>
      <c r="L169" s="421"/>
      <c r="M169" s="421">
        <v>219</v>
      </c>
      <c r="N169" s="421">
        <v>4</v>
      </c>
      <c r="O169" s="421">
        <v>892</v>
      </c>
      <c r="P169" s="443"/>
      <c r="Q169" s="422">
        <v>223</v>
      </c>
    </row>
    <row r="170" spans="1:17" ht="14.4" customHeight="1" x14ac:dyDescent="0.3">
      <c r="A170" s="417" t="s">
        <v>1136</v>
      </c>
      <c r="B170" s="418" t="s">
        <v>986</v>
      </c>
      <c r="C170" s="418" t="s">
        <v>987</v>
      </c>
      <c r="D170" s="418" t="s">
        <v>1070</v>
      </c>
      <c r="E170" s="418" t="s">
        <v>1071</v>
      </c>
      <c r="F170" s="421">
        <v>5</v>
      </c>
      <c r="G170" s="421">
        <v>3020</v>
      </c>
      <c r="H170" s="421">
        <v>1</v>
      </c>
      <c r="I170" s="421">
        <v>604</v>
      </c>
      <c r="J170" s="421">
        <v>4</v>
      </c>
      <c r="K170" s="421">
        <v>2432</v>
      </c>
      <c r="L170" s="421">
        <v>0.80529801324503314</v>
      </c>
      <c r="M170" s="421">
        <v>608</v>
      </c>
      <c r="N170" s="421">
        <v>8</v>
      </c>
      <c r="O170" s="421">
        <v>4912</v>
      </c>
      <c r="P170" s="443">
        <v>1.6264900662251656</v>
      </c>
      <c r="Q170" s="422">
        <v>614</v>
      </c>
    </row>
    <row r="171" spans="1:17" ht="14.4" customHeight="1" x14ac:dyDescent="0.3">
      <c r="A171" s="417" t="s">
        <v>1136</v>
      </c>
      <c r="B171" s="418" t="s">
        <v>986</v>
      </c>
      <c r="C171" s="418" t="s">
        <v>987</v>
      </c>
      <c r="D171" s="418" t="s">
        <v>1074</v>
      </c>
      <c r="E171" s="418" t="s">
        <v>1075</v>
      </c>
      <c r="F171" s="421">
        <v>16</v>
      </c>
      <c r="G171" s="421">
        <v>8096</v>
      </c>
      <c r="H171" s="421">
        <v>1</v>
      </c>
      <c r="I171" s="421">
        <v>506</v>
      </c>
      <c r="J171" s="421">
        <v>1</v>
      </c>
      <c r="K171" s="421">
        <v>509</v>
      </c>
      <c r="L171" s="421">
        <v>6.2870553359683792E-2</v>
      </c>
      <c r="M171" s="421">
        <v>509</v>
      </c>
      <c r="N171" s="421"/>
      <c r="O171" s="421"/>
      <c r="P171" s="443"/>
      <c r="Q171" s="422"/>
    </row>
    <row r="172" spans="1:17" ht="14.4" customHeight="1" x14ac:dyDescent="0.3">
      <c r="A172" s="417" t="s">
        <v>1136</v>
      </c>
      <c r="B172" s="418" t="s">
        <v>986</v>
      </c>
      <c r="C172" s="418" t="s">
        <v>987</v>
      </c>
      <c r="D172" s="418" t="s">
        <v>1131</v>
      </c>
      <c r="E172" s="418" t="s">
        <v>1132</v>
      </c>
      <c r="F172" s="421">
        <v>1</v>
      </c>
      <c r="G172" s="421">
        <v>327</v>
      </c>
      <c r="H172" s="421">
        <v>1</v>
      </c>
      <c r="I172" s="421">
        <v>327</v>
      </c>
      <c r="J172" s="421">
        <v>1</v>
      </c>
      <c r="K172" s="421">
        <v>328</v>
      </c>
      <c r="L172" s="421">
        <v>1.0030581039755351</v>
      </c>
      <c r="M172" s="421">
        <v>328</v>
      </c>
      <c r="N172" s="421">
        <v>7</v>
      </c>
      <c r="O172" s="421">
        <v>2303</v>
      </c>
      <c r="P172" s="443">
        <v>7.042813455657492</v>
      </c>
      <c r="Q172" s="422">
        <v>329</v>
      </c>
    </row>
    <row r="173" spans="1:17" ht="14.4" customHeight="1" x14ac:dyDescent="0.3">
      <c r="A173" s="417" t="s">
        <v>1137</v>
      </c>
      <c r="B173" s="418" t="s">
        <v>986</v>
      </c>
      <c r="C173" s="418" t="s">
        <v>987</v>
      </c>
      <c r="D173" s="418" t="s">
        <v>988</v>
      </c>
      <c r="E173" s="418" t="s">
        <v>989</v>
      </c>
      <c r="F173" s="421">
        <v>42</v>
      </c>
      <c r="G173" s="421">
        <v>6678</v>
      </c>
      <c r="H173" s="421">
        <v>1</v>
      </c>
      <c r="I173" s="421">
        <v>159</v>
      </c>
      <c r="J173" s="421">
        <v>27</v>
      </c>
      <c r="K173" s="421">
        <v>4347</v>
      </c>
      <c r="L173" s="421">
        <v>0.65094339622641506</v>
      </c>
      <c r="M173" s="421">
        <v>161</v>
      </c>
      <c r="N173" s="421">
        <v>53</v>
      </c>
      <c r="O173" s="421">
        <v>9169</v>
      </c>
      <c r="P173" s="443">
        <v>1.373015873015873</v>
      </c>
      <c r="Q173" s="422">
        <v>173</v>
      </c>
    </row>
    <row r="174" spans="1:17" ht="14.4" customHeight="1" x14ac:dyDescent="0.3">
      <c r="A174" s="417" t="s">
        <v>1137</v>
      </c>
      <c r="B174" s="418" t="s">
        <v>986</v>
      </c>
      <c r="C174" s="418" t="s">
        <v>987</v>
      </c>
      <c r="D174" s="418" t="s">
        <v>1004</v>
      </c>
      <c r="E174" s="418" t="s">
        <v>1005</v>
      </c>
      <c r="F174" s="421">
        <v>28</v>
      </c>
      <c r="G174" s="421">
        <v>1092</v>
      </c>
      <c r="H174" s="421">
        <v>1</v>
      </c>
      <c r="I174" s="421">
        <v>39</v>
      </c>
      <c r="J174" s="421">
        <v>23</v>
      </c>
      <c r="K174" s="421">
        <v>920</v>
      </c>
      <c r="L174" s="421">
        <v>0.8424908424908425</v>
      </c>
      <c r="M174" s="421">
        <v>40</v>
      </c>
      <c r="N174" s="421">
        <v>13</v>
      </c>
      <c r="O174" s="421">
        <v>533</v>
      </c>
      <c r="P174" s="443">
        <v>0.48809523809523808</v>
      </c>
      <c r="Q174" s="422">
        <v>41</v>
      </c>
    </row>
    <row r="175" spans="1:17" ht="14.4" customHeight="1" x14ac:dyDescent="0.3">
      <c r="A175" s="417" t="s">
        <v>1137</v>
      </c>
      <c r="B175" s="418" t="s">
        <v>986</v>
      </c>
      <c r="C175" s="418" t="s">
        <v>987</v>
      </c>
      <c r="D175" s="418" t="s">
        <v>1006</v>
      </c>
      <c r="E175" s="418" t="s">
        <v>1007</v>
      </c>
      <c r="F175" s="421">
        <v>3</v>
      </c>
      <c r="G175" s="421">
        <v>1146</v>
      </c>
      <c r="H175" s="421">
        <v>1</v>
      </c>
      <c r="I175" s="421">
        <v>382</v>
      </c>
      <c r="J175" s="421">
        <v>2</v>
      </c>
      <c r="K175" s="421">
        <v>766</v>
      </c>
      <c r="L175" s="421">
        <v>0.66841186736474689</v>
      </c>
      <c r="M175" s="421">
        <v>383</v>
      </c>
      <c r="N175" s="421">
        <v>7</v>
      </c>
      <c r="O175" s="421">
        <v>2688</v>
      </c>
      <c r="P175" s="443">
        <v>2.3455497382198951</v>
      </c>
      <c r="Q175" s="422">
        <v>384</v>
      </c>
    </row>
    <row r="176" spans="1:17" ht="14.4" customHeight="1" x14ac:dyDescent="0.3">
      <c r="A176" s="417" t="s">
        <v>1137</v>
      </c>
      <c r="B176" s="418" t="s">
        <v>986</v>
      </c>
      <c r="C176" s="418" t="s">
        <v>987</v>
      </c>
      <c r="D176" s="418" t="s">
        <v>1008</v>
      </c>
      <c r="E176" s="418" t="s">
        <v>1009</v>
      </c>
      <c r="F176" s="421">
        <v>9</v>
      </c>
      <c r="G176" s="421">
        <v>333</v>
      </c>
      <c r="H176" s="421">
        <v>1</v>
      </c>
      <c r="I176" s="421">
        <v>37</v>
      </c>
      <c r="J176" s="421"/>
      <c r="K176" s="421"/>
      <c r="L176" s="421"/>
      <c r="M176" s="421"/>
      <c r="N176" s="421"/>
      <c r="O176" s="421"/>
      <c r="P176" s="443"/>
      <c r="Q176" s="422"/>
    </row>
    <row r="177" spans="1:17" ht="14.4" customHeight="1" x14ac:dyDescent="0.3">
      <c r="A177" s="417" t="s">
        <v>1137</v>
      </c>
      <c r="B177" s="418" t="s">
        <v>986</v>
      </c>
      <c r="C177" s="418" t="s">
        <v>987</v>
      </c>
      <c r="D177" s="418" t="s">
        <v>1012</v>
      </c>
      <c r="E177" s="418" t="s">
        <v>1013</v>
      </c>
      <c r="F177" s="421">
        <v>3</v>
      </c>
      <c r="G177" s="421">
        <v>1332</v>
      </c>
      <c r="H177" s="421">
        <v>1</v>
      </c>
      <c r="I177" s="421">
        <v>444</v>
      </c>
      <c r="J177" s="421"/>
      <c r="K177" s="421"/>
      <c r="L177" s="421"/>
      <c r="M177" s="421"/>
      <c r="N177" s="421">
        <v>9</v>
      </c>
      <c r="O177" s="421">
        <v>4014</v>
      </c>
      <c r="P177" s="443">
        <v>3.0135135135135136</v>
      </c>
      <c r="Q177" s="422">
        <v>446</v>
      </c>
    </row>
    <row r="178" spans="1:17" ht="14.4" customHeight="1" x14ac:dyDescent="0.3">
      <c r="A178" s="417" t="s">
        <v>1137</v>
      </c>
      <c r="B178" s="418" t="s">
        <v>986</v>
      </c>
      <c r="C178" s="418" t="s">
        <v>987</v>
      </c>
      <c r="D178" s="418" t="s">
        <v>1014</v>
      </c>
      <c r="E178" s="418" t="s">
        <v>1015</v>
      </c>
      <c r="F178" s="421"/>
      <c r="G178" s="421"/>
      <c r="H178" s="421"/>
      <c r="I178" s="421"/>
      <c r="J178" s="421">
        <v>1</v>
      </c>
      <c r="K178" s="421">
        <v>41</v>
      </c>
      <c r="L178" s="421"/>
      <c r="M178" s="421">
        <v>41</v>
      </c>
      <c r="N178" s="421"/>
      <c r="O178" s="421"/>
      <c r="P178" s="443"/>
      <c r="Q178" s="422"/>
    </row>
    <row r="179" spans="1:17" ht="14.4" customHeight="1" x14ac:dyDescent="0.3">
      <c r="A179" s="417" t="s">
        <v>1137</v>
      </c>
      <c r="B179" s="418" t="s">
        <v>986</v>
      </c>
      <c r="C179" s="418" t="s">
        <v>987</v>
      </c>
      <c r="D179" s="418" t="s">
        <v>1016</v>
      </c>
      <c r="E179" s="418" t="s">
        <v>1017</v>
      </c>
      <c r="F179" s="421">
        <v>12</v>
      </c>
      <c r="G179" s="421">
        <v>5880</v>
      </c>
      <c r="H179" s="421">
        <v>1</v>
      </c>
      <c r="I179" s="421">
        <v>490</v>
      </c>
      <c r="J179" s="421">
        <v>26</v>
      </c>
      <c r="K179" s="421">
        <v>12766</v>
      </c>
      <c r="L179" s="421">
        <v>2.1710884353741497</v>
      </c>
      <c r="M179" s="421">
        <v>491</v>
      </c>
      <c r="N179" s="421">
        <v>20</v>
      </c>
      <c r="O179" s="421">
        <v>9840</v>
      </c>
      <c r="P179" s="443">
        <v>1.6734693877551021</v>
      </c>
      <c r="Q179" s="422">
        <v>492</v>
      </c>
    </row>
    <row r="180" spans="1:17" ht="14.4" customHeight="1" x14ac:dyDescent="0.3">
      <c r="A180" s="417" t="s">
        <v>1137</v>
      </c>
      <c r="B180" s="418" t="s">
        <v>986</v>
      </c>
      <c r="C180" s="418" t="s">
        <v>987</v>
      </c>
      <c r="D180" s="418" t="s">
        <v>1018</v>
      </c>
      <c r="E180" s="418" t="s">
        <v>1019</v>
      </c>
      <c r="F180" s="421">
        <v>1</v>
      </c>
      <c r="G180" s="421">
        <v>31</v>
      </c>
      <c r="H180" s="421">
        <v>1</v>
      </c>
      <c r="I180" s="421">
        <v>31</v>
      </c>
      <c r="J180" s="421">
        <v>2</v>
      </c>
      <c r="K180" s="421">
        <v>62</v>
      </c>
      <c r="L180" s="421">
        <v>2</v>
      </c>
      <c r="M180" s="421">
        <v>31</v>
      </c>
      <c r="N180" s="421"/>
      <c r="O180" s="421"/>
      <c r="P180" s="443"/>
      <c r="Q180" s="422"/>
    </row>
    <row r="181" spans="1:17" ht="14.4" customHeight="1" x14ac:dyDescent="0.3">
      <c r="A181" s="417" t="s">
        <v>1137</v>
      </c>
      <c r="B181" s="418" t="s">
        <v>986</v>
      </c>
      <c r="C181" s="418" t="s">
        <v>987</v>
      </c>
      <c r="D181" s="418" t="s">
        <v>1020</v>
      </c>
      <c r="E181" s="418" t="s">
        <v>1021</v>
      </c>
      <c r="F181" s="421">
        <v>1</v>
      </c>
      <c r="G181" s="421">
        <v>205</v>
      </c>
      <c r="H181" s="421">
        <v>1</v>
      </c>
      <c r="I181" s="421">
        <v>205</v>
      </c>
      <c r="J181" s="421"/>
      <c r="K181" s="421"/>
      <c r="L181" s="421"/>
      <c r="M181" s="421"/>
      <c r="N181" s="421"/>
      <c r="O181" s="421"/>
      <c r="P181" s="443"/>
      <c r="Q181" s="422"/>
    </row>
    <row r="182" spans="1:17" ht="14.4" customHeight="1" x14ac:dyDescent="0.3">
      <c r="A182" s="417" t="s">
        <v>1137</v>
      </c>
      <c r="B182" s="418" t="s">
        <v>986</v>
      </c>
      <c r="C182" s="418" t="s">
        <v>987</v>
      </c>
      <c r="D182" s="418" t="s">
        <v>1022</v>
      </c>
      <c r="E182" s="418" t="s">
        <v>1023</v>
      </c>
      <c r="F182" s="421">
        <v>1</v>
      </c>
      <c r="G182" s="421">
        <v>377</v>
      </c>
      <c r="H182" s="421">
        <v>1</v>
      </c>
      <c r="I182" s="421">
        <v>377</v>
      </c>
      <c r="J182" s="421"/>
      <c r="K182" s="421"/>
      <c r="L182" s="421"/>
      <c r="M182" s="421"/>
      <c r="N182" s="421"/>
      <c r="O182" s="421"/>
      <c r="P182" s="443"/>
      <c r="Q182" s="422"/>
    </row>
    <row r="183" spans="1:17" ht="14.4" customHeight="1" x14ac:dyDescent="0.3">
      <c r="A183" s="417" t="s">
        <v>1137</v>
      </c>
      <c r="B183" s="418" t="s">
        <v>986</v>
      </c>
      <c r="C183" s="418" t="s">
        <v>987</v>
      </c>
      <c r="D183" s="418" t="s">
        <v>1024</v>
      </c>
      <c r="E183" s="418" t="s">
        <v>1025</v>
      </c>
      <c r="F183" s="421">
        <v>5</v>
      </c>
      <c r="G183" s="421">
        <v>1155</v>
      </c>
      <c r="H183" s="421">
        <v>1</v>
      </c>
      <c r="I183" s="421">
        <v>231</v>
      </c>
      <c r="J183" s="421">
        <v>2</v>
      </c>
      <c r="K183" s="421">
        <v>468</v>
      </c>
      <c r="L183" s="421">
        <v>0.40519480519480522</v>
      </c>
      <c r="M183" s="421">
        <v>234</v>
      </c>
      <c r="N183" s="421">
        <v>28</v>
      </c>
      <c r="O183" s="421">
        <v>6608</v>
      </c>
      <c r="P183" s="443">
        <v>5.7212121212121216</v>
      </c>
      <c r="Q183" s="422">
        <v>236</v>
      </c>
    </row>
    <row r="184" spans="1:17" ht="14.4" customHeight="1" x14ac:dyDescent="0.3">
      <c r="A184" s="417" t="s">
        <v>1137</v>
      </c>
      <c r="B184" s="418" t="s">
        <v>986</v>
      </c>
      <c r="C184" s="418" t="s">
        <v>987</v>
      </c>
      <c r="D184" s="418" t="s">
        <v>1032</v>
      </c>
      <c r="E184" s="418" t="s">
        <v>1033</v>
      </c>
      <c r="F184" s="421">
        <v>7</v>
      </c>
      <c r="G184" s="421">
        <v>112</v>
      </c>
      <c r="H184" s="421">
        <v>1</v>
      </c>
      <c r="I184" s="421">
        <v>16</v>
      </c>
      <c r="J184" s="421">
        <v>3</v>
      </c>
      <c r="K184" s="421">
        <v>48</v>
      </c>
      <c r="L184" s="421">
        <v>0.42857142857142855</v>
      </c>
      <c r="M184" s="421">
        <v>16</v>
      </c>
      <c r="N184" s="421">
        <v>15</v>
      </c>
      <c r="O184" s="421">
        <v>255</v>
      </c>
      <c r="P184" s="443">
        <v>2.2767857142857144</v>
      </c>
      <c r="Q184" s="422">
        <v>17</v>
      </c>
    </row>
    <row r="185" spans="1:17" ht="14.4" customHeight="1" x14ac:dyDescent="0.3">
      <c r="A185" s="417" t="s">
        <v>1137</v>
      </c>
      <c r="B185" s="418" t="s">
        <v>986</v>
      </c>
      <c r="C185" s="418" t="s">
        <v>987</v>
      </c>
      <c r="D185" s="418" t="s">
        <v>1034</v>
      </c>
      <c r="E185" s="418" t="s">
        <v>1035</v>
      </c>
      <c r="F185" s="421"/>
      <c r="G185" s="421"/>
      <c r="H185" s="421"/>
      <c r="I185" s="421"/>
      <c r="J185" s="421">
        <v>1</v>
      </c>
      <c r="K185" s="421">
        <v>136</v>
      </c>
      <c r="L185" s="421"/>
      <c r="M185" s="421">
        <v>136</v>
      </c>
      <c r="N185" s="421"/>
      <c r="O185" s="421"/>
      <c r="P185" s="443"/>
      <c r="Q185" s="422"/>
    </row>
    <row r="186" spans="1:17" ht="14.4" customHeight="1" x14ac:dyDescent="0.3">
      <c r="A186" s="417" t="s">
        <v>1137</v>
      </c>
      <c r="B186" s="418" t="s">
        <v>986</v>
      </c>
      <c r="C186" s="418" t="s">
        <v>987</v>
      </c>
      <c r="D186" s="418" t="s">
        <v>1036</v>
      </c>
      <c r="E186" s="418" t="s">
        <v>1037</v>
      </c>
      <c r="F186" s="421"/>
      <c r="G186" s="421"/>
      <c r="H186" s="421"/>
      <c r="I186" s="421"/>
      <c r="J186" s="421">
        <v>4</v>
      </c>
      <c r="K186" s="421">
        <v>412</v>
      </c>
      <c r="L186" s="421"/>
      <c r="M186" s="421">
        <v>103</v>
      </c>
      <c r="N186" s="421">
        <v>1</v>
      </c>
      <c r="O186" s="421">
        <v>103</v>
      </c>
      <c r="P186" s="443"/>
      <c r="Q186" s="422">
        <v>103</v>
      </c>
    </row>
    <row r="187" spans="1:17" ht="14.4" customHeight="1" x14ac:dyDescent="0.3">
      <c r="A187" s="417" t="s">
        <v>1137</v>
      </c>
      <c r="B187" s="418" t="s">
        <v>986</v>
      </c>
      <c r="C187" s="418" t="s">
        <v>987</v>
      </c>
      <c r="D187" s="418" t="s">
        <v>1040</v>
      </c>
      <c r="E187" s="418" t="s">
        <v>1041</v>
      </c>
      <c r="F187" s="421">
        <v>76</v>
      </c>
      <c r="G187" s="421">
        <v>8588</v>
      </c>
      <c r="H187" s="421">
        <v>1</v>
      </c>
      <c r="I187" s="421">
        <v>113</v>
      </c>
      <c r="J187" s="421">
        <v>60</v>
      </c>
      <c r="K187" s="421">
        <v>6960</v>
      </c>
      <c r="L187" s="421">
        <v>0.81043316255239872</v>
      </c>
      <c r="M187" s="421">
        <v>116</v>
      </c>
      <c r="N187" s="421">
        <v>63</v>
      </c>
      <c r="O187" s="421">
        <v>7371</v>
      </c>
      <c r="P187" s="443">
        <v>0.85829063809967399</v>
      </c>
      <c r="Q187" s="422">
        <v>117</v>
      </c>
    </row>
    <row r="188" spans="1:17" ht="14.4" customHeight="1" x14ac:dyDescent="0.3">
      <c r="A188" s="417" t="s">
        <v>1137</v>
      </c>
      <c r="B188" s="418" t="s">
        <v>986</v>
      </c>
      <c r="C188" s="418" t="s">
        <v>987</v>
      </c>
      <c r="D188" s="418" t="s">
        <v>1042</v>
      </c>
      <c r="E188" s="418" t="s">
        <v>1043</v>
      </c>
      <c r="F188" s="421">
        <v>15</v>
      </c>
      <c r="G188" s="421">
        <v>1260</v>
      </c>
      <c r="H188" s="421">
        <v>1</v>
      </c>
      <c r="I188" s="421">
        <v>84</v>
      </c>
      <c r="J188" s="421">
        <v>10</v>
      </c>
      <c r="K188" s="421">
        <v>850</v>
      </c>
      <c r="L188" s="421">
        <v>0.67460317460317465</v>
      </c>
      <c r="M188" s="421">
        <v>85</v>
      </c>
      <c r="N188" s="421">
        <v>11</v>
      </c>
      <c r="O188" s="421">
        <v>1001</v>
      </c>
      <c r="P188" s="443">
        <v>0.7944444444444444</v>
      </c>
      <c r="Q188" s="422">
        <v>91</v>
      </c>
    </row>
    <row r="189" spans="1:17" ht="14.4" customHeight="1" x14ac:dyDescent="0.3">
      <c r="A189" s="417" t="s">
        <v>1137</v>
      </c>
      <c r="B189" s="418" t="s">
        <v>986</v>
      </c>
      <c r="C189" s="418" t="s">
        <v>987</v>
      </c>
      <c r="D189" s="418" t="s">
        <v>1044</v>
      </c>
      <c r="E189" s="418" t="s">
        <v>1045</v>
      </c>
      <c r="F189" s="421">
        <v>50</v>
      </c>
      <c r="G189" s="421">
        <v>4800</v>
      </c>
      <c r="H189" s="421">
        <v>1</v>
      </c>
      <c r="I189" s="421">
        <v>96</v>
      </c>
      <c r="J189" s="421">
        <v>81</v>
      </c>
      <c r="K189" s="421">
        <v>7938</v>
      </c>
      <c r="L189" s="421">
        <v>1.6537500000000001</v>
      </c>
      <c r="M189" s="421">
        <v>98</v>
      </c>
      <c r="N189" s="421">
        <v>47</v>
      </c>
      <c r="O189" s="421">
        <v>4653</v>
      </c>
      <c r="P189" s="443">
        <v>0.96937499999999999</v>
      </c>
      <c r="Q189" s="422">
        <v>99</v>
      </c>
    </row>
    <row r="190" spans="1:17" ht="14.4" customHeight="1" x14ac:dyDescent="0.3">
      <c r="A190" s="417" t="s">
        <v>1137</v>
      </c>
      <c r="B190" s="418" t="s">
        <v>986</v>
      </c>
      <c r="C190" s="418" t="s">
        <v>987</v>
      </c>
      <c r="D190" s="418" t="s">
        <v>1046</v>
      </c>
      <c r="E190" s="418" t="s">
        <v>1047</v>
      </c>
      <c r="F190" s="421"/>
      <c r="G190" s="421"/>
      <c r="H190" s="421"/>
      <c r="I190" s="421"/>
      <c r="J190" s="421">
        <v>1</v>
      </c>
      <c r="K190" s="421">
        <v>21</v>
      </c>
      <c r="L190" s="421"/>
      <c r="M190" s="421">
        <v>21</v>
      </c>
      <c r="N190" s="421">
        <v>6</v>
      </c>
      <c r="O190" s="421">
        <v>126</v>
      </c>
      <c r="P190" s="443"/>
      <c r="Q190" s="422">
        <v>21</v>
      </c>
    </row>
    <row r="191" spans="1:17" ht="14.4" customHeight="1" x14ac:dyDescent="0.3">
      <c r="A191" s="417" t="s">
        <v>1137</v>
      </c>
      <c r="B191" s="418" t="s">
        <v>986</v>
      </c>
      <c r="C191" s="418" t="s">
        <v>987</v>
      </c>
      <c r="D191" s="418" t="s">
        <v>1048</v>
      </c>
      <c r="E191" s="418" t="s">
        <v>1049</v>
      </c>
      <c r="F191" s="421">
        <v>2</v>
      </c>
      <c r="G191" s="421">
        <v>972</v>
      </c>
      <c r="H191" s="421">
        <v>1</v>
      </c>
      <c r="I191" s="421">
        <v>486</v>
      </c>
      <c r="J191" s="421"/>
      <c r="K191" s="421"/>
      <c r="L191" s="421"/>
      <c r="M191" s="421"/>
      <c r="N191" s="421">
        <v>6</v>
      </c>
      <c r="O191" s="421">
        <v>2928</v>
      </c>
      <c r="P191" s="443">
        <v>3.0123456790123457</v>
      </c>
      <c r="Q191" s="422">
        <v>488</v>
      </c>
    </row>
    <row r="192" spans="1:17" ht="14.4" customHeight="1" x14ac:dyDescent="0.3">
      <c r="A192" s="417" t="s">
        <v>1137</v>
      </c>
      <c r="B192" s="418" t="s">
        <v>986</v>
      </c>
      <c r="C192" s="418" t="s">
        <v>987</v>
      </c>
      <c r="D192" s="418" t="s">
        <v>1056</v>
      </c>
      <c r="E192" s="418" t="s">
        <v>1057</v>
      </c>
      <c r="F192" s="421">
        <v>15</v>
      </c>
      <c r="G192" s="421">
        <v>600</v>
      </c>
      <c r="H192" s="421">
        <v>1</v>
      </c>
      <c r="I192" s="421">
        <v>40</v>
      </c>
      <c r="J192" s="421">
        <v>32</v>
      </c>
      <c r="K192" s="421">
        <v>1312</v>
      </c>
      <c r="L192" s="421">
        <v>2.1866666666666665</v>
      </c>
      <c r="M192" s="421">
        <v>41</v>
      </c>
      <c r="N192" s="421">
        <v>22</v>
      </c>
      <c r="O192" s="421">
        <v>902</v>
      </c>
      <c r="P192" s="443">
        <v>1.5033333333333334</v>
      </c>
      <c r="Q192" s="422">
        <v>41</v>
      </c>
    </row>
    <row r="193" spans="1:17" ht="14.4" customHeight="1" x14ac:dyDescent="0.3">
      <c r="A193" s="417" t="s">
        <v>1137</v>
      </c>
      <c r="B193" s="418" t="s">
        <v>986</v>
      </c>
      <c r="C193" s="418" t="s">
        <v>987</v>
      </c>
      <c r="D193" s="418" t="s">
        <v>1070</v>
      </c>
      <c r="E193" s="418" t="s">
        <v>1071</v>
      </c>
      <c r="F193" s="421">
        <v>2</v>
      </c>
      <c r="G193" s="421">
        <v>1208</v>
      </c>
      <c r="H193" s="421">
        <v>1</v>
      </c>
      <c r="I193" s="421">
        <v>604</v>
      </c>
      <c r="J193" s="421"/>
      <c r="K193" s="421"/>
      <c r="L193" s="421"/>
      <c r="M193" s="421"/>
      <c r="N193" s="421"/>
      <c r="O193" s="421"/>
      <c r="P193" s="443"/>
      <c r="Q193" s="422"/>
    </row>
    <row r="194" spans="1:17" ht="14.4" customHeight="1" x14ac:dyDescent="0.3">
      <c r="A194" s="417" t="s">
        <v>1137</v>
      </c>
      <c r="B194" s="418" t="s">
        <v>986</v>
      </c>
      <c r="C194" s="418" t="s">
        <v>987</v>
      </c>
      <c r="D194" s="418" t="s">
        <v>1072</v>
      </c>
      <c r="E194" s="418" t="s">
        <v>1073</v>
      </c>
      <c r="F194" s="421"/>
      <c r="G194" s="421"/>
      <c r="H194" s="421"/>
      <c r="I194" s="421"/>
      <c r="J194" s="421">
        <v>1</v>
      </c>
      <c r="K194" s="421">
        <v>962</v>
      </c>
      <c r="L194" s="421"/>
      <c r="M194" s="421">
        <v>962</v>
      </c>
      <c r="N194" s="421"/>
      <c r="O194" s="421"/>
      <c r="P194" s="443"/>
      <c r="Q194" s="422"/>
    </row>
    <row r="195" spans="1:17" ht="14.4" customHeight="1" x14ac:dyDescent="0.3">
      <c r="A195" s="417" t="s">
        <v>1137</v>
      </c>
      <c r="B195" s="418" t="s">
        <v>986</v>
      </c>
      <c r="C195" s="418" t="s">
        <v>987</v>
      </c>
      <c r="D195" s="418" t="s">
        <v>1082</v>
      </c>
      <c r="E195" s="418" t="s">
        <v>1083</v>
      </c>
      <c r="F195" s="421">
        <v>5</v>
      </c>
      <c r="G195" s="421">
        <v>1225</v>
      </c>
      <c r="H195" s="421">
        <v>1</v>
      </c>
      <c r="I195" s="421">
        <v>245</v>
      </c>
      <c r="J195" s="421">
        <v>2</v>
      </c>
      <c r="K195" s="421">
        <v>496</v>
      </c>
      <c r="L195" s="421">
        <v>0.40489795918367349</v>
      </c>
      <c r="M195" s="421">
        <v>248</v>
      </c>
      <c r="N195" s="421">
        <v>28</v>
      </c>
      <c r="O195" s="421">
        <v>6972</v>
      </c>
      <c r="P195" s="443">
        <v>5.6914285714285713</v>
      </c>
      <c r="Q195" s="422">
        <v>249</v>
      </c>
    </row>
    <row r="196" spans="1:17" ht="14.4" customHeight="1" x14ac:dyDescent="0.3">
      <c r="A196" s="417" t="s">
        <v>1137</v>
      </c>
      <c r="B196" s="418" t="s">
        <v>986</v>
      </c>
      <c r="C196" s="418" t="s">
        <v>987</v>
      </c>
      <c r="D196" s="418" t="s">
        <v>1088</v>
      </c>
      <c r="E196" s="418" t="s">
        <v>1089</v>
      </c>
      <c r="F196" s="421">
        <v>2</v>
      </c>
      <c r="G196" s="421">
        <v>304</v>
      </c>
      <c r="H196" s="421">
        <v>1</v>
      </c>
      <c r="I196" s="421">
        <v>152</v>
      </c>
      <c r="J196" s="421"/>
      <c r="K196" s="421"/>
      <c r="L196" s="421"/>
      <c r="M196" s="421"/>
      <c r="N196" s="421"/>
      <c r="O196" s="421"/>
      <c r="P196" s="443"/>
      <c r="Q196" s="422"/>
    </row>
    <row r="197" spans="1:17" ht="14.4" customHeight="1" x14ac:dyDescent="0.3">
      <c r="A197" s="417" t="s">
        <v>1138</v>
      </c>
      <c r="B197" s="418" t="s">
        <v>986</v>
      </c>
      <c r="C197" s="418" t="s">
        <v>987</v>
      </c>
      <c r="D197" s="418" t="s">
        <v>988</v>
      </c>
      <c r="E197" s="418" t="s">
        <v>989</v>
      </c>
      <c r="F197" s="421">
        <v>40</v>
      </c>
      <c r="G197" s="421">
        <v>6360</v>
      </c>
      <c r="H197" s="421">
        <v>1</v>
      </c>
      <c r="I197" s="421">
        <v>159</v>
      </c>
      <c r="J197" s="421">
        <v>41</v>
      </c>
      <c r="K197" s="421">
        <v>6601</v>
      </c>
      <c r="L197" s="421">
        <v>1.0378930817610064</v>
      </c>
      <c r="M197" s="421">
        <v>161</v>
      </c>
      <c r="N197" s="421">
        <v>25</v>
      </c>
      <c r="O197" s="421">
        <v>4325</v>
      </c>
      <c r="P197" s="443">
        <v>0.68003144654088055</v>
      </c>
      <c r="Q197" s="422">
        <v>173</v>
      </c>
    </row>
    <row r="198" spans="1:17" ht="14.4" customHeight="1" x14ac:dyDescent="0.3">
      <c r="A198" s="417" t="s">
        <v>1138</v>
      </c>
      <c r="B198" s="418" t="s">
        <v>986</v>
      </c>
      <c r="C198" s="418" t="s">
        <v>987</v>
      </c>
      <c r="D198" s="418" t="s">
        <v>1002</v>
      </c>
      <c r="E198" s="418" t="s">
        <v>1003</v>
      </c>
      <c r="F198" s="421">
        <v>4</v>
      </c>
      <c r="G198" s="421">
        <v>4660</v>
      </c>
      <c r="H198" s="421">
        <v>1</v>
      </c>
      <c r="I198" s="421">
        <v>1165</v>
      </c>
      <c r="J198" s="421">
        <v>7</v>
      </c>
      <c r="K198" s="421">
        <v>8183</v>
      </c>
      <c r="L198" s="421">
        <v>1.7560085836909871</v>
      </c>
      <c r="M198" s="421">
        <v>1169</v>
      </c>
      <c r="N198" s="421">
        <v>3</v>
      </c>
      <c r="O198" s="421">
        <v>3519</v>
      </c>
      <c r="P198" s="443">
        <v>0.75515021459227472</v>
      </c>
      <c r="Q198" s="422">
        <v>1173</v>
      </c>
    </row>
    <row r="199" spans="1:17" ht="14.4" customHeight="1" x14ac:dyDescent="0.3">
      <c r="A199" s="417" t="s">
        <v>1138</v>
      </c>
      <c r="B199" s="418" t="s">
        <v>986</v>
      </c>
      <c r="C199" s="418" t="s">
        <v>987</v>
      </c>
      <c r="D199" s="418" t="s">
        <v>1004</v>
      </c>
      <c r="E199" s="418" t="s">
        <v>1005</v>
      </c>
      <c r="F199" s="421">
        <v>368</v>
      </c>
      <c r="G199" s="421">
        <v>14352</v>
      </c>
      <c r="H199" s="421">
        <v>1</v>
      </c>
      <c r="I199" s="421">
        <v>39</v>
      </c>
      <c r="J199" s="421">
        <v>351</v>
      </c>
      <c r="K199" s="421">
        <v>14040</v>
      </c>
      <c r="L199" s="421">
        <v>0.97826086956521741</v>
      </c>
      <c r="M199" s="421">
        <v>40</v>
      </c>
      <c r="N199" s="421">
        <v>478</v>
      </c>
      <c r="O199" s="421">
        <v>19598</v>
      </c>
      <c r="P199" s="443">
        <v>1.3655239687848384</v>
      </c>
      <c r="Q199" s="422">
        <v>41</v>
      </c>
    </row>
    <row r="200" spans="1:17" ht="14.4" customHeight="1" x14ac:dyDescent="0.3">
      <c r="A200" s="417" t="s">
        <v>1138</v>
      </c>
      <c r="B200" s="418" t="s">
        <v>986</v>
      </c>
      <c r="C200" s="418" t="s">
        <v>987</v>
      </c>
      <c r="D200" s="418" t="s">
        <v>1006</v>
      </c>
      <c r="E200" s="418" t="s">
        <v>1007</v>
      </c>
      <c r="F200" s="421">
        <v>2</v>
      </c>
      <c r="G200" s="421">
        <v>764</v>
      </c>
      <c r="H200" s="421">
        <v>1</v>
      </c>
      <c r="I200" s="421">
        <v>382</v>
      </c>
      <c r="J200" s="421">
        <v>1</v>
      </c>
      <c r="K200" s="421">
        <v>383</v>
      </c>
      <c r="L200" s="421">
        <v>0.50130890052356025</v>
      </c>
      <c r="M200" s="421">
        <v>383</v>
      </c>
      <c r="N200" s="421">
        <v>2</v>
      </c>
      <c r="O200" s="421">
        <v>768</v>
      </c>
      <c r="P200" s="443">
        <v>1.0052356020942408</v>
      </c>
      <c r="Q200" s="422">
        <v>384</v>
      </c>
    </row>
    <row r="201" spans="1:17" ht="14.4" customHeight="1" x14ac:dyDescent="0.3">
      <c r="A201" s="417" t="s">
        <v>1138</v>
      </c>
      <c r="B201" s="418" t="s">
        <v>986</v>
      </c>
      <c r="C201" s="418" t="s">
        <v>987</v>
      </c>
      <c r="D201" s="418" t="s">
        <v>1008</v>
      </c>
      <c r="E201" s="418" t="s">
        <v>1009</v>
      </c>
      <c r="F201" s="421"/>
      <c r="G201" s="421"/>
      <c r="H201" s="421"/>
      <c r="I201" s="421"/>
      <c r="J201" s="421">
        <v>2</v>
      </c>
      <c r="K201" s="421">
        <v>74</v>
      </c>
      <c r="L201" s="421"/>
      <c r="M201" s="421">
        <v>37</v>
      </c>
      <c r="N201" s="421"/>
      <c r="O201" s="421"/>
      <c r="P201" s="443"/>
      <c r="Q201" s="422"/>
    </row>
    <row r="202" spans="1:17" ht="14.4" customHeight="1" x14ac:dyDescent="0.3">
      <c r="A202" s="417" t="s">
        <v>1138</v>
      </c>
      <c r="B202" s="418" t="s">
        <v>986</v>
      </c>
      <c r="C202" s="418" t="s">
        <v>987</v>
      </c>
      <c r="D202" s="418" t="s">
        <v>1012</v>
      </c>
      <c r="E202" s="418" t="s">
        <v>1013</v>
      </c>
      <c r="F202" s="421"/>
      <c r="G202" s="421"/>
      <c r="H202" s="421"/>
      <c r="I202" s="421"/>
      <c r="J202" s="421">
        <v>3</v>
      </c>
      <c r="K202" s="421">
        <v>1335</v>
      </c>
      <c r="L202" s="421"/>
      <c r="M202" s="421">
        <v>445</v>
      </c>
      <c r="N202" s="421"/>
      <c r="O202" s="421"/>
      <c r="P202" s="443"/>
      <c r="Q202" s="422"/>
    </row>
    <row r="203" spans="1:17" ht="14.4" customHeight="1" x14ac:dyDescent="0.3">
      <c r="A203" s="417" t="s">
        <v>1138</v>
      </c>
      <c r="B203" s="418" t="s">
        <v>986</v>
      </c>
      <c r="C203" s="418" t="s">
        <v>987</v>
      </c>
      <c r="D203" s="418" t="s">
        <v>1016</v>
      </c>
      <c r="E203" s="418" t="s">
        <v>1017</v>
      </c>
      <c r="F203" s="421"/>
      <c r="G203" s="421"/>
      <c r="H203" s="421"/>
      <c r="I203" s="421"/>
      <c r="J203" s="421">
        <v>2</v>
      </c>
      <c r="K203" s="421">
        <v>982</v>
      </c>
      <c r="L203" s="421"/>
      <c r="M203" s="421">
        <v>491</v>
      </c>
      <c r="N203" s="421">
        <v>5</v>
      </c>
      <c r="O203" s="421">
        <v>2460</v>
      </c>
      <c r="P203" s="443"/>
      <c r="Q203" s="422">
        <v>492</v>
      </c>
    </row>
    <row r="204" spans="1:17" ht="14.4" customHeight="1" x14ac:dyDescent="0.3">
      <c r="A204" s="417" t="s">
        <v>1138</v>
      </c>
      <c r="B204" s="418" t="s">
        <v>986</v>
      </c>
      <c r="C204" s="418" t="s">
        <v>987</v>
      </c>
      <c r="D204" s="418" t="s">
        <v>1018</v>
      </c>
      <c r="E204" s="418" t="s">
        <v>1019</v>
      </c>
      <c r="F204" s="421">
        <v>1</v>
      </c>
      <c r="G204" s="421">
        <v>31</v>
      </c>
      <c r="H204" s="421">
        <v>1</v>
      </c>
      <c r="I204" s="421">
        <v>31</v>
      </c>
      <c r="J204" s="421">
        <v>1</v>
      </c>
      <c r="K204" s="421">
        <v>31</v>
      </c>
      <c r="L204" s="421">
        <v>1</v>
      </c>
      <c r="M204" s="421">
        <v>31</v>
      </c>
      <c r="N204" s="421">
        <v>1</v>
      </c>
      <c r="O204" s="421">
        <v>31</v>
      </c>
      <c r="P204" s="443">
        <v>1</v>
      </c>
      <c r="Q204" s="422">
        <v>31</v>
      </c>
    </row>
    <row r="205" spans="1:17" ht="14.4" customHeight="1" x14ac:dyDescent="0.3">
      <c r="A205" s="417" t="s">
        <v>1138</v>
      </c>
      <c r="B205" s="418" t="s">
        <v>986</v>
      </c>
      <c r="C205" s="418" t="s">
        <v>987</v>
      </c>
      <c r="D205" s="418" t="s">
        <v>1024</v>
      </c>
      <c r="E205" s="418" t="s">
        <v>1025</v>
      </c>
      <c r="F205" s="421">
        <v>2</v>
      </c>
      <c r="G205" s="421">
        <v>462</v>
      </c>
      <c r="H205" s="421">
        <v>1</v>
      </c>
      <c r="I205" s="421">
        <v>231</v>
      </c>
      <c r="J205" s="421"/>
      <c r="K205" s="421"/>
      <c r="L205" s="421"/>
      <c r="M205" s="421"/>
      <c r="N205" s="421">
        <v>4</v>
      </c>
      <c r="O205" s="421">
        <v>944</v>
      </c>
      <c r="P205" s="443">
        <v>2.0432900432900434</v>
      </c>
      <c r="Q205" s="422">
        <v>236</v>
      </c>
    </row>
    <row r="206" spans="1:17" ht="14.4" customHeight="1" x14ac:dyDescent="0.3">
      <c r="A206" s="417" t="s">
        <v>1138</v>
      </c>
      <c r="B206" s="418" t="s">
        <v>986</v>
      </c>
      <c r="C206" s="418" t="s">
        <v>987</v>
      </c>
      <c r="D206" s="418" t="s">
        <v>1032</v>
      </c>
      <c r="E206" s="418" t="s">
        <v>1033</v>
      </c>
      <c r="F206" s="421">
        <v>10</v>
      </c>
      <c r="G206" s="421">
        <v>160</v>
      </c>
      <c r="H206" s="421">
        <v>1</v>
      </c>
      <c r="I206" s="421">
        <v>16</v>
      </c>
      <c r="J206" s="421">
        <v>23</v>
      </c>
      <c r="K206" s="421">
        <v>368</v>
      </c>
      <c r="L206" s="421">
        <v>2.2999999999999998</v>
      </c>
      <c r="M206" s="421">
        <v>16</v>
      </c>
      <c r="N206" s="421">
        <v>5</v>
      </c>
      <c r="O206" s="421">
        <v>85</v>
      </c>
      <c r="P206" s="443">
        <v>0.53125</v>
      </c>
      <c r="Q206" s="422">
        <v>17</v>
      </c>
    </row>
    <row r="207" spans="1:17" ht="14.4" customHeight="1" x14ac:dyDescent="0.3">
      <c r="A207" s="417" t="s">
        <v>1138</v>
      </c>
      <c r="B207" s="418" t="s">
        <v>986</v>
      </c>
      <c r="C207" s="418" t="s">
        <v>987</v>
      </c>
      <c r="D207" s="418" t="s">
        <v>1034</v>
      </c>
      <c r="E207" s="418" t="s">
        <v>1035</v>
      </c>
      <c r="F207" s="421"/>
      <c r="G207" s="421"/>
      <c r="H207" s="421"/>
      <c r="I207" s="421"/>
      <c r="J207" s="421"/>
      <c r="K207" s="421"/>
      <c r="L207" s="421"/>
      <c r="M207" s="421"/>
      <c r="N207" s="421">
        <v>1</v>
      </c>
      <c r="O207" s="421">
        <v>139</v>
      </c>
      <c r="P207" s="443"/>
      <c r="Q207" s="422">
        <v>139</v>
      </c>
    </row>
    <row r="208" spans="1:17" ht="14.4" customHeight="1" x14ac:dyDescent="0.3">
      <c r="A208" s="417" t="s">
        <v>1138</v>
      </c>
      <c r="B208" s="418" t="s">
        <v>986</v>
      </c>
      <c r="C208" s="418" t="s">
        <v>987</v>
      </c>
      <c r="D208" s="418" t="s">
        <v>1036</v>
      </c>
      <c r="E208" s="418" t="s">
        <v>1037</v>
      </c>
      <c r="F208" s="421"/>
      <c r="G208" s="421"/>
      <c r="H208" s="421"/>
      <c r="I208" s="421"/>
      <c r="J208" s="421">
        <v>3</v>
      </c>
      <c r="K208" s="421">
        <v>309</v>
      </c>
      <c r="L208" s="421"/>
      <c r="M208" s="421">
        <v>103</v>
      </c>
      <c r="N208" s="421">
        <v>1</v>
      </c>
      <c r="O208" s="421">
        <v>103</v>
      </c>
      <c r="P208" s="443"/>
      <c r="Q208" s="422">
        <v>103</v>
      </c>
    </row>
    <row r="209" spans="1:17" ht="14.4" customHeight="1" x14ac:dyDescent="0.3">
      <c r="A209" s="417" t="s">
        <v>1138</v>
      </c>
      <c r="B209" s="418" t="s">
        <v>986</v>
      </c>
      <c r="C209" s="418" t="s">
        <v>987</v>
      </c>
      <c r="D209" s="418" t="s">
        <v>1040</v>
      </c>
      <c r="E209" s="418" t="s">
        <v>1041</v>
      </c>
      <c r="F209" s="421">
        <v>307</v>
      </c>
      <c r="G209" s="421">
        <v>34691</v>
      </c>
      <c r="H209" s="421">
        <v>1</v>
      </c>
      <c r="I209" s="421">
        <v>113</v>
      </c>
      <c r="J209" s="421">
        <v>270</v>
      </c>
      <c r="K209" s="421">
        <v>31320</v>
      </c>
      <c r="L209" s="421">
        <v>0.90282782277824225</v>
      </c>
      <c r="M209" s="421">
        <v>116</v>
      </c>
      <c r="N209" s="421">
        <v>395</v>
      </c>
      <c r="O209" s="421">
        <v>46215</v>
      </c>
      <c r="P209" s="443">
        <v>1.3321899051627224</v>
      </c>
      <c r="Q209" s="422">
        <v>117</v>
      </c>
    </row>
    <row r="210" spans="1:17" ht="14.4" customHeight="1" x14ac:dyDescent="0.3">
      <c r="A210" s="417" t="s">
        <v>1138</v>
      </c>
      <c r="B210" s="418" t="s">
        <v>986</v>
      </c>
      <c r="C210" s="418" t="s">
        <v>987</v>
      </c>
      <c r="D210" s="418" t="s">
        <v>1042</v>
      </c>
      <c r="E210" s="418" t="s">
        <v>1043</v>
      </c>
      <c r="F210" s="421">
        <v>16</v>
      </c>
      <c r="G210" s="421">
        <v>1344</v>
      </c>
      <c r="H210" s="421">
        <v>1</v>
      </c>
      <c r="I210" s="421">
        <v>84</v>
      </c>
      <c r="J210" s="421">
        <v>22</v>
      </c>
      <c r="K210" s="421">
        <v>1870</v>
      </c>
      <c r="L210" s="421">
        <v>1.3913690476190477</v>
      </c>
      <c r="M210" s="421">
        <v>85</v>
      </c>
      <c r="N210" s="421">
        <v>10</v>
      </c>
      <c r="O210" s="421">
        <v>910</v>
      </c>
      <c r="P210" s="443">
        <v>0.67708333333333337</v>
      </c>
      <c r="Q210" s="422">
        <v>91</v>
      </c>
    </row>
    <row r="211" spans="1:17" ht="14.4" customHeight="1" x14ac:dyDescent="0.3">
      <c r="A211" s="417" t="s">
        <v>1138</v>
      </c>
      <c r="B211" s="418" t="s">
        <v>986</v>
      </c>
      <c r="C211" s="418" t="s">
        <v>987</v>
      </c>
      <c r="D211" s="418" t="s">
        <v>1044</v>
      </c>
      <c r="E211" s="418" t="s">
        <v>1045</v>
      </c>
      <c r="F211" s="421"/>
      <c r="G211" s="421"/>
      <c r="H211" s="421"/>
      <c r="I211" s="421"/>
      <c r="J211" s="421">
        <v>1</v>
      </c>
      <c r="K211" s="421">
        <v>98</v>
      </c>
      <c r="L211" s="421"/>
      <c r="M211" s="421">
        <v>98</v>
      </c>
      <c r="N211" s="421">
        <v>9</v>
      </c>
      <c r="O211" s="421">
        <v>891</v>
      </c>
      <c r="P211" s="443"/>
      <c r="Q211" s="422">
        <v>99</v>
      </c>
    </row>
    <row r="212" spans="1:17" ht="14.4" customHeight="1" x14ac:dyDescent="0.3">
      <c r="A212" s="417" t="s">
        <v>1138</v>
      </c>
      <c r="B212" s="418" t="s">
        <v>986</v>
      </c>
      <c r="C212" s="418" t="s">
        <v>987</v>
      </c>
      <c r="D212" s="418" t="s">
        <v>1046</v>
      </c>
      <c r="E212" s="418" t="s">
        <v>1047</v>
      </c>
      <c r="F212" s="421">
        <v>9</v>
      </c>
      <c r="G212" s="421">
        <v>189</v>
      </c>
      <c r="H212" s="421">
        <v>1</v>
      </c>
      <c r="I212" s="421">
        <v>21</v>
      </c>
      <c r="J212" s="421">
        <v>2</v>
      </c>
      <c r="K212" s="421">
        <v>42</v>
      </c>
      <c r="L212" s="421">
        <v>0.22222222222222221</v>
      </c>
      <c r="M212" s="421">
        <v>21</v>
      </c>
      <c r="N212" s="421">
        <v>11</v>
      </c>
      <c r="O212" s="421">
        <v>231</v>
      </c>
      <c r="P212" s="443">
        <v>1.2222222222222223</v>
      </c>
      <c r="Q212" s="422">
        <v>21</v>
      </c>
    </row>
    <row r="213" spans="1:17" ht="14.4" customHeight="1" x14ac:dyDescent="0.3">
      <c r="A213" s="417" t="s">
        <v>1138</v>
      </c>
      <c r="B213" s="418" t="s">
        <v>986</v>
      </c>
      <c r="C213" s="418" t="s">
        <v>987</v>
      </c>
      <c r="D213" s="418" t="s">
        <v>1048</v>
      </c>
      <c r="E213" s="418" t="s">
        <v>1049</v>
      </c>
      <c r="F213" s="421">
        <v>21</v>
      </c>
      <c r="G213" s="421">
        <v>10206</v>
      </c>
      <c r="H213" s="421">
        <v>1</v>
      </c>
      <c r="I213" s="421">
        <v>486</v>
      </c>
      <c r="J213" s="421">
        <v>45</v>
      </c>
      <c r="K213" s="421">
        <v>21915</v>
      </c>
      <c r="L213" s="421">
        <v>2.1472663139329806</v>
      </c>
      <c r="M213" s="421">
        <v>487</v>
      </c>
      <c r="N213" s="421">
        <v>12</v>
      </c>
      <c r="O213" s="421">
        <v>5856</v>
      </c>
      <c r="P213" s="443">
        <v>0.5737801293356849</v>
      </c>
      <c r="Q213" s="422">
        <v>488</v>
      </c>
    </row>
    <row r="214" spans="1:17" ht="14.4" customHeight="1" x14ac:dyDescent="0.3">
      <c r="A214" s="417" t="s">
        <v>1138</v>
      </c>
      <c r="B214" s="418" t="s">
        <v>986</v>
      </c>
      <c r="C214" s="418" t="s">
        <v>987</v>
      </c>
      <c r="D214" s="418" t="s">
        <v>1056</v>
      </c>
      <c r="E214" s="418" t="s">
        <v>1057</v>
      </c>
      <c r="F214" s="421">
        <v>8</v>
      </c>
      <c r="G214" s="421">
        <v>320</v>
      </c>
      <c r="H214" s="421">
        <v>1</v>
      </c>
      <c r="I214" s="421">
        <v>40</v>
      </c>
      <c r="J214" s="421">
        <v>17</v>
      </c>
      <c r="K214" s="421">
        <v>697</v>
      </c>
      <c r="L214" s="421">
        <v>2.1781250000000001</v>
      </c>
      <c r="M214" s="421">
        <v>41</v>
      </c>
      <c r="N214" s="421">
        <v>23</v>
      </c>
      <c r="O214" s="421">
        <v>943</v>
      </c>
      <c r="P214" s="443">
        <v>2.9468749999999999</v>
      </c>
      <c r="Q214" s="422">
        <v>41</v>
      </c>
    </row>
    <row r="215" spans="1:17" ht="14.4" customHeight="1" x14ac:dyDescent="0.3">
      <c r="A215" s="417" t="s">
        <v>1138</v>
      </c>
      <c r="B215" s="418" t="s">
        <v>986</v>
      </c>
      <c r="C215" s="418" t="s">
        <v>987</v>
      </c>
      <c r="D215" s="418" t="s">
        <v>1070</v>
      </c>
      <c r="E215" s="418" t="s">
        <v>1071</v>
      </c>
      <c r="F215" s="421">
        <v>1</v>
      </c>
      <c r="G215" s="421">
        <v>604</v>
      </c>
      <c r="H215" s="421">
        <v>1</v>
      </c>
      <c r="I215" s="421">
        <v>604</v>
      </c>
      <c r="J215" s="421">
        <v>1</v>
      </c>
      <c r="K215" s="421">
        <v>608</v>
      </c>
      <c r="L215" s="421">
        <v>1.0066225165562914</v>
      </c>
      <c r="M215" s="421">
        <v>608</v>
      </c>
      <c r="N215" s="421">
        <v>5</v>
      </c>
      <c r="O215" s="421">
        <v>3070</v>
      </c>
      <c r="P215" s="443">
        <v>5.0827814569536427</v>
      </c>
      <c r="Q215" s="422">
        <v>614</v>
      </c>
    </row>
    <row r="216" spans="1:17" ht="14.4" customHeight="1" x14ac:dyDescent="0.3">
      <c r="A216" s="417" t="s">
        <v>1138</v>
      </c>
      <c r="B216" s="418" t="s">
        <v>986</v>
      </c>
      <c r="C216" s="418" t="s">
        <v>987</v>
      </c>
      <c r="D216" s="418" t="s">
        <v>1082</v>
      </c>
      <c r="E216" s="418" t="s">
        <v>1083</v>
      </c>
      <c r="F216" s="421">
        <v>2</v>
      </c>
      <c r="G216" s="421">
        <v>490</v>
      </c>
      <c r="H216" s="421">
        <v>1</v>
      </c>
      <c r="I216" s="421">
        <v>245</v>
      </c>
      <c r="J216" s="421"/>
      <c r="K216" s="421"/>
      <c r="L216" s="421"/>
      <c r="M216" s="421"/>
      <c r="N216" s="421">
        <v>4</v>
      </c>
      <c r="O216" s="421">
        <v>996</v>
      </c>
      <c r="P216" s="443">
        <v>2.0326530612244897</v>
      </c>
      <c r="Q216" s="422">
        <v>249</v>
      </c>
    </row>
    <row r="217" spans="1:17" ht="14.4" customHeight="1" x14ac:dyDescent="0.3">
      <c r="A217" s="417" t="s">
        <v>1138</v>
      </c>
      <c r="B217" s="418" t="s">
        <v>986</v>
      </c>
      <c r="C217" s="418" t="s">
        <v>987</v>
      </c>
      <c r="D217" s="418" t="s">
        <v>1090</v>
      </c>
      <c r="E217" s="418" t="s">
        <v>1091</v>
      </c>
      <c r="F217" s="421">
        <v>34</v>
      </c>
      <c r="G217" s="421">
        <v>918</v>
      </c>
      <c r="H217" s="421">
        <v>1</v>
      </c>
      <c r="I217" s="421">
        <v>27</v>
      </c>
      <c r="J217" s="421">
        <v>35</v>
      </c>
      <c r="K217" s="421">
        <v>945</v>
      </c>
      <c r="L217" s="421">
        <v>1.0294117647058822</v>
      </c>
      <c r="M217" s="421">
        <v>27</v>
      </c>
      <c r="N217" s="421">
        <v>47</v>
      </c>
      <c r="O217" s="421">
        <v>1269</v>
      </c>
      <c r="P217" s="443">
        <v>1.3823529411764706</v>
      </c>
      <c r="Q217" s="422">
        <v>27</v>
      </c>
    </row>
    <row r="218" spans="1:17" ht="14.4" customHeight="1" x14ac:dyDescent="0.3">
      <c r="A218" s="417" t="s">
        <v>1139</v>
      </c>
      <c r="B218" s="418" t="s">
        <v>986</v>
      </c>
      <c r="C218" s="418" t="s">
        <v>987</v>
      </c>
      <c r="D218" s="418" t="s">
        <v>988</v>
      </c>
      <c r="E218" s="418" t="s">
        <v>989</v>
      </c>
      <c r="F218" s="421">
        <v>170</v>
      </c>
      <c r="G218" s="421">
        <v>27030</v>
      </c>
      <c r="H218" s="421">
        <v>1</v>
      </c>
      <c r="I218" s="421">
        <v>159</v>
      </c>
      <c r="J218" s="421">
        <v>151</v>
      </c>
      <c r="K218" s="421">
        <v>24311</v>
      </c>
      <c r="L218" s="421">
        <v>0.89940806511283755</v>
      </c>
      <c r="M218" s="421">
        <v>161</v>
      </c>
      <c r="N218" s="421">
        <v>199</v>
      </c>
      <c r="O218" s="421">
        <v>34427</v>
      </c>
      <c r="P218" s="443">
        <v>1.2736588975212726</v>
      </c>
      <c r="Q218" s="422">
        <v>173</v>
      </c>
    </row>
    <row r="219" spans="1:17" ht="14.4" customHeight="1" x14ac:dyDescent="0.3">
      <c r="A219" s="417" t="s">
        <v>1139</v>
      </c>
      <c r="B219" s="418" t="s">
        <v>986</v>
      </c>
      <c r="C219" s="418" t="s">
        <v>987</v>
      </c>
      <c r="D219" s="418" t="s">
        <v>1002</v>
      </c>
      <c r="E219" s="418" t="s">
        <v>1003</v>
      </c>
      <c r="F219" s="421">
        <v>4</v>
      </c>
      <c r="G219" s="421">
        <v>4660</v>
      </c>
      <c r="H219" s="421">
        <v>1</v>
      </c>
      <c r="I219" s="421">
        <v>1165</v>
      </c>
      <c r="J219" s="421">
        <v>37</v>
      </c>
      <c r="K219" s="421">
        <v>43253</v>
      </c>
      <c r="L219" s="421">
        <v>9.2817596566523601</v>
      </c>
      <c r="M219" s="421">
        <v>1169</v>
      </c>
      <c r="N219" s="421">
        <v>38</v>
      </c>
      <c r="O219" s="421">
        <v>44574</v>
      </c>
      <c r="P219" s="443">
        <v>9.5652360515021453</v>
      </c>
      <c r="Q219" s="422">
        <v>1173</v>
      </c>
    </row>
    <row r="220" spans="1:17" ht="14.4" customHeight="1" x14ac:dyDescent="0.3">
      <c r="A220" s="417" t="s">
        <v>1139</v>
      </c>
      <c r="B220" s="418" t="s">
        <v>986</v>
      </c>
      <c r="C220" s="418" t="s">
        <v>987</v>
      </c>
      <c r="D220" s="418" t="s">
        <v>1004</v>
      </c>
      <c r="E220" s="418" t="s">
        <v>1005</v>
      </c>
      <c r="F220" s="421">
        <v>587</v>
      </c>
      <c r="G220" s="421">
        <v>22893</v>
      </c>
      <c r="H220" s="421">
        <v>1</v>
      </c>
      <c r="I220" s="421">
        <v>39</v>
      </c>
      <c r="J220" s="421">
        <v>891</v>
      </c>
      <c r="K220" s="421">
        <v>35640</v>
      </c>
      <c r="L220" s="421">
        <v>1.5568077578299044</v>
      </c>
      <c r="M220" s="421">
        <v>40</v>
      </c>
      <c r="N220" s="421">
        <v>670</v>
      </c>
      <c r="O220" s="421">
        <v>27470</v>
      </c>
      <c r="P220" s="443">
        <v>1.1999301096405015</v>
      </c>
      <c r="Q220" s="422">
        <v>41</v>
      </c>
    </row>
    <row r="221" spans="1:17" ht="14.4" customHeight="1" x14ac:dyDescent="0.3">
      <c r="A221" s="417" t="s">
        <v>1139</v>
      </c>
      <c r="B221" s="418" t="s">
        <v>986</v>
      </c>
      <c r="C221" s="418" t="s">
        <v>987</v>
      </c>
      <c r="D221" s="418" t="s">
        <v>1006</v>
      </c>
      <c r="E221" s="418" t="s">
        <v>1007</v>
      </c>
      <c r="F221" s="421">
        <v>18</v>
      </c>
      <c r="G221" s="421">
        <v>6876</v>
      </c>
      <c r="H221" s="421">
        <v>1</v>
      </c>
      <c r="I221" s="421">
        <v>382</v>
      </c>
      <c r="J221" s="421">
        <v>14</v>
      </c>
      <c r="K221" s="421">
        <v>5362</v>
      </c>
      <c r="L221" s="421">
        <v>0.77981384525887143</v>
      </c>
      <c r="M221" s="421">
        <v>383</v>
      </c>
      <c r="N221" s="421">
        <v>22</v>
      </c>
      <c r="O221" s="421">
        <v>8448</v>
      </c>
      <c r="P221" s="443">
        <v>1.2286212914485166</v>
      </c>
      <c r="Q221" s="422">
        <v>384</v>
      </c>
    </row>
    <row r="222" spans="1:17" ht="14.4" customHeight="1" x14ac:dyDescent="0.3">
      <c r="A222" s="417" t="s">
        <v>1139</v>
      </c>
      <c r="B222" s="418" t="s">
        <v>986</v>
      </c>
      <c r="C222" s="418" t="s">
        <v>987</v>
      </c>
      <c r="D222" s="418" t="s">
        <v>1008</v>
      </c>
      <c r="E222" s="418" t="s">
        <v>1009</v>
      </c>
      <c r="F222" s="421">
        <v>142</v>
      </c>
      <c r="G222" s="421">
        <v>5254</v>
      </c>
      <c r="H222" s="421">
        <v>1</v>
      </c>
      <c r="I222" s="421">
        <v>37</v>
      </c>
      <c r="J222" s="421">
        <v>88</v>
      </c>
      <c r="K222" s="421">
        <v>3256</v>
      </c>
      <c r="L222" s="421">
        <v>0.61971830985915488</v>
      </c>
      <c r="M222" s="421">
        <v>37</v>
      </c>
      <c r="N222" s="421">
        <v>141</v>
      </c>
      <c r="O222" s="421">
        <v>5217</v>
      </c>
      <c r="P222" s="443">
        <v>0.99295774647887325</v>
      </c>
      <c r="Q222" s="422">
        <v>37</v>
      </c>
    </row>
    <row r="223" spans="1:17" ht="14.4" customHeight="1" x14ac:dyDescent="0.3">
      <c r="A223" s="417" t="s">
        <v>1139</v>
      </c>
      <c r="B223" s="418" t="s">
        <v>986</v>
      </c>
      <c r="C223" s="418" t="s">
        <v>987</v>
      </c>
      <c r="D223" s="418" t="s">
        <v>1012</v>
      </c>
      <c r="E223" s="418" t="s">
        <v>1013</v>
      </c>
      <c r="F223" s="421">
        <v>89</v>
      </c>
      <c r="G223" s="421">
        <v>39516</v>
      </c>
      <c r="H223" s="421">
        <v>1</v>
      </c>
      <c r="I223" s="421">
        <v>444</v>
      </c>
      <c r="J223" s="421">
        <v>76</v>
      </c>
      <c r="K223" s="421">
        <v>33820</v>
      </c>
      <c r="L223" s="421">
        <v>0.85585585585585588</v>
      </c>
      <c r="M223" s="421">
        <v>445</v>
      </c>
      <c r="N223" s="421">
        <v>165</v>
      </c>
      <c r="O223" s="421">
        <v>73590</v>
      </c>
      <c r="P223" s="443">
        <v>1.8622836319465532</v>
      </c>
      <c r="Q223" s="422">
        <v>446</v>
      </c>
    </row>
    <row r="224" spans="1:17" ht="14.4" customHeight="1" x14ac:dyDescent="0.3">
      <c r="A224" s="417" t="s">
        <v>1139</v>
      </c>
      <c r="B224" s="418" t="s">
        <v>986</v>
      </c>
      <c r="C224" s="418" t="s">
        <v>987</v>
      </c>
      <c r="D224" s="418" t="s">
        <v>1016</v>
      </c>
      <c r="E224" s="418" t="s">
        <v>1017</v>
      </c>
      <c r="F224" s="421">
        <v>20</v>
      </c>
      <c r="G224" s="421">
        <v>9800</v>
      </c>
      <c r="H224" s="421">
        <v>1</v>
      </c>
      <c r="I224" s="421">
        <v>490</v>
      </c>
      <c r="J224" s="421">
        <v>29</v>
      </c>
      <c r="K224" s="421">
        <v>14239</v>
      </c>
      <c r="L224" s="421">
        <v>1.4529591836734694</v>
      </c>
      <c r="M224" s="421">
        <v>491</v>
      </c>
      <c r="N224" s="421">
        <v>174</v>
      </c>
      <c r="O224" s="421">
        <v>85608</v>
      </c>
      <c r="P224" s="443">
        <v>8.735510204081633</v>
      </c>
      <c r="Q224" s="422">
        <v>492</v>
      </c>
    </row>
    <row r="225" spans="1:17" ht="14.4" customHeight="1" x14ac:dyDescent="0.3">
      <c r="A225" s="417" t="s">
        <v>1139</v>
      </c>
      <c r="B225" s="418" t="s">
        <v>986</v>
      </c>
      <c r="C225" s="418" t="s">
        <v>987</v>
      </c>
      <c r="D225" s="418" t="s">
        <v>1018</v>
      </c>
      <c r="E225" s="418" t="s">
        <v>1019</v>
      </c>
      <c r="F225" s="421">
        <v>34</v>
      </c>
      <c r="G225" s="421">
        <v>1054</v>
      </c>
      <c r="H225" s="421">
        <v>1</v>
      </c>
      <c r="I225" s="421">
        <v>31</v>
      </c>
      <c r="J225" s="421">
        <v>52</v>
      </c>
      <c r="K225" s="421">
        <v>1612</v>
      </c>
      <c r="L225" s="421">
        <v>1.5294117647058822</v>
      </c>
      <c r="M225" s="421">
        <v>31</v>
      </c>
      <c r="N225" s="421">
        <v>41</v>
      </c>
      <c r="O225" s="421">
        <v>1271</v>
      </c>
      <c r="P225" s="443">
        <v>1.2058823529411764</v>
      </c>
      <c r="Q225" s="422">
        <v>31</v>
      </c>
    </row>
    <row r="226" spans="1:17" ht="14.4" customHeight="1" x14ac:dyDescent="0.3">
      <c r="A226" s="417" t="s">
        <v>1139</v>
      </c>
      <c r="B226" s="418" t="s">
        <v>986</v>
      </c>
      <c r="C226" s="418" t="s">
        <v>987</v>
      </c>
      <c r="D226" s="418" t="s">
        <v>1020</v>
      </c>
      <c r="E226" s="418" t="s">
        <v>1021</v>
      </c>
      <c r="F226" s="421">
        <v>2</v>
      </c>
      <c r="G226" s="421">
        <v>410</v>
      </c>
      <c r="H226" s="421">
        <v>1</v>
      </c>
      <c r="I226" s="421">
        <v>205</v>
      </c>
      <c r="J226" s="421">
        <v>3</v>
      </c>
      <c r="K226" s="421">
        <v>621</v>
      </c>
      <c r="L226" s="421">
        <v>1.5146341463414634</v>
      </c>
      <c r="M226" s="421">
        <v>207</v>
      </c>
      <c r="N226" s="421">
        <v>1</v>
      </c>
      <c r="O226" s="421">
        <v>208</v>
      </c>
      <c r="P226" s="443">
        <v>0.50731707317073171</v>
      </c>
      <c r="Q226" s="422">
        <v>208</v>
      </c>
    </row>
    <row r="227" spans="1:17" ht="14.4" customHeight="1" x14ac:dyDescent="0.3">
      <c r="A227" s="417" t="s">
        <v>1139</v>
      </c>
      <c r="B227" s="418" t="s">
        <v>986</v>
      </c>
      <c r="C227" s="418" t="s">
        <v>987</v>
      </c>
      <c r="D227" s="418" t="s">
        <v>1022</v>
      </c>
      <c r="E227" s="418" t="s">
        <v>1023</v>
      </c>
      <c r="F227" s="421">
        <v>1</v>
      </c>
      <c r="G227" s="421">
        <v>377</v>
      </c>
      <c r="H227" s="421">
        <v>1</v>
      </c>
      <c r="I227" s="421">
        <v>377</v>
      </c>
      <c r="J227" s="421">
        <v>3</v>
      </c>
      <c r="K227" s="421">
        <v>1140</v>
      </c>
      <c r="L227" s="421">
        <v>3.0238726790450929</v>
      </c>
      <c r="M227" s="421">
        <v>380</v>
      </c>
      <c r="N227" s="421">
        <v>2</v>
      </c>
      <c r="O227" s="421">
        <v>768</v>
      </c>
      <c r="P227" s="443">
        <v>2.0371352785145889</v>
      </c>
      <c r="Q227" s="422">
        <v>384</v>
      </c>
    </row>
    <row r="228" spans="1:17" ht="14.4" customHeight="1" x14ac:dyDescent="0.3">
      <c r="A228" s="417" t="s">
        <v>1139</v>
      </c>
      <c r="B228" s="418" t="s">
        <v>986</v>
      </c>
      <c r="C228" s="418" t="s">
        <v>987</v>
      </c>
      <c r="D228" s="418" t="s">
        <v>1024</v>
      </c>
      <c r="E228" s="418" t="s">
        <v>1025</v>
      </c>
      <c r="F228" s="421">
        <v>2</v>
      </c>
      <c r="G228" s="421">
        <v>462</v>
      </c>
      <c r="H228" s="421">
        <v>1</v>
      </c>
      <c r="I228" s="421">
        <v>231</v>
      </c>
      <c r="J228" s="421"/>
      <c r="K228" s="421"/>
      <c r="L228" s="421"/>
      <c r="M228" s="421"/>
      <c r="N228" s="421"/>
      <c r="O228" s="421"/>
      <c r="P228" s="443"/>
      <c r="Q228" s="422"/>
    </row>
    <row r="229" spans="1:17" ht="14.4" customHeight="1" x14ac:dyDescent="0.3">
      <c r="A229" s="417" t="s">
        <v>1139</v>
      </c>
      <c r="B229" s="418" t="s">
        <v>986</v>
      </c>
      <c r="C229" s="418" t="s">
        <v>987</v>
      </c>
      <c r="D229" s="418" t="s">
        <v>1026</v>
      </c>
      <c r="E229" s="418" t="s">
        <v>1027</v>
      </c>
      <c r="F229" s="421">
        <v>10</v>
      </c>
      <c r="G229" s="421">
        <v>1290</v>
      </c>
      <c r="H229" s="421">
        <v>1</v>
      </c>
      <c r="I229" s="421">
        <v>129</v>
      </c>
      <c r="J229" s="421">
        <v>34</v>
      </c>
      <c r="K229" s="421">
        <v>4454</v>
      </c>
      <c r="L229" s="421">
        <v>3.4527131782945735</v>
      </c>
      <c r="M229" s="421">
        <v>131</v>
      </c>
      <c r="N229" s="421">
        <v>16</v>
      </c>
      <c r="O229" s="421">
        <v>2192</v>
      </c>
      <c r="P229" s="443">
        <v>1.6992248062015505</v>
      </c>
      <c r="Q229" s="422">
        <v>137</v>
      </c>
    </row>
    <row r="230" spans="1:17" ht="14.4" customHeight="1" x14ac:dyDescent="0.3">
      <c r="A230" s="417" t="s">
        <v>1139</v>
      </c>
      <c r="B230" s="418" t="s">
        <v>986</v>
      </c>
      <c r="C230" s="418" t="s">
        <v>987</v>
      </c>
      <c r="D230" s="418" t="s">
        <v>1028</v>
      </c>
      <c r="E230" s="418" t="s">
        <v>1029</v>
      </c>
      <c r="F230" s="421"/>
      <c r="G230" s="421"/>
      <c r="H230" s="421"/>
      <c r="I230" s="421"/>
      <c r="J230" s="421"/>
      <c r="K230" s="421"/>
      <c r="L230" s="421"/>
      <c r="M230" s="421"/>
      <c r="N230" s="421">
        <v>2</v>
      </c>
      <c r="O230" s="421">
        <v>410</v>
      </c>
      <c r="P230" s="443"/>
      <c r="Q230" s="422">
        <v>205</v>
      </c>
    </row>
    <row r="231" spans="1:17" ht="14.4" customHeight="1" x14ac:dyDescent="0.3">
      <c r="A231" s="417" t="s">
        <v>1139</v>
      </c>
      <c r="B231" s="418" t="s">
        <v>986</v>
      </c>
      <c r="C231" s="418" t="s">
        <v>987</v>
      </c>
      <c r="D231" s="418" t="s">
        <v>1032</v>
      </c>
      <c r="E231" s="418" t="s">
        <v>1033</v>
      </c>
      <c r="F231" s="421">
        <v>298</v>
      </c>
      <c r="G231" s="421">
        <v>4768</v>
      </c>
      <c r="H231" s="421">
        <v>1</v>
      </c>
      <c r="I231" s="421">
        <v>16</v>
      </c>
      <c r="J231" s="421">
        <v>308</v>
      </c>
      <c r="K231" s="421">
        <v>4928</v>
      </c>
      <c r="L231" s="421">
        <v>1.0335570469798658</v>
      </c>
      <c r="M231" s="421">
        <v>16</v>
      </c>
      <c r="N231" s="421">
        <v>430</v>
      </c>
      <c r="O231" s="421">
        <v>7310</v>
      </c>
      <c r="P231" s="443">
        <v>1.5331375838926173</v>
      </c>
      <c r="Q231" s="422">
        <v>17</v>
      </c>
    </row>
    <row r="232" spans="1:17" ht="14.4" customHeight="1" x14ac:dyDescent="0.3">
      <c r="A232" s="417" t="s">
        <v>1139</v>
      </c>
      <c r="B232" s="418" t="s">
        <v>986</v>
      </c>
      <c r="C232" s="418" t="s">
        <v>987</v>
      </c>
      <c r="D232" s="418" t="s">
        <v>1034</v>
      </c>
      <c r="E232" s="418" t="s">
        <v>1035</v>
      </c>
      <c r="F232" s="421">
        <v>9</v>
      </c>
      <c r="G232" s="421">
        <v>1197</v>
      </c>
      <c r="H232" s="421">
        <v>1</v>
      </c>
      <c r="I232" s="421">
        <v>133</v>
      </c>
      <c r="J232" s="421">
        <v>6</v>
      </c>
      <c r="K232" s="421">
        <v>816</v>
      </c>
      <c r="L232" s="421">
        <v>0.68170426065162903</v>
      </c>
      <c r="M232" s="421">
        <v>136</v>
      </c>
      <c r="N232" s="421">
        <v>90</v>
      </c>
      <c r="O232" s="421">
        <v>12510</v>
      </c>
      <c r="P232" s="443">
        <v>10.451127819548873</v>
      </c>
      <c r="Q232" s="422">
        <v>139</v>
      </c>
    </row>
    <row r="233" spans="1:17" ht="14.4" customHeight="1" x14ac:dyDescent="0.3">
      <c r="A233" s="417" t="s">
        <v>1139</v>
      </c>
      <c r="B233" s="418" t="s">
        <v>986</v>
      </c>
      <c r="C233" s="418" t="s">
        <v>987</v>
      </c>
      <c r="D233" s="418" t="s">
        <v>1036</v>
      </c>
      <c r="E233" s="418" t="s">
        <v>1037</v>
      </c>
      <c r="F233" s="421">
        <v>19</v>
      </c>
      <c r="G233" s="421">
        <v>1938</v>
      </c>
      <c r="H233" s="421">
        <v>1</v>
      </c>
      <c r="I233" s="421">
        <v>102</v>
      </c>
      <c r="J233" s="421">
        <v>14</v>
      </c>
      <c r="K233" s="421">
        <v>1442</v>
      </c>
      <c r="L233" s="421">
        <v>0.7440660474716202</v>
      </c>
      <c r="M233" s="421">
        <v>103</v>
      </c>
      <c r="N233" s="421">
        <v>13</v>
      </c>
      <c r="O233" s="421">
        <v>1339</v>
      </c>
      <c r="P233" s="443">
        <v>0.69091847265221873</v>
      </c>
      <c r="Q233" s="422">
        <v>103</v>
      </c>
    </row>
    <row r="234" spans="1:17" ht="14.4" customHeight="1" x14ac:dyDescent="0.3">
      <c r="A234" s="417" t="s">
        <v>1139</v>
      </c>
      <c r="B234" s="418" t="s">
        <v>986</v>
      </c>
      <c r="C234" s="418" t="s">
        <v>987</v>
      </c>
      <c r="D234" s="418" t="s">
        <v>1040</v>
      </c>
      <c r="E234" s="418" t="s">
        <v>1041</v>
      </c>
      <c r="F234" s="421">
        <v>361</v>
      </c>
      <c r="G234" s="421">
        <v>40793</v>
      </c>
      <c r="H234" s="421">
        <v>1</v>
      </c>
      <c r="I234" s="421">
        <v>113</v>
      </c>
      <c r="J234" s="421">
        <v>356</v>
      </c>
      <c r="K234" s="421">
        <v>41296</v>
      </c>
      <c r="L234" s="421">
        <v>1.0123305469075576</v>
      </c>
      <c r="M234" s="421">
        <v>116</v>
      </c>
      <c r="N234" s="421">
        <v>365</v>
      </c>
      <c r="O234" s="421">
        <v>42705</v>
      </c>
      <c r="P234" s="443">
        <v>1.046870786654573</v>
      </c>
      <c r="Q234" s="422">
        <v>117</v>
      </c>
    </row>
    <row r="235" spans="1:17" ht="14.4" customHeight="1" x14ac:dyDescent="0.3">
      <c r="A235" s="417" t="s">
        <v>1139</v>
      </c>
      <c r="B235" s="418" t="s">
        <v>986</v>
      </c>
      <c r="C235" s="418" t="s">
        <v>987</v>
      </c>
      <c r="D235" s="418" t="s">
        <v>1042</v>
      </c>
      <c r="E235" s="418" t="s">
        <v>1043</v>
      </c>
      <c r="F235" s="421">
        <v>79</v>
      </c>
      <c r="G235" s="421">
        <v>6636</v>
      </c>
      <c r="H235" s="421">
        <v>1</v>
      </c>
      <c r="I235" s="421">
        <v>84</v>
      </c>
      <c r="J235" s="421">
        <v>51</v>
      </c>
      <c r="K235" s="421">
        <v>4335</v>
      </c>
      <c r="L235" s="421">
        <v>0.65325497287522605</v>
      </c>
      <c r="M235" s="421">
        <v>85</v>
      </c>
      <c r="N235" s="421">
        <v>59</v>
      </c>
      <c r="O235" s="421">
        <v>5369</v>
      </c>
      <c r="P235" s="443">
        <v>0.80907172995780585</v>
      </c>
      <c r="Q235" s="422">
        <v>91</v>
      </c>
    </row>
    <row r="236" spans="1:17" ht="14.4" customHeight="1" x14ac:dyDescent="0.3">
      <c r="A236" s="417" t="s">
        <v>1139</v>
      </c>
      <c r="B236" s="418" t="s">
        <v>986</v>
      </c>
      <c r="C236" s="418" t="s">
        <v>987</v>
      </c>
      <c r="D236" s="418" t="s">
        <v>1044</v>
      </c>
      <c r="E236" s="418" t="s">
        <v>1045</v>
      </c>
      <c r="F236" s="421">
        <v>13</v>
      </c>
      <c r="G236" s="421">
        <v>1248</v>
      </c>
      <c r="H236" s="421">
        <v>1</v>
      </c>
      <c r="I236" s="421">
        <v>96</v>
      </c>
      <c r="J236" s="421">
        <v>12</v>
      </c>
      <c r="K236" s="421">
        <v>1176</v>
      </c>
      <c r="L236" s="421">
        <v>0.94230769230769229</v>
      </c>
      <c r="M236" s="421">
        <v>98</v>
      </c>
      <c r="N236" s="421">
        <v>7</v>
      </c>
      <c r="O236" s="421">
        <v>693</v>
      </c>
      <c r="P236" s="443">
        <v>0.55528846153846156</v>
      </c>
      <c r="Q236" s="422">
        <v>99</v>
      </c>
    </row>
    <row r="237" spans="1:17" ht="14.4" customHeight="1" x14ac:dyDescent="0.3">
      <c r="A237" s="417" t="s">
        <v>1139</v>
      </c>
      <c r="B237" s="418" t="s">
        <v>986</v>
      </c>
      <c r="C237" s="418" t="s">
        <v>987</v>
      </c>
      <c r="D237" s="418" t="s">
        <v>1046</v>
      </c>
      <c r="E237" s="418" t="s">
        <v>1047</v>
      </c>
      <c r="F237" s="421">
        <v>28</v>
      </c>
      <c r="G237" s="421">
        <v>588</v>
      </c>
      <c r="H237" s="421">
        <v>1</v>
      </c>
      <c r="I237" s="421">
        <v>21</v>
      </c>
      <c r="J237" s="421">
        <v>90</v>
      </c>
      <c r="K237" s="421">
        <v>1890</v>
      </c>
      <c r="L237" s="421">
        <v>3.2142857142857144</v>
      </c>
      <c r="M237" s="421">
        <v>21</v>
      </c>
      <c r="N237" s="421">
        <v>57</v>
      </c>
      <c r="O237" s="421">
        <v>1197</v>
      </c>
      <c r="P237" s="443">
        <v>2.0357142857142856</v>
      </c>
      <c r="Q237" s="422">
        <v>21</v>
      </c>
    </row>
    <row r="238" spans="1:17" ht="14.4" customHeight="1" x14ac:dyDescent="0.3">
      <c r="A238" s="417" t="s">
        <v>1139</v>
      </c>
      <c r="B238" s="418" t="s">
        <v>986</v>
      </c>
      <c r="C238" s="418" t="s">
        <v>987</v>
      </c>
      <c r="D238" s="418" t="s">
        <v>1048</v>
      </c>
      <c r="E238" s="418" t="s">
        <v>1049</v>
      </c>
      <c r="F238" s="421">
        <v>443</v>
      </c>
      <c r="G238" s="421">
        <v>215298</v>
      </c>
      <c r="H238" s="421">
        <v>1</v>
      </c>
      <c r="I238" s="421">
        <v>486</v>
      </c>
      <c r="J238" s="421">
        <v>611</v>
      </c>
      <c r="K238" s="421">
        <v>297557</v>
      </c>
      <c r="L238" s="421">
        <v>1.3820704326096851</v>
      </c>
      <c r="M238" s="421">
        <v>487</v>
      </c>
      <c r="N238" s="421">
        <v>723</v>
      </c>
      <c r="O238" s="421">
        <v>352824</v>
      </c>
      <c r="P238" s="443">
        <v>1.6387704484017502</v>
      </c>
      <c r="Q238" s="422">
        <v>488</v>
      </c>
    </row>
    <row r="239" spans="1:17" ht="14.4" customHeight="1" x14ac:dyDescent="0.3">
      <c r="A239" s="417" t="s">
        <v>1139</v>
      </c>
      <c r="B239" s="418" t="s">
        <v>986</v>
      </c>
      <c r="C239" s="418" t="s">
        <v>987</v>
      </c>
      <c r="D239" s="418" t="s">
        <v>1056</v>
      </c>
      <c r="E239" s="418" t="s">
        <v>1057</v>
      </c>
      <c r="F239" s="421">
        <v>83</v>
      </c>
      <c r="G239" s="421">
        <v>3320</v>
      </c>
      <c r="H239" s="421">
        <v>1</v>
      </c>
      <c r="I239" s="421">
        <v>40</v>
      </c>
      <c r="J239" s="421">
        <v>136</v>
      </c>
      <c r="K239" s="421">
        <v>5576</v>
      </c>
      <c r="L239" s="421">
        <v>1.6795180722891567</v>
      </c>
      <c r="M239" s="421">
        <v>41</v>
      </c>
      <c r="N239" s="421">
        <v>110</v>
      </c>
      <c r="O239" s="421">
        <v>4510</v>
      </c>
      <c r="P239" s="443">
        <v>1.3584337349397591</v>
      </c>
      <c r="Q239" s="422">
        <v>41</v>
      </c>
    </row>
    <row r="240" spans="1:17" ht="14.4" customHeight="1" x14ac:dyDescent="0.3">
      <c r="A240" s="417" t="s">
        <v>1139</v>
      </c>
      <c r="B240" s="418" t="s">
        <v>986</v>
      </c>
      <c r="C240" s="418" t="s">
        <v>987</v>
      </c>
      <c r="D240" s="418" t="s">
        <v>1064</v>
      </c>
      <c r="E240" s="418" t="s">
        <v>1065</v>
      </c>
      <c r="F240" s="421">
        <v>1</v>
      </c>
      <c r="G240" s="421">
        <v>215</v>
      </c>
      <c r="H240" s="421">
        <v>1</v>
      </c>
      <c r="I240" s="421">
        <v>215</v>
      </c>
      <c r="J240" s="421">
        <v>2</v>
      </c>
      <c r="K240" s="421">
        <v>438</v>
      </c>
      <c r="L240" s="421">
        <v>2.0372093023255813</v>
      </c>
      <c r="M240" s="421">
        <v>219</v>
      </c>
      <c r="N240" s="421">
        <v>1</v>
      </c>
      <c r="O240" s="421">
        <v>223</v>
      </c>
      <c r="P240" s="443">
        <v>1.0372093023255815</v>
      </c>
      <c r="Q240" s="422">
        <v>223</v>
      </c>
    </row>
    <row r="241" spans="1:17" ht="14.4" customHeight="1" x14ac:dyDescent="0.3">
      <c r="A241" s="417" t="s">
        <v>1139</v>
      </c>
      <c r="B241" s="418" t="s">
        <v>986</v>
      </c>
      <c r="C241" s="418" t="s">
        <v>987</v>
      </c>
      <c r="D241" s="418" t="s">
        <v>1066</v>
      </c>
      <c r="E241" s="418" t="s">
        <v>1067</v>
      </c>
      <c r="F241" s="421">
        <v>3</v>
      </c>
      <c r="G241" s="421">
        <v>2283</v>
      </c>
      <c r="H241" s="421">
        <v>1</v>
      </c>
      <c r="I241" s="421">
        <v>761</v>
      </c>
      <c r="J241" s="421">
        <v>12</v>
      </c>
      <c r="K241" s="421">
        <v>9144</v>
      </c>
      <c r="L241" s="421">
        <v>4.005256241787122</v>
      </c>
      <c r="M241" s="421">
        <v>762</v>
      </c>
      <c r="N241" s="421">
        <v>9</v>
      </c>
      <c r="O241" s="421">
        <v>6867</v>
      </c>
      <c r="P241" s="443">
        <v>3.0078843626806835</v>
      </c>
      <c r="Q241" s="422">
        <v>763</v>
      </c>
    </row>
    <row r="242" spans="1:17" ht="14.4" customHeight="1" x14ac:dyDescent="0.3">
      <c r="A242" s="417" t="s">
        <v>1139</v>
      </c>
      <c r="B242" s="418" t="s">
        <v>986</v>
      </c>
      <c r="C242" s="418" t="s">
        <v>987</v>
      </c>
      <c r="D242" s="418" t="s">
        <v>1068</v>
      </c>
      <c r="E242" s="418" t="s">
        <v>1069</v>
      </c>
      <c r="F242" s="421">
        <v>10</v>
      </c>
      <c r="G242" s="421">
        <v>20290</v>
      </c>
      <c r="H242" s="421">
        <v>1</v>
      </c>
      <c r="I242" s="421">
        <v>2029</v>
      </c>
      <c r="J242" s="421">
        <v>6</v>
      </c>
      <c r="K242" s="421">
        <v>12432</v>
      </c>
      <c r="L242" s="421">
        <v>0.61271562345983244</v>
      </c>
      <c r="M242" s="421">
        <v>2072</v>
      </c>
      <c r="N242" s="421">
        <v>6</v>
      </c>
      <c r="O242" s="421">
        <v>12672</v>
      </c>
      <c r="P242" s="443">
        <v>0.62454411039921143</v>
      </c>
      <c r="Q242" s="422">
        <v>2112</v>
      </c>
    </row>
    <row r="243" spans="1:17" ht="14.4" customHeight="1" x14ac:dyDescent="0.3">
      <c r="A243" s="417" t="s">
        <v>1139</v>
      </c>
      <c r="B243" s="418" t="s">
        <v>986</v>
      </c>
      <c r="C243" s="418" t="s">
        <v>987</v>
      </c>
      <c r="D243" s="418" t="s">
        <v>1070</v>
      </c>
      <c r="E243" s="418" t="s">
        <v>1071</v>
      </c>
      <c r="F243" s="421">
        <v>27</v>
      </c>
      <c r="G243" s="421">
        <v>16308</v>
      </c>
      <c r="H243" s="421">
        <v>1</v>
      </c>
      <c r="I243" s="421">
        <v>604</v>
      </c>
      <c r="J243" s="421">
        <v>24</v>
      </c>
      <c r="K243" s="421">
        <v>14592</v>
      </c>
      <c r="L243" s="421">
        <v>0.89477557027225907</v>
      </c>
      <c r="M243" s="421">
        <v>608</v>
      </c>
      <c r="N243" s="421">
        <v>33</v>
      </c>
      <c r="O243" s="421">
        <v>20262</v>
      </c>
      <c r="P243" s="443">
        <v>1.242457689477557</v>
      </c>
      <c r="Q243" s="422">
        <v>614</v>
      </c>
    </row>
    <row r="244" spans="1:17" ht="14.4" customHeight="1" x14ac:dyDescent="0.3">
      <c r="A244" s="417" t="s">
        <v>1139</v>
      </c>
      <c r="B244" s="418" t="s">
        <v>986</v>
      </c>
      <c r="C244" s="418" t="s">
        <v>987</v>
      </c>
      <c r="D244" s="418" t="s">
        <v>1072</v>
      </c>
      <c r="E244" s="418" t="s">
        <v>1073</v>
      </c>
      <c r="F244" s="421"/>
      <c r="G244" s="421"/>
      <c r="H244" s="421"/>
      <c r="I244" s="421"/>
      <c r="J244" s="421"/>
      <c r="K244" s="421"/>
      <c r="L244" s="421"/>
      <c r="M244" s="421"/>
      <c r="N244" s="421">
        <v>2</v>
      </c>
      <c r="O244" s="421">
        <v>1926</v>
      </c>
      <c r="P244" s="443"/>
      <c r="Q244" s="422">
        <v>963</v>
      </c>
    </row>
    <row r="245" spans="1:17" ht="14.4" customHeight="1" x14ac:dyDescent="0.3">
      <c r="A245" s="417" t="s">
        <v>1139</v>
      </c>
      <c r="B245" s="418" t="s">
        <v>986</v>
      </c>
      <c r="C245" s="418" t="s">
        <v>987</v>
      </c>
      <c r="D245" s="418" t="s">
        <v>1074</v>
      </c>
      <c r="E245" s="418" t="s">
        <v>1075</v>
      </c>
      <c r="F245" s="421">
        <v>3</v>
      </c>
      <c r="G245" s="421">
        <v>1518</v>
      </c>
      <c r="H245" s="421">
        <v>1</v>
      </c>
      <c r="I245" s="421">
        <v>506</v>
      </c>
      <c r="J245" s="421"/>
      <c r="K245" s="421"/>
      <c r="L245" s="421"/>
      <c r="M245" s="421"/>
      <c r="N245" s="421"/>
      <c r="O245" s="421"/>
      <c r="P245" s="443"/>
      <c r="Q245" s="422"/>
    </row>
    <row r="246" spans="1:17" ht="14.4" customHeight="1" x14ac:dyDescent="0.3">
      <c r="A246" s="417" t="s">
        <v>1139</v>
      </c>
      <c r="B246" s="418" t="s">
        <v>986</v>
      </c>
      <c r="C246" s="418" t="s">
        <v>987</v>
      </c>
      <c r="D246" s="418" t="s">
        <v>1076</v>
      </c>
      <c r="E246" s="418" t="s">
        <v>1077</v>
      </c>
      <c r="F246" s="421">
        <v>2</v>
      </c>
      <c r="G246" s="421">
        <v>3410</v>
      </c>
      <c r="H246" s="421">
        <v>1</v>
      </c>
      <c r="I246" s="421">
        <v>1705</v>
      </c>
      <c r="J246" s="421">
        <v>2</v>
      </c>
      <c r="K246" s="421">
        <v>3484</v>
      </c>
      <c r="L246" s="421">
        <v>1.0217008797653959</v>
      </c>
      <c r="M246" s="421">
        <v>1742</v>
      </c>
      <c r="N246" s="421"/>
      <c r="O246" s="421"/>
      <c r="P246" s="443"/>
      <c r="Q246" s="422"/>
    </row>
    <row r="247" spans="1:17" ht="14.4" customHeight="1" x14ac:dyDescent="0.3">
      <c r="A247" s="417" t="s">
        <v>1139</v>
      </c>
      <c r="B247" s="418" t="s">
        <v>986</v>
      </c>
      <c r="C247" s="418" t="s">
        <v>987</v>
      </c>
      <c r="D247" s="418" t="s">
        <v>1082</v>
      </c>
      <c r="E247" s="418" t="s">
        <v>1083</v>
      </c>
      <c r="F247" s="421">
        <v>2</v>
      </c>
      <c r="G247" s="421">
        <v>490</v>
      </c>
      <c r="H247" s="421">
        <v>1</v>
      </c>
      <c r="I247" s="421">
        <v>245</v>
      </c>
      <c r="J247" s="421"/>
      <c r="K247" s="421"/>
      <c r="L247" s="421"/>
      <c r="M247" s="421"/>
      <c r="N247" s="421"/>
      <c r="O247" s="421"/>
      <c r="P247" s="443"/>
      <c r="Q247" s="422"/>
    </row>
    <row r="248" spans="1:17" ht="14.4" customHeight="1" x14ac:dyDescent="0.3">
      <c r="A248" s="417" t="s">
        <v>1139</v>
      </c>
      <c r="B248" s="418" t="s">
        <v>986</v>
      </c>
      <c r="C248" s="418" t="s">
        <v>987</v>
      </c>
      <c r="D248" s="418" t="s">
        <v>1088</v>
      </c>
      <c r="E248" s="418" t="s">
        <v>1089</v>
      </c>
      <c r="F248" s="421">
        <v>170</v>
      </c>
      <c r="G248" s="421">
        <v>25840</v>
      </c>
      <c r="H248" s="421">
        <v>1</v>
      </c>
      <c r="I248" s="421">
        <v>152</v>
      </c>
      <c r="J248" s="421">
        <v>120</v>
      </c>
      <c r="K248" s="421">
        <v>18240</v>
      </c>
      <c r="L248" s="421">
        <v>0.70588235294117652</v>
      </c>
      <c r="M248" s="421">
        <v>152</v>
      </c>
      <c r="N248" s="421"/>
      <c r="O248" s="421"/>
      <c r="P248" s="443"/>
      <c r="Q248" s="422"/>
    </row>
    <row r="249" spans="1:17" ht="14.4" customHeight="1" x14ac:dyDescent="0.3">
      <c r="A249" s="417" t="s">
        <v>1139</v>
      </c>
      <c r="B249" s="418" t="s">
        <v>986</v>
      </c>
      <c r="C249" s="418" t="s">
        <v>987</v>
      </c>
      <c r="D249" s="418" t="s">
        <v>1090</v>
      </c>
      <c r="E249" s="418" t="s">
        <v>1091</v>
      </c>
      <c r="F249" s="421">
        <v>21</v>
      </c>
      <c r="G249" s="421">
        <v>567</v>
      </c>
      <c r="H249" s="421">
        <v>1</v>
      </c>
      <c r="I249" s="421">
        <v>27</v>
      </c>
      <c r="J249" s="421">
        <v>28</v>
      </c>
      <c r="K249" s="421">
        <v>756</v>
      </c>
      <c r="L249" s="421">
        <v>1.3333333333333333</v>
      </c>
      <c r="M249" s="421">
        <v>27</v>
      </c>
      <c r="N249" s="421">
        <v>20</v>
      </c>
      <c r="O249" s="421">
        <v>540</v>
      </c>
      <c r="P249" s="443">
        <v>0.95238095238095233</v>
      </c>
      <c r="Q249" s="422">
        <v>27</v>
      </c>
    </row>
    <row r="250" spans="1:17" ht="14.4" customHeight="1" x14ac:dyDescent="0.3">
      <c r="A250" s="417" t="s">
        <v>1140</v>
      </c>
      <c r="B250" s="418" t="s">
        <v>986</v>
      </c>
      <c r="C250" s="418" t="s">
        <v>987</v>
      </c>
      <c r="D250" s="418" t="s">
        <v>988</v>
      </c>
      <c r="E250" s="418" t="s">
        <v>989</v>
      </c>
      <c r="F250" s="421">
        <v>506</v>
      </c>
      <c r="G250" s="421">
        <v>80454</v>
      </c>
      <c r="H250" s="421">
        <v>1</v>
      </c>
      <c r="I250" s="421">
        <v>159</v>
      </c>
      <c r="J250" s="421">
        <v>480</v>
      </c>
      <c r="K250" s="421">
        <v>77280</v>
      </c>
      <c r="L250" s="421">
        <v>0.96054888507718694</v>
      </c>
      <c r="M250" s="421">
        <v>161</v>
      </c>
      <c r="N250" s="421">
        <v>509</v>
      </c>
      <c r="O250" s="421">
        <v>88057</v>
      </c>
      <c r="P250" s="443">
        <v>1.0945012056578916</v>
      </c>
      <c r="Q250" s="422">
        <v>173</v>
      </c>
    </row>
    <row r="251" spans="1:17" ht="14.4" customHeight="1" x14ac:dyDescent="0.3">
      <c r="A251" s="417" t="s">
        <v>1140</v>
      </c>
      <c r="B251" s="418" t="s">
        <v>986</v>
      </c>
      <c r="C251" s="418" t="s">
        <v>987</v>
      </c>
      <c r="D251" s="418" t="s">
        <v>1002</v>
      </c>
      <c r="E251" s="418" t="s">
        <v>1003</v>
      </c>
      <c r="F251" s="421">
        <v>6</v>
      </c>
      <c r="G251" s="421">
        <v>6990</v>
      </c>
      <c r="H251" s="421">
        <v>1</v>
      </c>
      <c r="I251" s="421">
        <v>1165</v>
      </c>
      <c r="J251" s="421"/>
      <c r="K251" s="421"/>
      <c r="L251" s="421"/>
      <c r="M251" s="421"/>
      <c r="N251" s="421">
        <v>1</v>
      </c>
      <c r="O251" s="421">
        <v>1173</v>
      </c>
      <c r="P251" s="443">
        <v>0.16781115879828326</v>
      </c>
      <c r="Q251" s="422">
        <v>1173</v>
      </c>
    </row>
    <row r="252" spans="1:17" ht="14.4" customHeight="1" x14ac:dyDescent="0.3">
      <c r="A252" s="417" t="s">
        <v>1140</v>
      </c>
      <c r="B252" s="418" t="s">
        <v>986</v>
      </c>
      <c r="C252" s="418" t="s">
        <v>987</v>
      </c>
      <c r="D252" s="418" t="s">
        <v>1004</v>
      </c>
      <c r="E252" s="418" t="s">
        <v>1005</v>
      </c>
      <c r="F252" s="421">
        <v>20</v>
      </c>
      <c r="G252" s="421">
        <v>780</v>
      </c>
      <c r="H252" s="421">
        <v>1</v>
      </c>
      <c r="I252" s="421">
        <v>39</v>
      </c>
      <c r="J252" s="421">
        <v>11</v>
      </c>
      <c r="K252" s="421">
        <v>440</v>
      </c>
      <c r="L252" s="421">
        <v>0.5641025641025641</v>
      </c>
      <c r="M252" s="421">
        <v>40</v>
      </c>
      <c r="N252" s="421">
        <v>21</v>
      </c>
      <c r="O252" s="421">
        <v>861</v>
      </c>
      <c r="P252" s="443">
        <v>1.1038461538461539</v>
      </c>
      <c r="Q252" s="422">
        <v>41</v>
      </c>
    </row>
    <row r="253" spans="1:17" ht="14.4" customHeight="1" x14ac:dyDescent="0.3">
      <c r="A253" s="417" t="s">
        <v>1140</v>
      </c>
      <c r="B253" s="418" t="s">
        <v>986</v>
      </c>
      <c r="C253" s="418" t="s">
        <v>987</v>
      </c>
      <c r="D253" s="418" t="s">
        <v>1006</v>
      </c>
      <c r="E253" s="418" t="s">
        <v>1007</v>
      </c>
      <c r="F253" s="421"/>
      <c r="G253" s="421"/>
      <c r="H253" s="421"/>
      <c r="I253" s="421"/>
      <c r="J253" s="421">
        <v>3</v>
      </c>
      <c r="K253" s="421">
        <v>1149</v>
      </c>
      <c r="L253" s="421"/>
      <c r="M253" s="421">
        <v>383</v>
      </c>
      <c r="N253" s="421">
        <v>1</v>
      </c>
      <c r="O253" s="421">
        <v>384</v>
      </c>
      <c r="P253" s="443"/>
      <c r="Q253" s="422">
        <v>384</v>
      </c>
    </row>
    <row r="254" spans="1:17" ht="14.4" customHeight="1" x14ac:dyDescent="0.3">
      <c r="A254" s="417" t="s">
        <v>1140</v>
      </c>
      <c r="B254" s="418" t="s">
        <v>986</v>
      </c>
      <c r="C254" s="418" t="s">
        <v>987</v>
      </c>
      <c r="D254" s="418" t="s">
        <v>1008</v>
      </c>
      <c r="E254" s="418" t="s">
        <v>1009</v>
      </c>
      <c r="F254" s="421">
        <v>18</v>
      </c>
      <c r="G254" s="421">
        <v>666</v>
      </c>
      <c r="H254" s="421">
        <v>1</v>
      </c>
      <c r="I254" s="421">
        <v>37</v>
      </c>
      <c r="J254" s="421">
        <v>12</v>
      </c>
      <c r="K254" s="421">
        <v>444</v>
      </c>
      <c r="L254" s="421">
        <v>0.66666666666666663</v>
      </c>
      <c r="M254" s="421">
        <v>37</v>
      </c>
      <c r="N254" s="421">
        <v>12</v>
      </c>
      <c r="O254" s="421">
        <v>444</v>
      </c>
      <c r="P254" s="443">
        <v>0.66666666666666663</v>
      </c>
      <c r="Q254" s="422">
        <v>37</v>
      </c>
    </row>
    <row r="255" spans="1:17" ht="14.4" customHeight="1" x14ac:dyDescent="0.3">
      <c r="A255" s="417" t="s">
        <v>1140</v>
      </c>
      <c r="B255" s="418" t="s">
        <v>986</v>
      </c>
      <c r="C255" s="418" t="s">
        <v>987</v>
      </c>
      <c r="D255" s="418" t="s">
        <v>1012</v>
      </c>
      <c r="E255" s="418" t="s">
        <v>1013</v>
      </c>
      <c r="F255" s="421"/>
      <c r="G255" s="421"/>
      <c r="H255" s="421"/>
      <c r="I255" s="421"/>
      <c r="J255" s="421"/>
      <c r="K255" s="421"/>
      <c r="L255" s="421"/>
      <c r="M255" s="421"/>
      <c r="N255" s="421">
        <v>3</v>
      </c>
      <c r="O255" s="421">
        <v>1338</v>
      </c>
      <c r="P255" s="443"/>
      <c r="Q255" s="422">
        <v>446</v>
      </c>
    </row>
    <row r="256" spans="1:17" ht="14.4" customHeight="1" x14ac:dyDescent="0.3">
      <c r="A256" s="417" t="s">
        <v>1140</v>
      </c>
      <c r="B256" s="418" t="s">
        <v>986</v>
      </c>
      <c r="C256" s="418" t="s">
        <v>987</v>
      </c>
      <c r="D256" s="418" t="s">
        <v>1014</v>
      </c>
      <c r="E256" s="418" t="s">
        <v>1015</v>
      </c>
      <c r="F256" s="421">
        <v>1</v>
      </c>
      <c r="G256" s="421">
        <v>41</v>
      </c>
      <c r="H256" s="421">
        <v>1</v>
      </c>
      <c r="I256" s="421">
        <v>41</v>
      </c>
      <c r="J256" s="421">
        <v>1</v>
      </c>
      <c r="K256" s="421">
        <v>41</v>
      </c>
      <c r="L256" s="421">
        <v>1</v>
      </c>
      <c r="M256" s="421">
        <v>41</v>
      </c>
      <c r="N256" s="421"/>
      <c r="O256" s="421"/>
      <c r="P256" s="443"/>
      <c r="Q256" s="422"/>
    </row>
    <row r="257" spans="1:17" ht="14.4" customHeight="1" x14ac:dyDescent="0.3">
      <c r="A257" s="417" t="s">
        <v>1140</v>
      </c>
      <c r="B257" s="418" t="s">
        <v>986</v>
      </c>
      <c r="C257" s="418" t="s">
        <v>987</v>
      </c>
      <c r="D257" s="418" t="s">
        <v>1016</v>
      </c>
      <c r="E257" s="418" t="s">
        <v>1017</v>
      </c>
      <c r="F257" s="421">
        <v>1</v>
      </c>
      <c r="G257" s="421">
        <v>490</v>
      </c>
      <c r="H257" s="421">
        <v>1</v>
      </c>
      <c r="I257" s="421">
        <v>490</v>
      </c>
      <c r="J257" s="421">
        <v>3</v>
      </c>
      <c r="K257" s="421">
        <v>1473</v>
      </c>
      <c r="L257" s="421">
        <v>3.0061224489795917</v>
      </c>
      <c r="M257" s="421">
        <v>491</v>
      </c>
      <c r="N257" s="421"/>
      <c r="O257" s="421"/>
      <c r="P257" s="443"/>
      <c r="Q257" s="422"/>
    </row>
    <row r="258" spans="1:17" ht="14.4" customHeight="1" x14ac:dyDescent="0.3">
      <c r="A258" s="417" t="s">
        <v>1140</v>
      </c>
      <c r="B258" s="418" t="s">
        <v>986</v>
      </c>
      <c r="C258" s="418" t="s">
        <v>987</v>
      </c>
      <c r="D258" s="418" t="s">
        <v>1018</v>
      </c>
      <c r="E258" s="418" t="s">
        <v>1019</v>
      </c>
      <c r="F258" s="421">
        <v>5</v>
      </c>
      <c r="G258" s="421">
        <v>155</v>
      </c>
      <c r="H258" s="421">
        <v>1</v>
      </c>
      <c r="I258" s="421">
        <v>31</v>
      </c>
      <c r="J258" s="421">
        <v>4</v>
      </c>
      <c r="K258" s="421">
        <v>124</v>
      </c>
      <c r="L258" s="421">
        <v>0.8</v>
      </c>
      <c r="M258" s="421">
        <v>31</v>
      </c>
      <c r="N258" s="421">
        <v>5</v>
      </c>
      <c r="O258" s="421">
        <v>155</v>
      </c>
      <c r="P258" s="443">
        <v>1</v>
      </c>
      <c r="Q258" s="422">
        <v>31</v>
      </c>
    </row>
    <row r="259" spans="1:17" ht="14.4" customHeight="1" x14ac:dyDescent="0.3">
      <c r="A259" s="417" t="s">
        <v>1140</v>
      </c>
      <c r="B259" s="418" t="s">
        <v>986</v>
      </c>
      <c r="C259" s="418" t="s">
        <v>987</v>
      </c>
      <c r="D259" s="418" t="s">
        <v>1020</v>
      </c>
      <c r="E259" s="418" t="s">
        <v>1021</v>
      </c>
      <c r="F259" s="421">
        <v>15</v>
      </c>
      <c r="G259" s="421">
        <v>3075</v>
      </c>
      <c r="H259" s="421">
        <v>1</v>
      </c>
      <c r="I259" s="421">
        <v>205</v>
      </c>
      <c r="J259" s="421"/>
      <c r="K259" s="421"/>
      <c r="L259" s="421"/>
      <c r="M259" s="421"/>
      <c r="N259" s="421">
        <v>16</v>
      </c>
      <c r="O259" s="421">
        <v>3328</v>
      </c>
      <c r="P259" s="443">
        <v>1.0822764227642276</v>
      </c>
      <c r="Q259" s="422">
        <v>208</v>
      </c>
    </row>
    <row r="260" spans="1:17" ht="14.4" customHeight="1" x14ac:dyDescent="0.3">
      <c r="A260" s="417" t="s">
        <v>1140</v>
      </c>
      <c r="B260" s="418" t="s">
        <v>986</v>
      </c>
      <c r="C260" s="418" t="s">
        <v>987</v>
      </c>
      <c r="D260" s="418" t="s">
        <v>1022</v>
      </c>
      <c r="E260" s="418" t="s">
        <v>1023</v>
      </c>
      <c r="F260" s="421">
        <v>17</v>
      </c>
      <c r="G260" s="421">
        <v>6409</v>
      </c>
      <c r="H260" s="421">
        <v>1</v>
      </c>
      <c r="I260" s="421">
        <v>377</v>
      </c>
      <c r="J260" s="421"/>
      <c r="K260" s="421"/>
      <c r="L260" s="421"/>
      <c r="M260" s="421"/>
      <c r="N260" s="421">
        <v>16</v>
      </c>
      <c r="O260" s="421">
        <v>6144</v>
      </c>
      <c r="P260" s="443">
        <v>0.95865189577157128</v>
      </c>
      <c r="Q260" s="422">
        <v>384</v>
      </c>
    </row>
    <row r="261" spans="1:17" ht="14.4" customHeight="1" x14ac:dyDescent="0.3">
      <c r="A261" s="417" t="s">
        <v>1140</v>
      </c>
      <c r="B261" s="418" t="s">
        <v>986</v>
      </c>
      <c r="C261" s="418" t="s">
        <v>987</v>
      </c>
      <c r="D261" s="418" t="s">
        <v>1032</v>
      </c>
      <c r="E261" s="418" t="s">
        <v>1033</v>
      </c>
      <c r="F261" s="421">
        <v>17</v>
      </c>
      <c r="G261" s="421">
        <v>272</v>
      </c>
      <c r="H261" s="421">
        <v>1</v>
      </c>
      <c r="I261" s="421">
        <v>16</v>
      </c>
      <c r="J261" s="421">
        <v>15</v>
      </c>
      <c r="K261" s="421">
        <v>240</v>
      </c>
      <c r="L261" s="421">
        <v>0.88235294117647056</v>
      </c>
      <c r="M261" s="421">
        <v>16</v>
      </c>
      <c r="N261" s="421">
        <v>18</v>
      </c>
      <c r="O261" s="421">
        <v>306</v>
      </c>
      <c r="P261" s="443">
        <v>1.125</v>
      </c>
      <c r="Q261" s="422">
        <v>17</v>
      </c>
    </row>
    <row r="262" spans="1:17" ht="14.4" customHeight="1" x14ac:dyDescent="0.3">
      <c r="A262" s="417" t="s">
        <v>1140</v>
      </c>
      <c r="B262" s="418" t="s">
        <v>986</v>
      </c>
      <c r="C262" s="418" t="s">
        <v>987</v>
      </c>
      <c r="D262" s="418" t="s">
        <v>1034</v>
      </c>
      <c r="E262" s="418" t="s">
        <v>1035</v>
      </c>
      <c r="F262" s="421"/>
      <c r="G262" s="421"/>
      <c r="H262" s="421"/>
      <c r="I262" s="421"/>
      <c r="J262" s="421"/>
      <c r="K262" s="421"/>
      <c r="L262" s="421"/>
      <c r="M262" s="421"/>
      <c r="N262" s="421">
        <v>2</v>
      </c>
      <c r="O262" s="421">
        <v>278</v>
      </c>
      <c r="P262" s="443"/>
      <c r="Q262" s="422">
        <v>139</v>
      </c>
    </row>
    <row r="263" spans="1:17" ht="14.4" customHeight="1" x14ac:dyDescent="0.3">
      <c r="A263" s="417" t="s">
        <v>1140</v>
      </c>
      <c r="B263" s="418" t="s">
        <v>986</v>
      </c>
      <c r="C263" s="418" t="s">
        <v>987</v>
      </c>
      <c r="D263" s="418" t="s">
        <v>1036</v>
      </c>
      <c r="E263" s="418" t="s">
        <v>1037</v>
      </c>
      <c r="F263" s="421"/>
      <c r="G263" s="421"/>
      <c r="H263" s="421"/>
      <c r="I263" s="421"/>
      <c r="J263" s="421">
        <v>3</v>
      </c>
      <c r="K263" s="421">
        <v>309</v>
      </c>
      <c r="L263" s="421"/>
      <c r="M263" s="421">
        <v>103</v>
      </c>
      <c r="N263" s="421"/>
      <c r="O263" s="421"/>
      <c r="P263" s="443"/>
      <c r="Q263" s="422"/>
    </row>
    <row r="264" spans="1:17" ht="14.4" customHeight="1" x14ac:dyDescent="0.3">
      <c r="A264" s="417" t="s">
        <v>1140</v>
      </c>
      <c r="B264" s="418" t="s">
        <v>986</v>
      </c>
      <c r="C264" s="418" t="s">
        <v>987</v>
      </c>
      <c r="D264" s="418" t="s">
        <v>1040</v>
      </c>
      <c r="E264" s="418" t="s">
        <v>1041</v>
      </c>
      <c r="F264" s="421">
        <v>47</v>
      </c>
      <c r="G264" s="421">
        <v>5311</v>
      </c>
      <c r="H264" s="421">
        <v>1</v>
      </c>
      <c r="I264" s="421">
        <v>113</v>
      </c>
      <c r="J264" s="421">
        <v>39</v>
      </c>
      <c r="K264" s="421">
        <v>4524</v>
      </c>
      <c r="L264" s="421">
        <v>0.85181698361890412</v>
      </c>
      <c r="M264" s="421">
        <v>116</v>
      </c>
      <c r="N264" s="421">
        <v>50</v>
      </c>
      <c r="O264" s="421">
        <v>5850</v>
      </c>
      <c r="P264" s="443">
        <v>1.1014874788175484</v>
      </c>
      <c r="Q264" s="422">
        <v>117</v>
      </c>
    </row>
    <row r="265" spans="1:17" ht="14.4" customHeight="1" x14ac:dyDescent="0.3">
      <c r="A265" s="417" t="s">
        <v>1140</v>
      </c>
      <c r="B265" s="418" t="s">
        <v>986</v>
      </c>
      <c r="C265" s="418" t="s">
        <v>987</v>
      </c>
      <c r="D265" s="418" t="s">
        <v>1042</v>
      </c>
      <c r="E265" s="418" t="s">
        <v>1043</v>
      </c>
      <c r="F265" s="421">
        <v>40</v>
      </c>
      <c r="G265" s="421">
        <v>3360</v>
      </c>
      <c r="H265" s="421">
        <v>1</v>
      </c>
      <c r="I265" s="421">
        <v>84</v>
      </c>
      <c r="J265" s="421">
        <v>50</v>
      </c>
      <c r="K265" s="421">
        <v>4250</v>
      </c>
      <c r="L265" s="421">
        <v>1.2648809523809523</v>
      </c>
      <c r="M265" s="421">
        <v>85</v>
      </c>
      <c r="N265" s="421">
        <v>26</v>
      </c>
      <c r="O265" s="421">
        <v>2366</v>
      </c>
      <c r="P265" s="443">
        <v>0.70416666666666672</v>
      </c>
      <c r="Q265" s="422">
        <v>91</v>
      </c>
    </row>
    <row r="266" spans="1:17" ht="14.4" customHeight="1" x14ac:dyDescent="0.3">
      <c r="A266" s="417" t="s">
        <v>1140</v>
      </c>
      <c r="B266" s="418" t="s">
        <v>986</v>
      </c>
      <c r="C266" s="418" t="s">
        <v>987</v>
      </c>
      <c r="D266" s="418" t="s">
        <v>1044</v>
      </c>
      <c r="E266" s="418" t="s">
        <v>1045</v>
      </c>
      <c r="F266" s="421">
        <v>1</v>
      </c>
      <c r="G266" s="421">
        <v>96</v>
      </c>
      <c r="H266" s="421">
        <v>1</v>
      </c>
      <c r="I266" s="421">
        <v>96</v>
      </c>
      <c r="J266" s="421"/>
      <c r="K266" s="421"/>
      <c r="L266" s="421"/>
      <c r="M266" s="421"/>
      <c r="N266" s="421"/>
      <c r="O266" s="421"/>
      <c r="P266" s="443"/>
      <c r="Q266" s="422"/>
    </row>
    <row r="267" spans="1:17" ht="14.4" customHeight="1" x14ac:dyDescent="0.3">
      <c r="A267" s="417" t="s">
        <v>1140</v>
      </c>
      <c r="B267" s="418" t="s">
        <v>986</v>
      </c>
      <c r="C267" s="418" t="s">
        <v>987</v>
      </c>
      <c r="D267" s="418" t="s">
        <v>1046</v>
      </c>
      <c r="E267" s="418" t="s">
        <v>1047</v>
      </c>
      <c r="F267" s="421">
        <v>3</v>
      </c>
      <c r="G267" s="421">
        <v>63</v>
      </c>
      <c r="H267" s="421">
        <v>1</v>
      </c>
      <c r="I267" s="421">
        <v>21</v>
      </c>
      <c r="J267" s="421">
        <v>6</v>
      </c>
      <c r="K267" s="421">
        <v>126</v>
      </c>
      <c r="L267" s="421">
        <v>2</v>
      </c>
      <c r="M267" s="421">
        <v>21</v>
      </c>
      <c r="N267" s="421">
        <v>6</v>
      </c>
      <c r="O267" s="421">
        <v>126</v>
      </c>
      <c r="P267" s="443">
        <v>2</v>
      </c>
      <c r="Q267" s="422">
        <v>21</v>
      </c>
    </row>
    <row r="268" spans="1:17" ht="14.4" customHeight="1" x14ac:dyDescent="0.3">
      <c r="A268" s="417" t="s">
        <v>1140</v>
      </c>
      <c r="B268" s="418" t="s">
        <v>986</v>
      </c>
      <c r="C268" s="418" t="s">
        <v>987</v>
      </c>
      <c r="D268" s="418" t="s">
        <v>1048</v>
      </c>
      <c r="E268" s="418" t="s">
        <v>1049</v>
      </c>
      <c r="F268" s="421">
        <v>20</v>
      </c>
      <c r="G268" s="421">
        <v>9720</v>
      </c>
      <c r="H268" s="421">
        <v>1</v>
      </c>
      <c r="I268" s="421">
        <v>486</v>
      </c>
      <c r="J268" s="421">
        <v>7</v>
      </c>
      <c r="K268" s="421">
        <v>3409</v>
      </c>
      <c r="L268" s="421">
        <v>0.35072016460905348</v>
      </c>
      <c r="M268" s="421">
        <v>487</v>
      </c>
      <c r="N268" s="421">
        <v>20</v>
      </c>
      <c r="O268" s="421">
        <v>9760</v>
      </c>
      <c r="P268" s="443">
        <v>1.0041152263374487</v>
      </c>
      <c r="Q268" s="422">
        <v>488</v>
      </c>
    </row>
    <row r="269" spans="1:17" ht="14.4" customHeight="1" x14ac:dyDescent="0.3">
      <c r="A269" s="417" t="s">
        <v>1140</v>
      </c>
      <c r="B269" s="418" t="s">
        <v>986</v>
      </c>
      <c r="C269" s="418" t="s">
        <v>987</v>
      </c>
      <c r="D269" s="418" t="s">
        <v>1056</v>
      </c>
      <c r="E269" s="418" t="s">
        <v>1057</v>
      </c>
      <c r="F269" s="421">
        <v>14</v>
      </c>
      <c r="G269" s="421">
        <v>560</v>
      </c>
      <c r="H269" s="421">
        <v>1</v>
      </c>
      <c r="I269" s="421">
        <v>40</v>
      </c>
      <c r="J269" s="421">
        <v>9</v>
      </c>
      <c r="K269" s="421">
        <v>369</v>
      </c>
      <c r="L269" s="421">
        <v>0.65892857142857142</v>
      </c>
      <c r="M269" s="421">
        <v>41</v>
      </c>
      <c r="N269" s="421">
        <v>11</v>
      </c>
      <c r="O269" s="421">
        <v>451</v>
      </c>
      <c r="P269" s="443">
        <v>0.80535714285714288</v>
      </c>
      <c r="Q269" s="422">
        <v>41</v>
      </c>
    </row>
    <row r="270" spans="1:17" ht="14.4" customHeight="1" x14ac:dyDescent="0.3">
      <c r="A270" s="417" t="s">
        <v>1140</v>
      </c>
      <c r="B270" s="418" t="s">
        <v>986</v>
      </c>
      <c r="C270" s="418" t="s">
        <v>987</v>
      </c>
      <c r="D270" s="418" t="s">
        <v>1068</v>
      </c>
      <c r="E270" s="418" t="s">
        <v>1069</v>
      </c>
      <c r="F270" s="421">
        <v>2</v>
      </c>
      <c r="G270" s="421">
        <v>4058</v>
      </c>
      <c r="H270" s="421">
        <v>1</v>
      </c>
      <c r="I270" s="421">
        <v>2029</v>
      </c>
      <c r="J270" s="421"/>
      <c r="K270" s="421"/>
      <c r="L270" s="421"/>
      <c r="M270" s="421"/>
      <c r="N270" s="421"/>
      <c r="O270" s="421"/>
      <c r="P270" s="443"/>
      <c r="Q270" s="422"/>
    </row>
    <row r="271" spans="1:17" ht="14.4" customHeight="1" x14ac:dyDescent="0.3">
      <c r="A271" s="417" t="s">
        <v>1140</v>
      </c>
      <c r="B271" s="418" t="s">
        <v>986</v>
      </c>
      <c r="C271" s="418" t="s">
        <v>987</v>
      </c>
      <c r="D271" s="418" t="s">
        <v>1070</v>
      </c>
      <c r="E271" s="418" t="s">
        <v>1071</v>
      </c>
      <c r="F271" s="421">
        <v>2</v>
      </c>
      <c r="G271" s="421">
        <v>1208</v>
      </c>
      <c r="H271" s="421">
        <v>1</v>
      </c>
      <c r="I271" s="421">
        <v>604</v>
      </c>
      <c r="J271" s="421">
        <v>1</v>
      </c>
      <c r="K271" s="421">
        <v>608</v>
      </c>
      <c r="L271" s="421">
        <v>0.50331125827814571</v>
      </c>
      <c r="M271" s="421">
        <v>608</v>
      </c>
      <c r="N271" s="421"/>
      <c r="O271" s="421"/>
      <c r="P271" s="443"/>
      <c r="Q271" s="422"/>
    </row>
    <row r="272" spans="1:17" ht="14.4" customHeight="1" x14ac:dyDescent="0.3">
      <c r="A272" s="417" t="s">
        <v>1140</v>
      </c>
      <c r="B272" s="418" t="s">
        <v>986</v>
      </c>
      <c r="C272" s="418" t="s">
        <v>987</v>
      </c>
      <c r="D272" s="418" t="s">
        <v>1141</v>
      </c>
      <c r="E272" s="418" t="s">
        <v>1142</v>
      </c>
      <c r="F272" s="421">
        <v>112</v>
      </c>
      <c r="G272" s="421">
        <v>4480</v>
      </c>
      <c r="H272" s="421">
        <v>1</v>
      </c>
      <c r="I272" s="421">
        <v>40</v>
      </c>
      <c r="J272" s="421">
        <v>56</v>
      </c>
      <c r="K272" s="421">
        <v>2296</v>
      </c>
      <c r="L272" s="421">
        <v>0.51249999999999996</v>
      </c>
      <c r="M272" s="421">
        <v>41</v>
      </c>
      <c r="N272" s="421">
        <v>120</v>
      </c>
      <c r="O272" s="421">
        <v>5040</v>
      </c>
      <c r="P272" s="443">
        <v>1.125</v>
      </c>
      <c r="Q272" s="422">
        <v>42</v>
      </c>
    </row>
    <row r="273" spans="1:17" ht="14.4" customHeight="1" x14ac:dyDescent="0.3">
      <c r="A273" s="417" t="s">
        <v>1143</v>
      </c>
      <c r="B273" s="418" t="s">
        <v>986</v>
      </c>
      <c r="C273" s="418" t="s">
        <v>987</v>
      </c>
      <c r="D273" s="418" t="s">
        <v>988</v>
      </c>
      <c r="E273" s="418" t="s">
        <v>989</v>
      </c>
      <c r="F273" s="421">
        <v>83</v>
      </c>
      <c r="G273" s="421">
        <v>13197</v>
      </c>
      <c r="H273" s="421">
        <v>1</v>
      </c>
      <c r="I273" s="421">
        <v>159</v>
      </c>
      <c r="J273" s="421">
        <v>89</v>
      </c>
      <c r="K273" s="421">
        <v>14329</v>
      </c>
      <c r="L273" s="421">
        <v>1.0857770705463363</v>
      </c>
      <c r="M273" s="421">
        <v>161</v>
      </c>
      <c r="N273" s="421">
        <v>78</v>
      </c>
      <c r="O273" s="421">
        <v>13494</v>
      </c>
      <c r="P273" s="443">
        <v>1.022505114798818</v>
      </c>
      <c r="Q273" s="422">
        <v>173</v>
      </c>
    </row>
    <row r="274" spans="1:17" ht="14.4" customHeight="1" x14ac:dyDescent="0.3">
      <c r="A274" s="417" t="s">
        <v>1143</v>
      </c>
      <c r="B274" s="418" t="s">
        <v>986</v>
      </c>
      <c r="C274" s="418" t="s">
        <v>987</v>
      </c>
      <c r="D274" s="418" t="s">
        <v>1004</v>
      </c>
      <c r="E274" s="418" t="s">
        <v>1005</v>
      </c>
      <c r="F274" s="421">
        <v>12</v>
      </c>
      <c r="G274" s="421">
        <v>468</v>
      </c>
      <c r="H274" s="421">
        <v>1</v>
      </c>
      <c r="I274" s="421">
        <v>39</v>
      </c>
      <c r="J274" s="421">
        <v>6</v>
      </c>
      <c r="K274" s="421">
        <v>240</v>
      </c>
      <c r="L274" s="421">
        <v>0.51282051282051277</v>
      </c>
      <c r="M274" s="421">
        <v>40</v>
      </c>
      <c r="N274" s="421">
        <v>11</v>
      </c>
      <c r="O274" s="421">
        <v>451</v>
      </c>
      <c r="P274" s="443">
        <v>0.96367521367521369</v>
      </c>
      <c r="Q274" s="422">
        <v>41</v>
      </c>
    </row>
    <row r="275" spans="1:17" ht="14.4" customHeight="1" x14ac:dyDescent="0.3">
      <c r="A275" s="417" t="s">
        <v>1143</v>
      </c>
      <c r="B275" s="418" t="s">
        <v>986</v>
      </c>
      <c r="C275" s="418" t="s">
        <v>987</v>
      </c>
      <c r="D275" s="418" t="s">
        <v>1006</v>
      </c>
      <c r="E275" s="418" t="s">
        <v>1007</v>
      </c>
      <c r="F275" s="421"/>
      <c r="G275" s="421"/>
      <c r="H275" s="421"/>
      <c r="I275" s="421"/>
      <c r="J275" s="421">
        <v>3</v>
      </c>
      <c r="K275" s="421">
        <v>1149</v>
      </c>
      <c r="L275" s="421"/>
      <c r="M275" s="421">
        <v>383</v>
      </c>
      <c r="N275" s="421">
        <v>2</v>
      </c>
      <c r="O275" s="421">
        <v>768</v>
      </c>
      <c r="P275" s="443"/>
      <c r="Q275" s="422">
        <v>384</v>
      </c>
    </row>
    <row r="276" spans="1:17" ht="14.4" customHeight="1" x14ac:dyDescent="0.3">
      <c r="A276" s="417" t="s">
        <v>1143</v>
      </c>
      <c r="B276" s="418" t="s">
        <v>986</v>
      </c>
      <c r="C276" s="418" t="s">
        <v>987</v>
      </c>
      <c r="D276" s="418" t="s">
        <v>1014</v>
      </c>
      <c r="E276" s="418" t="s">
        <v>1015</v>
      </c>
      <c r="F276" s="421"/>
      <c r="G276" s="421"/>
      <c r="H276" s="421"/>
      <c r="I276" s="421"/>
      <c r="J276" s="421">
        <v>1</v>
      </c>
      <c r="K276" s="421">
        <v>41</v>
      </c>
      <c r="L276" s="421"/>
      <c r="M276" s="421">
        <v>41</v>
      </c>
      <c r="N276" s="421"/>
      <c r="O276" s="421"/>
      <c r="P276" s="443"/>
      <c r="Q276" s="422"/>
    </row>
    <row r="277" spans="1:17" ht="14.4" customHeight="1" x14ac:dyDescent="0.3">
      <c r="A277" s="417" t="s">
        <v>1143</v>
      </c>
      <c r="B277" s="418" t="s">
        <v>986</v>
      </c>
      <c r="C277" s="418" t="s">
        <v>987</v>
      </c>
      <c r="D277" s="418" t="s">
        <v>1016</v>
      </c>
      <c r="E277" s="418" t="s">
        <v>1017</v>
      </c>
      <c r="F277" s="421"/>
      <c r="G277" s="421"/>
      <c r="H277" s="421"/>
      <c r="I277" s="421"/>
      <c r="J277" s="421">
        <v>1</v>
      </c>
      <c r="K277" s="421">
        <v>491</v>
      </c>
      <c r="L277" s="421"/>
      <c r="M277" s="421">
        <v>491</v>
      </c>
      <c r="N277" s="421">
        <v>1</v>
      </c>
      <c r="O277" s="421">
        <v>492</v>
      </c>
      <c r="P277" s="443"/>
      <c r="Q277" s="422">
        <v>492</v>
      </c>
    </row>
    <row r="278" spans="1:17" ht="14.4" customHeight="1" x14ac:dyDescent="0.3">
      <c r="A278" s="417" t="s">
        <v>1143</v>
      </c>
      <c r="B278" s="418" t="s">
        <v>986</v>
      </c>
      <c r="C278" s="418" t="s">
        <v>987</v>
      </c>
      <c r="D278" s="418" t="s">
        <v>1024</v>
      </c>
      <c r="E278" s="418" t="s">
        <v>1025</v>
      </c>
      <c r="F278" s="421"/>
      <c r="G278" s="421"/>
      <c r="H278" s="421"/>
      <c r="I278" s="421"/>
      <c r="J278" s="421"/>
      <c r="K278" s="421"/>
      <c r="L278" s="421"/>
      <c r="M278" s="421"/>
      <c r="N278" s="421">
        <v>1</v>
      </c>
      <c r="O278" s="421">
        <v>236</v>
      </c>
      <c r="P278" s="443"/>
      <c r="Q278" s="422">
        <v>236</v>
      </c>
    </row>
    <row r="279" spans="1:17" ht="14.4" customHeight="1" x14ac:dyDescent="0.3">
      <c r="A279" s="417" t="s">
        <v>1143</v>
      </c>
      <c r="B279" s="418" t="s">
        <v>986</v>
      </c>
      <c r="C279" s="418" t="s">
        <v>987</v>
      </c>
      <c r="D279" s="418" t="s">
        <v>1032</v>
      </c>
      <c r="E279" s="418" t="s">
        <v>1033</v>
      </c>
      <c r="F279" s="421"/>
      <c r="G279" s="421"/>
      <c r="H279" s="421"/>
      <c r="I279" s="421"/>
      <c r="J279" s="421">
        <v>7</v>
      </c>
      <c r="K279" s="421">
        <v>112</v>
      </c>
      <c r="L279" s="421"/>
      <c r="M279" s="421">
        <v>16</v>
      </c>
      <c r="N279" s="421">
        <v>5</v>
      </c>
      <c r="O279" s="421">
        <v>85</v>
      </c>
      <c r="P279" s="443"/>
      <c r="Q279" s="422">
        <v>17</v>
      </c>
    </row>
    <row r="280" spans="1:17" ht="14.4" customHeight="1" x14ac:dyDescent="0.3">
      <c r="A280" s="417" t="s">
        <v>1143</v>
      </c>
      <c r="B280" s="418" t="s">
        <v>986</v>
      </c>
      <c r="C280" s="418" t="s">
        <v>987</v>
      </c>
      <c r="D280" s="418" t="s">
        <v>1034</v>
      </c>
      <c r="E280" s="418" t="s">
        <v>1035</v>
      </c>
      <c r="F280" s="421"/>
      <c r="G280" s="421"/>
      <c r="H280" s="421"/>
      <c r="I280" s="421"/>
      <c r="J280" s="421"/>
      <c r="K280" s="421"/>
      <c r="L280" s="421"/>
      <c r="M280" s="421"/>
      <c r="N280" s="421">
        <v>1</v>
      </c>
      <c r="O280" s="421">
        <v>139</v>
      </c>
      <c r="P280" s="443"/>
      <c r="Q280" s="422">
        <v>139</v>
      </c>
    </row>
    <row r="281" spans="1:17" ht="14.4" customHeight="1" x14ac:dyDescent="0.3">
      <c r="A281" s="417" t="s">
        <v>1143</v>
      </c>
      <c r="B281" s="418" t="s">
        <v>986</v>
      </c>
      <c r="C281" s="418" t="s">
        <v>987</v>
      </c>
      <c r="D281" s="418" t="s">
        <v>1036</v>
      </c>
      <c r="E281" s="418" t="s">
        <v>1037</v>
      </c>
      <c r="F281" s="421"/>
      <c r="G281" s="421"/>
      <c r="H281" s="421"/>
      <c r="I281" s="421"/>
      <c r="J281" s="421">
        <v>1</v>
      </c>
      <c r="K281" s="421">
        <v>103</v>
      </c>
      <c r="L281" s="421"/>
      <c r="M281" s="421">
        <v>103</v>
      </c>
      <c r="N281" s="421"/>
      <c r="O281" s="421"/>
      <c r="P281" s="443"/>
      <c r="Q281" s="422"/>
    </row>
    <row r="282" spans="1:17" ht="14.4" customHeight="1" x14ac:dyDescent="0.3">
      <c r="A282" s="417" t="s">
        <v>1143</v>
      </c>
      <c r="B282" s="418" t="s">
        <v>986</v>
      </c>
      <c r="C282" s="418" t="s">
        <v>987</v>
      </c>
      <c r="D282" s="418" t="s">
        <v>1040</v>
      </c>
      <c r="E282" s="418" t="s">
        <v>1041</v>
      </c>
      <c r="F282" s="421">
        <v>79</v>
      </c>
      <c r="G282" s="421">
        <v>8927</v>
      </c>
      <c r="H282" s="421">
        <v>1</v>
      </c>
      <c r="I282" s="421">
        <v>113</v>
      </c>
      <c r="J282" s="421">
        <v>101</v>
      </c>
      <c r="K282" s="421">
        <v>11716</v>
      </c>
      <c r="L282" s="421">
        <v>1.3124229864456145</v>
      </c>
      <c r="M282" s="421">
        <v>116</v>
      </c>
      <c r="N282" s="421">
        <v>75</v>
      </c>
      <c r="O282" s="421">
        <v>8775</v>
      </c>
      <c r="P282" s="443">
        <v>0.98297300324857173</v>
      </c>
      <c r="Q282" s="422">
        <v>117</v>
      </c>
    </row>
    <row r="283" spans="1:17" ht="14.4" customHeight="1" x14ac:dyDescent="0.3">
      <c r="A283" s="417" t="s">
        <v>1143</v>
      </c>
      <c r="B283" s="418" t="s">
        <v>986</v>
      </c>
      <c r="C283" s="418" t="s">
        <v>987</v>
      </c>
      <c r="D283" s="418" t="s">
        <v>1042</v>
      </c>
      <c r="E283" s="418" t="s">
        <v>1043</v>
      </c>
      <c r="F283" s="421">
        <v>11</v>
      </c>
      <c r="G283" s="421">
        <v>924</v>
      </c>
      <c r="H283" s="421">
        <v>1</v>
      </c>
      <c r="I283" s="421">
        <v>84</v>
      </c>
      <c r="J283" s="421">
        <v>5</v>
      </c>
      <c r="K283" s="421">
        <v>425</v>
      </c>
      <c r="L283" s="421">
        <v>0.45995670995670995</v>
      </c>
      <c r="M283" s="421">
        <v>85</v>
      </c>
      <c r="N283" s="421">
        <v>8</v>
      </c>
      <c r="O283" s="421">
        <v>728</v>
      </c>
      <c r="P283" s="443">
        <v>0.78787878787878785</v>
      </c>
      <c r="Q283" s="422">
        <v>91</v>
      </c>
    </row>
    <row r="284" spans="1:17" ht="14.4" customHeight="1" x14ac:dyDescent="0.3">
      <c r="A284" s="417" t="s">
        <v>1143</v>
      </c>
      <c r="B284" s="418" t="s">
        <v>986</v>
      </c>
      <c r="C284" s="418" t="s">
        <v>987</v>
      </c>
      <c r="D284" s="418" t="s">
        <v>1044</v>
      </c>
      <c r="E284" s="418" t="s">
        <v>1045</v>
      </c>
      <c r="F284" s="421"/>
      <c r="G284" s="421"/>
      <c r="H284" s="421"/>
      <c r="I284" s="421"/>
      <c r="J284" s="421"/>
      <c r="K284" s="421"/>
      <c r="L284" s="421"/>
      <c r="M284" s="421"/>
      <c r="N284" s="421">
        <v>1</v>
      </c>
      <c r="O284" s="421">
        <v>99</v>
      </c>
      <c r="P284" s="443"/>
      <c r="Q284" s="422">
        <v>99</v>
      </c>
    </row>
    <row r="285" spans="1:17" ht="14.4" customHeight="1" x14ac:dyDescent="0.3">
      <c r="A285" s="417" t="s">
        <v>1143</v>
      </c>
      <c r="B285" s="418" t="s">
        <v>986</v>
      </c>
      <c r="C285" s="418" t="s">
        <v>987</v>
      </c>
      <c r="D285" s="418" t="s">
        <v>1046</v>
      </c>
      <c r="E285" s="418" t="s">
        <v>1047</v>
      </c>
      <c r="F285" s="421">
        <v>3</v>
      </c>
      <c r="G285" s="421">
        <v>63</v>
      </c>
      <c r="H285" s="421">
        <v>1</v>
      </c>
      <c r="I285" s="421">
        <v>21</v>
      </c>
      <c r="J285" s="421">
        <v>20</v>
      </c>
      <c r="K285" s="421">
        <v>420</v>
      </c>
      <c r="L285" s="421">
        <v>6.666666666666667</v>
      </c>
      <c r="M285" s="421">
        <v>21</v>
      </c>
      <c r="N285" s="421">
        <v>6</v>
      </c>
      <c r="O285" s="421">
        <v>126</v>
      </c>
      <c r="P285" s="443">
        <v>2</v>
      </c>
      <c r="Q285" s="422">
        <v>21</v>
      </c>
    </row>
    <row r="286" spans="1:17" ht="14.4" customHeight="1" x14ac:dyDescent="0.3">
      <c r="A286" s="417" t="s">
        <v>1143</v>
      </c>
      <c r="B286" s="418" t="s">
        <v>986</v>
      </c>
      <c r="C286" s="418" t="s">
        <v>987</v>
      </c>
      <c r="D286" s="418" t="s">
        <v>1048</v>
      </c>
      <c r="E286" s="418" t="s">
        <v>1049</v>
      </c>
      <c r="F286" s="421"/>
      <c r="G286" s="421"/>
      <c r="H286" s="421"/>
      <c r="I286" s="421"/>
      <c r="J286" s="421">
        <v>4</v>
      </c>
      <c r="K286" s="421">
        <v>1948</v>
      </c>
      <c r="L286" s="421"/>
      <c r="M286" s="421">
        <v>487</v>
      </c>
      <c r="N286" s="421"/>
      <c r="O286" s="421"/>
      <c r="P286" s="443"/>
      <c r="Q286" s="422"/>
    </row>
    <row r="287" spans="1:17" ht="14.4" customHeight="1" x14ac:dyDescent="0.3">
      <c r="A287" s="417" t="s">
        <v>1143</v>
      </c>
      <c r="B287" s="418" t="s">
        <v>986</v>
      </c>
      <c r="C287" s="418" t="s">
        <v>987</v>
      </c>
      <c r="D287" s="418" t="s">
        <v>1056</v>
      </c>
      <c r="E287" s="418" t="s">
        <v>1057</v>
      </c>
      <c r="F287" s="421">
        <v>10</v>
      </c>
      <c r="G287" s="421">
        <v>400</v>
      </c>
      <c r="H287" s="421">
        <v>1</v>
      </c>
      <c r="I287" s="421">
        <v>40</v>
      </c>
      <c r="J287" s="421">
        <v>2</v>
      </c>
      <c r="K287" s="421">
        <v>82</v>
      </c>
      <c r="L287" s="421">
        <v>0.20499999999999999</v>
      </c>
      <c r="M287" s="421">
        <v>41</v>
      </c>
      <c r="N287" s="421">
        <v>4</v>
      </c>
      <c r="O287" s="421">
        <v>164</v>
      </c>
      <c r="P287" s="443">
        <v>0.41</v>
      </c>
      <c r="Q287" s="422">
        <v>41</v>
      </c>
    </row>
    <row r="288" spans="1:17" ht="14.4" customHeight="1" x14ac:dyDescent="0.3">
      <c r="A288" s="417" t="s">
        <v>1143</v>
      </c>
      <c r="B288" s="418" t="s">
        <v>986</v>
      </c>
      <c r="C288" s="418" t="s">
        <v>987</v>
      </c>
      <c r="D288" s="418" t="s">
        <v>1082</v>
      </c>
      <c r="E288" s="418" t="s">
        <v>1083</v>
      </c>
      <c r="F288" s="421"/>
      <c r="G288" s="421"/>
      <c r="H288" s="421"/>
      <c r="I288" s="421"/>
      <c r="J288" s="421"/>
      <c r="K288" s="421"/>
      <c r="L288" s="421"/>
      <c r="M288" s="421"/>
      <c r="N288" s="421">
        <v>1</v>
      </c>
      <c r="O288" s="421">
        <v>249</v>
      </c>
      <c r="P288" s="443"/>
      <c r="Q288" s="422">
        <v>249</v>
      </c>
    </row>
    <row r="289" spans="1:17" ht="14.4" customHeight="1" x14ac:dyDescent="0.3">
      <c r="A289" s="417" t="s">
        <v>1144</v>
      </c>
      <c r="B289" s="418" t="s">
        <v>986</v>
      </c>
      <c r="C289" s="418" t="s">
        <v>987</v>
      </c>
      <c r="D289" s="418" t="s">
        <v>988</v>
      </c>
      <c r="E289" s="418" t="s">
        <v>989</v>
      </c>
      <c r="F289" s="421">
        <v>28</v>
      </c>
      <c r="G289" s="421">
        <v>4452</v>
      </c>
      <c r="H289" s="421">
        <v>1</v>
      </c>
      <c r="I289" s="421">
        <v>159</v>
      </c>
      <c r="J289" s="421">
        <v>11</v>
      </c>
      <c r="K289" s="421">
        <v>1771</v>
      </c>
      <c r="L289" s="421">
        <v>0.3977987421383648</v>
      </c>
      <c r="M289" s="421">
        <v>161</v>
      </c>
      <c r="N289" s="421">
        <v>44</v>
      </c>
      <c r="O289" s="421">
        <v>7612</v>
      </c>
      <c r="P289" s="443">
        <v>1.7097933513027852</v>
      </c>
      <c r="Q289" s="422">
        <v>173</v>
      </c>
    </row>
    <row r="290" spans="1:17" ht="14.4" customHeight="1" x14ac:dyDescent="0.3">
      <c r="A290" s="417" t="s">
        <v>1144</v>
      </c>
      <c r="B290" s="418" t="s">
        <v>986</v>
      </c>
      <c r="C290" s="418" t="s">
        <v>987</v>
      </c>
      <c r="D290" s="418" t="s">
        <v>1004</v>
      </c>
      <c r="E290" s="418" t="s">
        <v>1005</v>
      </c>
      <c r="F290" s="421">
        <v>46</v>
      </c>
      <c r="G290" s="421">
        <v>1794</v>
      </c>
      <c r="H290" s="421">
        <v>1</v>
      </c>
      <c r="I290" s="421">
        <v>39</v>
      </c>
      <c r="J290" s="421">
        <v>10</v>
      </c>
      <c r="K290" s="421">
        <v>400</v>
      </c>
      <c r="L290" s="421">
        <v>0.2229654403567447</v>
      </c>
      <c r="M290" s="421">
        <v>40</v>
      </c>
      <c r="N290" s="421">
        <v>11</v>
      </c>
      <c r="O290" s="421">
        <v>451</v>
      </c>
      <c r="P290" s="443">
        <v>0.25139353400222963</v>
      </c>
      <c r="Q290" s="422">
        <v>41</v>
      </c>
    </row>
    <row r="291" spans="1:17" ht="14.4" customHeight="1" x14ac:dyDescent="0.3">
      <c r="A291" s="417" t="s">
        <v>1144</v>
      </c>
      <c r="B291" s="418" t="s">
        <v>986</v>
      </c>
      <c r="C291" s="418" t="s">
        <v>987</v>
      </c>
      <c r="D291" s="418" t="s">
        <v>1006</v>
      </c>
      <c r="E291" s="418" t="s">
        <v>1007</v>
      </c>
      <c r="F291" s="421"/>
      <c r="G291" s="421"/>
      <c r="H291" s="421"/>
      <c r="I291" s="421"/>
      <c r="J291" s="421"/>
      <c r="K291" s="421"/>
      <c r="L291" s="421"/>
      <c r="M291" s="421"/>
      <c r="N291" s="421">
        <v>2</v>
      </c>
      <c r="O291" s="421">
        <v>768</v>
      </c>
      <c r="P291" s="443"/>
      <c r="Q291" s="422">
        <v>384</v>
      </c>
    </row>
    <row r="292" spans="1:17" ht="14.4" customHeight="1" x14ac:dyDescent="0.3">
      <c r="A292" s="417" t="s">
        <v>1144</v>
      </c>
      <c r="B292" s="418" t="s">
        <v>986</v>
      </c>
      <c r="C292" s="418" t="s">
        <v>987</v>
      </c>
      <c r="D292" s="418" t="s">
        <v>1012</v>
      </c>
      <c r="E292" s="418" t="s">
        <v>1013</v>
      </c>
      <c r="F292" s="421">
        <v>6</v>
      </c>
      <c r="G292" s="421">
        <v>2664</v>
      </c>
      <c r="H292" s="421">
        <v>1</v>
      </c>
      <c r="I292" s="421">
        <v>444</v>
      </c>
      <c r="J292" s="421"/>
      <c r="K292" s="421"/>
      <c r="L292" s="421"/>
      <c r="M292" s="421"/>
      <c r="N292" s="421"/>
      <c r="O292" s="421"/>
      <c r="P292" s="443"/>
      <c r="Q292" s="422"/>
    </row>
    <row r="293" spans="1:17" ht="14.4" customHeight="1" x14ac:dyDescent="0.3">
      <c r="A293" s="417" t="s">
        <v>1144</v>
      </c>
      <c r="B293" s="418" t="s">
        <v>986</v>
      </c>
      <c r="C293" s="418" t="s">
        <v>987</v>
      </c>
      <c r="D293" s="418" t="s">
        <v>1016</v>
      </c>
      <c r="E293" s="418" t="s">
        <v>1017</v>
      </c>
      <c r="F293" s="421"/>
      <c r="G293" s="421"/>
      <c r="H293" s="421"/>
      <c r="I293" s="421"/>
      <c r="J293" s="421"/>
      <c r="K293" s="421"/>
      <c r="L293" s="421"/>
      <c r="M293" s="421"/>
      <c r="N293" s="421">
        <v>2</v>
      </c>
      <c r="O293" s="421">
        <v>984</v>
      </c>
      <c r="P293" s="443"/>
      <c r="Q293" s="422">
        <v>492</v>
      </c>
    </row>
    <row r="294" spans="1:17" ht="14.4" customHeight="1" x14ac:dyDescent="0.3">
      <c r="A294" s="417" t="s">
        <v>1144</v>
      </c>
      <c r="B294" s="418" t="s">
        <v>986</v>
      </c>
      <c r="C294" s="418" t="s">
        <v>987</v>
      </c>
      <c r="D294" s="418" t="s">
        <v>1018</v>
      </c>
      <c r="E294" s="418" t="s">
        <v>1019</v>
      </c>
      <c r="F294" s="421">
        <v>11</v>
      </c>
      <c r="G294" s="421">
        <v>341</v>
      </c>
      <c r="H294" s="421">
        <v>1</v>
      </c>
      <c r="I294" s="421">
        <v>31</v>
      </c>
      <c r="J294" s="421">
        <v>1</v>
      </c>
      <c r="K294" s="421">
        <v>31</v>
      </c>
      <c r="L294" s="421">
        <v>9.0909090909090912E-2</v>
      </c>
      <c r="M294" s="421">
        <v>31</v>
      </c>
      <c r="N294" s="421"/>
      <c r="O294" s="421"/>
      <c r="P294" s="443"/>
      <c r="Q294" s="422"/>
    </row>
    <row r="295" spans="1:17" ht="14.4" customHeight="1" x14ac:dyDescent="0.3">
      <c r="A295" s="417" t="s">
        <v>1144</v>
      </c>
      <c r="B295" s="418" t="s">
        <v>986</v>
      </c>
      <c r="C295" s="418" t="s">
        <v>987</v>
      </c>
      <c r="D295" s="418" t="s">
        <v>1020</v>
      </c>
      <c r="E295" s="418" t="s">
        <v>1021</v>
      </c>
      <c r="F295" s="421"/>
      <c r="G295" s="421"/>
      <c r="H295" s="421"/>
      <c r="I295" s="421"/>
      <c r="J295" s="421"/>
      <c r="K295" s="421"/>
      <c r="L295" s="421"/>
      <c r="M295" s="421"/>
      <c r="N295" s="421">
        <v>1</v>
      </c>
      <c r="O295" s="421">
        <v>208</v>
      </c>
      <c r="P295" s="443"/>
      <c r="Q295" s="422">
        <v>208</v>
      </c>
    </row>
    <row r="296" spans="1:17" ht="14.4" customHeight="1" x14ac:dyDescent="0.3">
      <c r="A296" s="417" t="s">
        <v>1144</v>
      </c>
      <c r="B296" s="418" t="s">
        <v>986</v>
      </c>
      <c r="C296" s="418" t="s">
        <v>987</v>
      </c>
      <c r="D296" s="418" t="s">
        <v>1022</v>
      </c>
      <c r="E296" s="418" t="s">
        <v>1023</v>
      </c>
      <c r="F296" s="421"/>
      <c r="G296" s="421"/>
      <c r="H296" s="421"/>
      <c r="I296" s="421"/>
      <c r="J296" s="421"/>
      <c r="K296" s="421"/>
      <c r="L296" s="421"/>
      <c r="M296" s="421"/>
      <c r="N296" s="421">
        <v>1</v>
      </c>
      <c r="O296" s="421">
        <v>384</v>
      </c>
      <c r="P296" s="443"/>
      <c r="Q296" s="422">
        <v>384</v>
      </c>
    </row>
    <row r="297" spans="1:17" ht="14.4" customHeight="1" x14ac:dyDescent="0.3">
      <c r="A297" s="417" t="s">
        <v>1144</v>
      </c>
      <c r="B297" s="418" t="s">
        <v>986</v>
      </c>
      <c r="C297" s="418" t="s">
        <v>987</v>
      </c>
      <c r="D297" s="418" t="s">
        <v>1032</v>
      </c>
      <c r="E297" s="418" t="s">
        <v>1033</v>
      </c>
      <c r="F297" s="421">
        <v>9</v>
      </c>
      <c r="G297" s="421">
        <v>144</v>
      </c>
      <c r="H297" s="421">
        <v>1</v>
      </c>
      <c r="I297" s="421">
        <v>16</v>
      </c>
      <c r="J297" s="421"/>
      <c r="K297" s="421"/>
      <c r="L297" s="421"/>
      <c r="M297" s="421"/>
      <c r="N297" s="421">
        <v>6</v>
      </c>
      <c r="O297" s="421">
        <v>102</v>
      </c>
      <c r="P297" s="443">
        <v>0.70833333333333337</v>
      </c>
      <c r="Q297" s="422">
        <v>17</v>
      </c>
    </row>
    <row r="298" spans="1:17" ht="14.4" customHeight="1" x14ac:dyDescent="0.3">
      <c r="A298" s="417" t="s">
        <v>1144</v>
      </c>
      <c r="B298" s="418" t="s">
        <v>986</v>
      </c>
      <c r="C298" s="418" t="s">
        <v>987</v>
      </c>
      <c r="D298" s="418" t="s">
        <v>1034</v>
      </c>
      <c r="E298" s="418" t="s">
        <v>1035</v>
      </c>
      <c r="F298" s="421">
        <v>1</v>
      </c>
      <c r="G298" s="421">
        <v>133</v>
      </c>
      <c r="H298" s="421">
        <v>1</v>
      </c>
      <c r="I298" s="421">
        <v>133</v>
      </c>
      <c r="J298" s="421">
        <v>1</v>
      </c>
      <c r="K298" s="421">
        <v>136</v>
      </c>
      <c r="L298" s="421">
        <v>1.0225563909774436</v>
      </c>
      <c r="M298" s="421">
        <v>136</v>
      </c>
      <c r="N298" s="421">
        <v>2</v>
      </c>
      <c r="O298" s="421">
        <v>278</v>
      </c>
      <c r="P298" s="443">
        <v>2.0902255639097747</v>
      </c>
      <c r="Q298" s="422">
        <v>139</v>
      </c>
    </row>
    <row r="299" spans="1:17" ht="14.4" customHeight="1" x14ac:dyDescent="0.3">
      <c r="A299" s="417" t="s">
        <v>1144</v>
      </c>
      <c r="B299" s="418" t="s">
        <v>986</v>
      </c>
      <c r="C299" s="418" t="s">
        <v>987</v>
      </c>
      <c r="D299" s="418" t="s">
        <v>1040</v>
      </c>
      <c r="E299" s="418" t="s">
        <v>1041</v>
      </c>
      <c r="F299" s="421">
        <v>14</v>
      </c>
      <c r="G299" s="421">
        <v>1582</v>
      </c>
      <c r="H299" s="421">
        <v>1</v>
      </c>
      <c r="I299" s="421">
        <v>113</v>
      </c>
      <c r="J299" s="421">
        <v>4</v>
      </c>
      <c r="K299" s="421">
        <v>464</v>
      </c>
      <c r="L299" s="421">
        <v>0.29329962073324906</v>
      </c>
      <c r="M299" s="421">
        <v>116</v>
      </c>
      <c r="N299" s="421">
        <v>16</v>
      </c>
      <c r="O299" s="421">
        <v>1872</v>
      </c>
      <c r="P299" s="443">
        <v>1.1833122629582806</v>
      </c>
      <c r="Q299" s="422">
        <v>117</v>
      </c>
    </row>
    <row r="300" spans="1:17" ht="14.4" customHeight="1" x14ac:dyDescent="0.3">
      <c r="A300" s="417" t="s">
        <v>1144</v>
      </c>
      <c r="B300" s="418" t="s">
        <v>986</v>
      </c>
      <c r="C300" s="418" t="s">
        <v>987</v>
      </c>
      <c r="D300" s="418" t="s">
        <v>1042</v>
      </c>
      <c r="E300" s="418" t="s">
        <v>1043</v>
      </c>
      <c r="F300" s="421">
        <v>1</v>
      </c>
      <c r="G300" s="421">
        <v>84</v>
      </c>
      <c r="H300" s="421">
        <v>1</v>
      </c>
      <c r="I300" s="421">
        <v>84</v>
      </c>
      <c r="J300" s="421"/>
      <c r="K300" s="421"/>
      <c r="L300" s="421"/>
      <c r="M300" s="421"/>
      <c r="N300" s="421">
        <v>4</v>
      </c>
      <c r="O300" s="421">
        <v>364</v>
      </c>
      <c r="P300" s="443">
        <v>4.333333333333333</v>
      </c>
      <c r="Q300" s="422">
        <v>91</v>
      </c>
    </row>
    <row r="301" spans="1:17" ht="14.4" customHeight="1" x14ac:dyDescent="0.3">
      <c r="A301" s="417" t="s">
        <v>1144</v>
      </c>
      <c r="B301" s="418" t="s">
        <v>986</v>
      </c>
      <c r="C301" s="418" t="s">
        <v>987</v>
      </c>
      <c r="D301" s="418" t="s">
        <v>1048</v>
      </c>
      <c r="E301" s="418" t="s">
        <v>1049</v>
      </c>
      <c r="F301" s="421">
        <v>13</v>
      </c>
      <c r="G301" s="421">
        <v>6318</v>
      </c>
      <c r="H301" s="421">
        <v>1</v>
      </c>
      <c r="I301" s="421">
        <v>486</v>
      </c>
      <c r="J301" s="421"/>
      <c r="K301" s="421"/>
      <c r="L301" s="421"/>
      <c r="M301" s="421"/>
      <c r="N301" s="421"/>
      <c r="O301" s="421"/>
      <c r="P301" s="443"/>
      <c r="Q301" s="422"/>
    </row>
    <row r="302" spans="1:17" ht="14.4" customHeight="1" x14ac:dyDescent="0.3">
      <c r="A302" s="417" t="s">
        <v>1144</v>
      </c>
      <c r="B302" s="418" t="s">
        <v>986</v>
      </c>
      <c r="C302" s="418" t="s">
        <v>987</v>
      </c>
      <c r="D302" s="418" t="s">
        <v>1056</v>
      </c>
      <c r="E302" s="418" t="s">
        <v>1057</v>
      </c>
      <c r="F302" s="421">
        <v>11</v>
      </c>
      <c r="G302" s="421">
        <v>440</v>
      </c>
      <c r="H302" s="421">
        <v>1</v>
      </c>
      <c r="I302" s="421">
        <v>40</v>
      </c>
      <c r="J302" s="421">
        <v>6</v>
      </c>
      <c r="K302" s="421">
        <v>246</v>
      </c>
      <c r="L302" s="421">
        <v>0.55909090909090908</v>
      </c>
      <c r="M302" s="421">
        <v>41</v>
      </c>
      <c r="N302" s="421">
        <v>4</v>
      </c>
      <c r="O302" s="421">
        <v>164</v>
      </c>
      <c r="P302" s="443">
        <v>0.37272727272727274</v>
      </c>
      <c r="Q302" s="422">
        <v>41</v>
      </c>
    </row>
    <row r="303" spans="1:17" ht="14.4" customHeight="1" x14ac:dyDescent="0.3">
      <c r="A303" s="417" t="s">
        <v>1144</v>
      </c>
      <c r="B303" s="418" t="s">
        <v>986</v>
      </c>
      <c r="C303" s="418" t="s">
        <v>987</v>
      </c>
      <c r="D303" s="418" t="s">
        <v>1064</v>
      </c>
      <c r="E303" s="418" t="s">
        <v>1065</v>
      </c>
      <c r="F303" s="421">
        <v>2</v>
      </c>
      <c r="G303" s="421">
        <v>430</v>
      </c>
      <c r="H303" s="421">
        <v>1</v>
      </c>
      <c r="I303" s="421">
        <v>215</v>
      </c>
      <c r="J303" s="421"/>
      <c r="K303" s="421"/>
      <c r="L303" s="421"/>
      <c r="M303" s="421"/>
      <c r="N303" s="421">
        <v>1</v>
      </c>
      <c r="O303" s="421">
        <v>223</v>
      </c>
      <c r="P303" s="443">
        <v>0.51860465116279075</v>
      </c>
      <c r="Q303" s="422">
        <v>223</v>
      </c>
    </row>
    <row r="304" spans="1:17" ht="14.4" customHeight="1" x14ac:dyDescent="0.3">
      <c r="A304" s="417" t="s">
        <v>1144</v>
      </c>
      <c r="B304" s="418" t="s">
        <v>986</v>
      </c>
      <c r="C304" s="418" t="s">
        <v>987</v>
      </c>
      <c r="D304" s="418" t="s">
        <v>1076</v>
      </c>
      <c r="E304" s="418" t="s">
        <v>1077</v>
      </c>
      <c r="F304" s="421">
        <v>2</v>
      </c>
      <c r="G304" s="421">
        <v>3410</v>
      </c>
      <c r="H304" s="421">
        <v>1</v>
      </c>
      <c r="I304" s="421">
        <v>1705</v>
      </c>
      <c r="J304" s="421"/>
      <c r="K304" s="421"/>
      <c r="L304" s="421"/>
      <c r="M304" s="421"/>
      <c r="N304" s="421"/>
      <c r="O304" s="421"/>
      <c r="P304" s="443"/>
      <c r="Q304" s="422"/>
    </row>
    <row r="305" spans="1:17" ht="14.4" customHeight="1" x14ac:dyDescent="0.3">
      <c r="A305" s="417" t="s">
        <v>1145</v>
      </c>
      <c r="B305" s="418" t="s">
        <v>986</v>
      </c>
      <c r="C305" s="418" t="s">
        <v>987</v>
      </c>
      <c r="D305" s="418" t="s">
        <v>988</v>
      </c>
      <c r="E305" s="418" t="s">
        <v>989</v>
      </c>
      <c r="F305" s="421">
        <v>20</v>
      </c>
      <c r="G305" s="421">
        <v>3180</v>
      </c>
      <c r="H305" s="421">
        <v>1</v>
      </c>
      <c r="I305" s="421">
        <v>159</v>
      </c>
      <c r="J305" s="421">
        <v>16</v>
      </c>
      <c r="K305" s="421">
        <v>2576</v>
      </c>
      <c r="L305" s="421">
        <v>0.81006289308176105</v>
      </c>
      <c r="M305" s="421">
        <v>161</v>
      </c>
      <c r="N305" s="421">
        <v>10</v>
      </c>
      <c r="O305" s="421">
        <v>1730</v>
      </c>
      <c r="P305" s="443">
        <v>0.54402515723270439</v>
      </c>
      <c r="Q305" s="422">
        <v>173</v>
      </c>
    </row>
    <row r="306" spans="1:17" ht="14.4" customHeight="1" x14ac:dyDescent="0.3">
      <c r="A306" s="417" t="s">
        <v>1145</v>
      </c>
      <c r="B306" s="418" t="s">
        <v>986</v>
      </c>
      <c r="C306" s="418" t="s">
        <v>987</v>
      </c>
      <c r="D306" s="418" t="s">
        <v>1004</v>
      </c>
      <c r="E306" s="418" t="s">
        <v>1005</v>
      </c>
      <c r="F306" s="421">
        <v>2</v>
      </c>
      <c r="G306" s="421">
        <v>78</v>
      </c>
      <c r="H306" s="421">
        <v>1</v>
      </c>
      <c r="I306" s="421">
        <v>39</v>
      </c>
      <c r="J306" s="421"/>
      <c r="K306" s="421"/>
      <c r="L306" s="421"/>
      <c r="M306" s="421"/>
      <c r="N306" s="421"/>
      <c r="O306" s="421"/>
      <c r="P306" s="443"/>
      <c r="Q306" s="422"/>
    </row>
    <row r="307" spans="1:17" ht="14.4" customHeight="1" x14ac:dyDescent="0.3">
      <c r="A307" s="417" t="s">
        <v>1145</v>
      </c>
      <c r="B307" s="418" t="s">
        <v>986</v>
      </c>
      <c r="C307" s="418" t="s">
        <v>987</v>
      </c>
      <c r="D307" s="418" t="s">
        <v>1012</v>
      </c>
      <c r="E307" s="418" t="s">
        <v>1013</v>
      </c>
      <c r="F307" s="421"/>
      <c r="G307" s="421"/>
      <c r="H307" s="421"/>
      <c r="I307" s="421"/>
      <c r="J307" s="421">
        <v>3</v>
      </c>
      <c r="K307" s="421">
        <v>1335</v>
      </c>
      <c r="L307" s="421"/>
      <c r="M307" s="421">
        <v>445</v>
      </c>
      <c r="N307" s="421">
        <v>3</v>
      </c>
      <c r="O307" s="421">
        <v>1338</v>
      </c>
      <c r="P307" s="443"/>
      <c r="Q307" s="422">
        <v>446</v>
      </c>
    </row>
    <row r="308" spans="1:17" ht="14.4" customHeight="1" x14ac:dyDescent="0.3">
      <c r="A308" s="417" t="s">
        <v>1145</v>
      </c>
      <c r="B308" s="418" t="s">
        <v>986</v>
      </c>
      <c r="C308" s="418" t="s">
        <v>987</v>
      </c>
      <c r="D308" s="418" t="s">
        <v>1032</v>
      </c>
      <c r="E308" s="418" t="s">
        <v>1033</v>
      </c>
      <c r="F308" s="421"/>
      <c r="G308" s="421"/>
      <c r="H308" s="421"/>
      <c r="I308" s="421"/>
      <c r="J308" s="421">
        <v>8</v>
      </c>
      <c r="K308" s="421">
        <v>128</v>
      </c>
      <c r="L308" s="421"/>
      <c r="M308" s="421">
        <v>16</v>
      </c>
      <c r="N308" s="421">
        <v>10</v>
      </c>
      <c r="O308" s="421">
        <v>170</v>
      </c>
      <c r="P308" s="443"/>
      <c r="Q308" s="422">
        <v>17</v>
      </c>
    </row>
    <row r="309" spans="1:17" ht="14.4" customHeight="1" x14ac:dyDescent="0.3">
      <c r="A309" s="417" t="s">
        <v>1145</v>
      </c>
      <c r="B309" s="418" t="s">
        <v>986</v>
      </c>
      <c r="C309" s="418" t="s">
        <v>987</v>
      </c>
      <c r="D309" s="418" t="s">
        <v>1034</v>
      </c>
      <c r="E309" s="418" t="s">
        <v>1035</v>
      </c>
      <c r="F309" s="421"/>
      <c r="G309" s="421"/>
      <c r="H309" s="421"/>
      <c r="I309" s="421"/>
      <c r="J309" s="421">
        <v>1</v>
      </c>
      <c r="K309" s="421">
        <v>136</v>
      </c>
      <c r="L309" s="421"/>
      <c r="M309" s="421">
        <v>136</v>
      </c>
      <c r="N309" s="421">
        <v>1</v>
      </c>
      <c r="O309" s="421">
        <v>139</v>
      </c>
      <c r="P309" s="443"/>
      <c r="Q309" s="422">
        <v>139</v>
      </c>
    </row>
    <row r="310" spans="1:17" ht="14.4" customHeight="1" x14ac:dyDescent="0.3">
      <c r="A310" s="417" t="s">
        <v>1145</v>
      </c>
      <c r="B310" s="418" t="s">
        <v>986</v>
      </c>
      <c r="C310" s="418" t="s">
        <v>987</v>
      </c>
      <c r="D310" s="418" t="s">
        <v>1036</v>
      </c>
      <c r="E310" s="418" t="s">
        <v>1037</v>
      </c>
      <c r="F310" s="421">
        <v>1</v>
      </c>
      <c r="G310" s="421">
        <v>102</v>
      </c>
      <c r="H310" s="421">
        <v>1</v>
      </c>
      <c r="I310" s="421">
        <v>102</v>
      </c>
      <c r="J310" s="421"/>
      <c r="K310" s="421"/>
      <c r="L310" s="421"/>
      <c r="M310" s="421"/>
      <c r="N310" s="421"/>
      <c r="O310" s="421"/>
      <c r="P310" s="443"/>
      <c r="Q310" s="422"/>
    </row>
    <row r="311" spans="1:17" ht="14.4" customHeight="1" x14ac:dyDescent="0.3">
      <c r="A311" s="417" t="s">
        <v>1145</v>
      </c>
      <c r="B311" s="418" t="s">
        <v>986</v>
      </c>
      <c r="C311" s="418" t="s">
        <v>987</v>
      </c>
      <c r="D311" s="418" t="s">
        <v>1146</v>
      </c>
      <c r="E311" s="418" t="s">
        <v>1147</v>
      </c>
      <c r="F311" s="421"/>
      <c r="G311" s="421"/>
      <c r="H311" s="421"/>
      <c r="I311" s="421"/>
      <c r="J311" s="421">
        <v>1</v>
      </c>
      <c r="K311" s="421">
        <v>113</v>
      </c>
      <c r="L311" s="421"/>
      <c r="M311" s="421">
        <v>113</v>
      </c>
      <c r="N311" s="421">
        <v>1</v>
      </c>
      <c r="O311" s="421">
        <v>118</v>
      </c>
      <c r="P311" s="443"/>
      <c r="Q311" s="422">
        <v>118</v>
      </c>
    </row>
    <row r="312" spans="1:17" ht="14.4" customHeight="1" x14ac:dyDescent="0.3">
      <c r="A312" s="417" t="s">
        <v>1145</v>
      </c>
      <c r="B312" s="418" t="s">
        <v>986</v>
      </c>
      <c r="C312" s="418" t="s">
        <v>987</v>
      </c>
      <c r="D312" s="418" t="s">
        <v>1040</v>
      </c>
      <c r="E312" s="418" t="s">
        <v>1041</v>
      </c>
      <c r="F312" s="421">
        <v>2</v>
      </c>
      <c r="G312" s="421">
        <v>226</v>
      </c>
      <c r="H312" s="421">
        <v>1</v>
      </c>
      <c r="I312" s="421">
        <v>113</v>
      </c>
      <c r="J312" s="421">
        <v>3</v>
      </c>
      <c r="K312" s="421">
        <v>348</v>
      </c>
      <c r="L312" s="421">
        <v>1.5398230088495575</v>
      </c>
      <c r="M312" s="421">
        <v>116</v>
      </c>
      <c r="N312" s="421">
        <v>3</v>
      </c>
      <c r="O312" s="421">
        <v>351</v>
      </c>
      <c r="P312" s="443">
        <v>1.5530973451327434</v>
      </c>
      <c r="Q312" s="422">
        <v>117</v>
      </c>
    </row>
    <row r="313" spans="1:17" ht="14.4" customHeight="1" x14ac:dyDescent="0.3">
      <c r="A313" s="417" t="s">
        <v>1145</v>
      </c>
      <c r="B313" s="418" t="s">
        <v>986</v>
      </c>
      <c r="C313" s="418" t="s">
        <v>987</v>
      </c>
      <c r="D313" s="418" t="s">
        <v>1042</v>
      </c>
      <c r="E313" s="418" t="s">
        <v>1043</v>
      </c>
      <c r="F313" s="421"/>
      <c r="G313" s="421"/>
      <c r="H313" s="421"/>
      <c r="I313" s="421"/>
      <c r="J313" s="421">
        <v>1</v>
      </c>
      <c r="K313" s="421">
        <v>85</v>
      </c>
      <c r="L313" s="421"/>
      <c r="M313" s="421">
        <v>85</v>
      </c>
      <c r="N313" s="421">
        <v>1</v>
      </c>
      <c r="O313" s="421">
        <v>91</v>
      </c>
      <c r="P313" s="443"/>
      <c r="Q313" s="422">
        <v>91</v>
      </c>
    </row>
    <row r="314" spans="1:17" ht="14.4" customHeight="1" x14ac:dyDescent="0.3">
      <c r="A314" s="417" t="s">
        <v>1145</v>
      </c>
      <c r="B314" s="418" t="s">
        <v>986</v>
      </c>
      <c r="C314" s="418" t="s">
        <v>987</v>
      </c>
      <c r="D314" s="418" t="s">
        <v>1044</v>
      </c>
      <c r="E314" s="418" t="s">
        <v>1045</v>
      </c>
      <c r="F314" s="421">
        <v>5</v>
      </c>
      <c r="G314" s="421">
        <v>480</v>
      </c>
      <c r="H314" s="421">
        <v>1</v>
      </c>
      <c r="I314" s="421">
        <v>96</v>
      </c>
      <c r="J314" s="421">
        <v>3</v>
      </c>
      <c r="K314" s="421">
        <v>294</v>
      </c>
      <c r="L314" s="421">
        <v>0.61250000000000004</v>
      </c>
      <c r="M314" s="421">
        <v>98</v>
      </c>
      <c r="N314" s="421">
        <v>10</v>
      </c>
      <c r="O314" s="421">
        <v>990</v>
      </c>
      <c r="P314" s="443">
        <v>2.0625</v>
      </c>
      <c r="Q314" s="422">
        <v>99</v>
      </c>
    </row>
    <row r="315" spans="1:17" ht="14.4" customHeight="1" x14ac:dyDescent="0.3">
      <c r="A315" s="417" t="s">
        <v>1145</v>
      </c>
      <c r="B315" s="418" t="s">
        <v>986</v>
      </c>
      <c r="C315" s="418" t="s">
        <v>987</v>
      </c>
      <c r="D315" s="418" t="s">
        <v>1046</v>
      </c>
      <c r="E315" s="418" t="s">
        <v>1047</v>
      </c>
      <c r="F315" s="421"/>
      <c r="G315" s="421"/>
      <c r="H315" s="421"/>
      <c r="I315" s="421"/>
      <c r="J315" s="421"/>
      <c r="K315" s="421"/>
      <c r="L315" s="421"/>
      <c r="M315" s="421"/>
      <c r="N315" s="421">
        <v>1</v>
      </c>
      <c r="O315" s="421">
        <v>21</v>
      </c>
      <c r="P315" s="443"/>
      <c r="Q315" s="422">
        <v>21</v>
      </c>
    </row>
    <row r="316" spans="1:17" ht="14.4" customHeight="1" x14ac:dyDescent="0.3">
      <c r="A316" s="417" t="s">
        <v>1145</v>
      </c>
      <c r="B316" s="418" t="s">
        <v>986</v>
      </c>
      <c r="C316" s="418" t="s">
        <v>987</v>
      </c>
      <c r="D316" s="418" t="s">
        <v>1048</v>
      </c>
      <c r="E316" s="418" t="s">
        <v>1049</v>
      </c>
      <c r="F316" s="421">
        <v>3</v>
      </c>
      <c r="G316" s="421">
        <v>1458</v>
      </c>
      <c r="H316" s="421">
        <v>1</v>
      </c>
      <c r="I316" s="421">
        <v>486</v>
      </c>
      <c r="J316" s="421">
        <v>12</v>
      </c>
      <c r="K316" s="421">
        <v>5844</v>
      </c>
      <c r="L316" s="421">
        <v>4.0082304526748969</v>
      </c>
      <c r="M316" s="421">
        <v>487</v>
      </c>
      <c r="N316" s="421">
        <v>16</v>
      </c>
      <c r="O316" s="421">
        <v>7808</v>
      </c>
      <c r="P316" s="443">
        <v>5.3552812071330589</v>
      </c>
      <c r="Q316" s="422">
        <v>488</v>
      </c>
    </row>
    <row r="317" spans="1:17" ht="14.4" customHeight="1" x14ac:dyDescent="0.3">
      <c r="A317" s="417" t="s">
        <v>1145</v>
      </c>
      <c r="B317" s="418" t="s">
        <v>986</v>
      </c>
      <c r="C317" s="418" t="s">
        <v>987</v>
      </c>
      <c r="D317" s="418" t="s">
        <v>1056</v>
      </c>
      <c r="E317" s="418" t="s">
        <v>1057</v>
      </c>
      <c r="F317" s="421">
        <v>2</v>
      </c>
      <c r="G317" s="421">
        <v>80</v>
      </c>
      <c r="H317" s="421">
        <v>1</v>
      </c>
      <c r="I317" s="421">
        <v>40</v>
      </c>
      <c r="J317" s="421"/>
      <c r="K317" s="421"/>
      <c r="L317" s="421"/>
      <c r="M317" s="421"/>
      <c r="N317" s="421">
        <v>2</v>
      </c>
      <c r="O317" s="421">
        <v>82</v>
      </c>
      <c r="P317" s="443">
        <v>1.0249999999999999</v>
      </c>
      <c r="Q317" s="422">
        <v>41</v>
      </c>
    </row>
    <row r="318" spans="1:17" ht="14.4" customHeight="1" x14ac:dyDescent="0.3">
      <c r="A318" s="417" t="s">
        <v>1145</v>
      </c>
      <c r="B318" s="418" t="s">
        <v>986</v>
      </c>
      <c r="C318" s="418" t="s">
        <v>987</v>
      </c>
      <c r="D318" s="418" t="s">
        <v>1068</v>
      </c>
      <c r="E318" s="418" t="s">
        <v>1069</v>
      </c>
      <c r="F318" s="421"/>
      <c r="G318" s="421"/>
      <c r="H318" s="421"/>
      <c r="I318" s="421"/>
      <c r="J318" s="421"/>
      <c r="K318" s="421"/>
      <c r="L318" s="421"/>
      <c r="M318" s="421"/>
      <c r="N318" s="421">
        <v>1</v>
      </c>
      <c r="O318" s="421">
        <v>2112</v>
      </c>
      <c r="P318" s="443"/>
      <c r="Q318" s="422">
        <v>2112</v>
      </c>
    </row>
    <row r="319" spans="1:17" ht="14.4" customHeight="1" x14ac:dyDescent="0.3">
      <c r="A319" s="417" t="s">
        <v>1145</v>
      </c>
      <c r="B319" s="418" t="s">
        <v>986</v>
      </c>
      <c r="C319" s="418" t="s">
        <v>987</v>
      </c>
      <c r="D319" s="418" t="s">
        <v>1094</v>
      </c>
      <c r="E319" s="418" t="s">
        <v>1095</v>
      </c>
      <c r="F319" s="421"/>
      <c r="G319" s="421"/>
      <c r="H319" s="421"/>
      <c r="I319" s="421"/>
      <c r="J319" s="421">
        <v>3</v>
      </c>
      <c r="K319" s="421">
        <v>87</v>
      </c>
      <c r="L319" s="421"/>
      <c r="M319" s="421">
        <v>29</v>
      </c>
      <c r="N319" s="421">
        <v>3</v>
      </c>
      <c r="O319" s="421">
        <v>90</v>
      </c>
      <c r="P319" s="443"/>
      <c r="Q319" s="422">
        <v>30</v>
      </c>
    </row>
    <row r="320" spans="1:17" ht="14.4" customHeight="1" x14ac:dyDescent="0.3">
      <c r="A320" s="417" t="s">
        <v>1148</v>
      </c>
      <c r="B320" s="418" t="s">
        <v>986</v>
      </c>
      <c r="C320" s="418" t="s">
        <v>987</v>
      </c>
      <c r="D320" s="418" t="s">
        <v>988</v>
      </c>
      <c r="E320" s="418" t="s">
        <v>989</v>
      </c>
      <c r="F320" s="421">
        <v>150</v>
      </c>
      <c r="G320" s="421">
        <v>23850</v>
      </c>
      <c r="H320" s="421">
        <v>1</v>
      </c>
      <c r="I320" s="421">
        <v>159</v>
      </c>
      <c r="J320" s="421">
        <v>201</v>
      </c>
      <c r="K320" s="421">
        <v>32361</v>
      </c>
      <c r="L320" s="421">
        <v>1.3568553459119497</v>
      </c>
      <c r="M320" s="421">
        <v>161</v>
      </c>
      <c r="N320" s="421">
        <v>178</v>
      </c>
      <c r="O320" s="421">
        <v>30794</v>
      </c>
      <c r="P320" s="443">
        <v>1.291153039832285</v>
      </c>
      <c r="Q320" s="422">
        <v>173</v>
      </c>
    </row>
    <row r="321" spans="1:17" ht="14.4" customHeight="1" x14ac:dyDescent="0.3">
      <c r="A321" s="417" t="s">
        <v>1148</v>
      </c>
      <c r="B321" s="418" t="s">
        <v>986</v>
      </c>
      <c r="C321" s="418" t="s">
        <v>987</v>
      </c>
      <c r="D321" s="418" t="s">
        <v>1002</v>
      </c>
      <c r="E321" s="418" t="s">
        <v>1003</v>
      </c>
      <c r="F321" s="421">
        <v>159</v>
      </c>
      <c r="G321" s="421">
        <v>185235</v>
      </c>
      <c r="H321" s="421">
        <v>1</v>
      </c>
      <c r="I321" s="421">
        <v>1165</v>
      </c>
      <c r="J321" s="421">
        <v>340</v>
      </c>
      <c r="K321" s="421">
        <v>397460</v>
      </c>
      <c r="L321" s="421">
        <v>2.1457068048694903</v>
      </c>
      <c r="M321" s="421">
        <v>1169</v>
      </c>
      <c r="N321" s="421">
        <v>432</v>
      </c>
      <c r="O321" s="421">
        <v>506736</v>
      </c>
      <c r="P321" s="443">
        <v>2.7356385132399383</v>
      </c>
      <c r="Q321" s="422">
        <v>1173</v>
      </c>
    </row>
    <row r="322" spans="1:17" ht="14.4" customHeight="1" x14ac:dyDescent="0.3">
      <c r="A322" s="417" t="s">
        <v>1148</v>
      </c>
      <c r="B322" s="418" t="s">
        <v>986</v>
      </c>
      <c r="C322" s="418" t="s">
        <v>987</v>
      </c>
      <c r="D322" s="418" t="s">
        <v>1004</v>
      </c>
      <c r="E322" s="418" t="s">
        <v>1005</v>
      </c>
      <c r="F322" s="421">
        <v>268</v>
      </c>
      <c r="G322" s="421">
        <v>10452</v>
      </c>
      <c r="H322" s="421">
        <v>1</v>
      </c>
      <c r="I322" s="421">
        <v>39</v>
      </c>
      <c r="J322" s="421">
        <v>259</v>
      </c>
      <c r="K322" s="421">
        <v>10360</v>
      </c>
      <c r="L322" s="421">
        <v>0.99119785686949868</v>
      </c>
      <c r="M322" s="421">
        <v>40</v>
      </c>
      <c r="N322" s="421">
        <v>381</v>
      </c>
      <c r="O322" s="421">
        <v>15621</v>
      </c>
      <c r="P322" s="443">
        <v>1.4945464982778416</v>
      </c>
      <c r="Q322" s="422">
        <v>41</v>
      </c>
    </row>
    <row r="323" spans="1:17" ht="14.4" customHeight="1" x14ac:dyDescent="0.3">
      <c r="A323" s="417" t="s">
        <v>1148</v>
      </c>
      <c r="B323" s="418" t="s">
        <v>986</v>
      </c>
      <c r="C323" s="418" t="s">
        <v>987</v>
      </c>
      <c r="D323" s="418" t="s">
        <v>1006</v>
      </c>
      <c r="E323" s="418" t="s">
        <v>1007</v>
      </c>
      <c r="F323" s="421">
        <v>13</v>
      </c>
      <c r="G323" s="421">
        <v>4966</v>
      </c>
      <c r="H323" s="421">
        <v>1</v>
      </c>
      <c r="I323" s="421">
        <v>382</v>
      </c>
      <c r="J323" s="421">
        <v>5</v>
      </c>
      <c r="K323" s="421">
        <v>1915</v>
      </c>
      <c r="L323" s="421">
        <v>0.38562223117196937</v>
      </c>
      <c r="M323" s="421">
        <v>383</v>
      </c>
      <c r="N323" s="421">
        <v>20</v>
      </c>
      <c r="O323" s="421">
        <v>7680</v>
      </c>
      <c r="P323" s="443">
        <v>1.5465163109142166</v>
      </c>
      <c r="Q323" s="422">
        <v>384</v>
      </c>
    </row>
    <row r="324" spans="1:17" ht="14.4" customHeight="1" x14ac:dyDescent="0.3">
      <c r="A324" s="417" t="s">
        <v>1148</v>
      </c>
      <c r="B324" s="418" t="s">
        <v>986</v>
      </c>
      <c r="C324" s="418" t="s">
        <v>987</v>
      </c>
      <c r="D324" s="418" t="s">
        <v>1008</v>
      </c>
      <c r="E324" s="418" t="s">
        <v>1009</v>
      </c>
      <c r="F324" s="421">
        <v>6</v>
      </c>
      <c r="G324" s="421">
        <v>222</v>
      </c>
      <c r="H324" s="421">
        <v>1</v>
      </c>
      <c r="I324" s="421">
        <v>37</v>
      </c>
      <c r="J324" s="421"/>
      <c r="K324" s="421"/>
      <c r="L324" s="421"/>
      <c r="M324" s="421"/>
      <c r="N324" s="421">
        <v>11</v>
      </c>
      <c r="O324" s="421">
        <v>407</v>
      </c>
      <c r="P324" s="443">
        <v>1.8333333333333333</v>
      </c>
      <c r="Q324" s="422">
        <v>37</v>
      </c>
    </row>
    <row r="325" spans="1:17" ht="14.4" customHeight="1" x14ac:dyDescent="0.3">
      <c r="A325" s="417" t="s">
        <v>1148</v>
      </c>
      <c r="B325" s="418" t="s">
        <v>986</v>
      </c>
      <c r="C325" s="418" t="s">
        <v>987</v>
      </c>
      <c r="D325" s="418" t="s">
        <v>1012</v>
      </c>
      <c r="E325" s="418" t="s">
        <v>1013</v>
      </c>
      <c r="F325" s="421">
        <v>23</v>
      </c>
      <c r="G325" s="421">
        <v>10212</v>
      </c>
      <c r="H325" s="421">
        <v>1</v>
      </c>
      <c r="I325" s="421">
        <v>444</v>
      </c>
      <c r="J325" s="421">
        <v>9</v>
      </c>
      <c r="K325" s="421">
        <v>4005</v>
      </c>
      <c r="L325" s="421">
        <v>0.39218566392479437</v>
      </c>
      <c r="M325" s="421">
        <v>445</v>
      </c>
      <c r="N325" s="421">
        <v>36</v>
      </c>
      <c r="O325" s="421">
        <v>16056</v>
      </c>
      <c r="P325" s="443">
        <v>1.5722679200940071</v>
      </c>
      <c r="Q325" s="422">
        <v>446</v>
      </c>
    </row>
    <row r="326" spans="1:17" ht="14.4" customHeight="1" x14ac:dyDescent="0.3">
      <c r="A326" s="417" t="s">
        <v>1148</v>
      </c>
      <c r="B326" s="418" t="s">
        <v>986</v>
      </c>
      <c r="C326" s="418" t="s">
        <v>987</v>
      </c>
      <c r="D326" s="418" t="s">
        <v>1014</v>
      </c>
      <c r="E326" s="418" t="s">
        <v>1015</v>
      </c>
      <c r="F326" s="421">
        <v>28</v>
      </c>
      <c r="G326" s="421">
        <v>1148</v>
      </c>
      <c r="H326" s="421">
        <v>1</v>
      </c>
      <c r="I326" s="421">
        <v>41</v>
      </c>
      <c r="J326" s="421">
        <v>47</v>
      </c>
      <c r="K326" s="421">
        <v>1927</v>
      </c>
      <c r="L326" s="421">
        <v>1.6785714285714286</v>
      </c>
      <c r="M326" s="421">
        <v>41</v>
      </c>
      <c r="N326" s="421">
        <v>15</v>
      </c>
      <c r="O326" s="421">
        <v>630</v>
      </c>
      <c r="P326" s="443">
        <v>0.54878048780487809</v>
      </c>
      <c r="Q326" s="422">
        <v>42</v>
      </c>
    </row>
    <row r="327" spans="1:17" ht="14.4" customHeight="1" x14ac:dyDescent="0.3">
      <c r="A327" s="417" t="s">
        <v>1148</v>
      </c>
      <c r="B327" s="418" t="s">
        <v>986</v>
      </c>
      <c r="C327" s="418" t="s">
        <v>987</v>
      </c>
      <c r="D327" s="418" t="s">
        <v>1016</v>
      </c>
      <c r="E327" s="418" t="s">
        <v>1017</v>
      </c>
      <c r="F327" s="421">
        <v>52</v>
      </c>
      <c r="G327" s="421">
        <v>25480</v>
      </c>
      <c r="H327" s="421">
        <v>1</v>
      </c>
      <c r="I327" s="421">
        <v>490</v>
      </c>
      <c r="J327" s="421">
        <v>90</v>
      </c>
      <c r="K327" s="421">
        <v>44190</v>
      </c>
      <c r="L327" s="421">
        <v>1.7343014128728413</v>
      </c>
      <c r="M327" s="421">
        <v>491</v>
      </c>
      <c r="N327" s="421">
        <v>208</v>
      </c>
      <c r="O327" s="421">
        <v>102336</v>
      </c>
      <c r="P327" s="443">
        <v>4.0163265306122451</v>
      </c>
      <c r="Q327" s="422">
        <v>492</v>
      </c>
    </row>
    <row r="328" spans="1:17" ht="14.4" customHeight="1" x14ac:dyDescent="0.3">
      <c r="A328" s="417" t="s">
        <v>1148</v>
      </c>
      <c r="B328" s="418" t="s">
        <v>986</v>
      </c>
      <c r="C328" s="418" t="s">
        <v>987</v>
      </c>
      <c r="D328" s="418" t="s">
        <v>1018</v>
      </c>
      <c r="E328" s="418" t="s">
        <v>1019</v>
      </c>
      <c r="F328" s="421">
        <v>25</v>
      </c>
      <c r="G328" s="421">
        <v>775</v>
      </c>
      <c r="H328" s="421">
        <v>1</v>
      </c>
      <c r="I328" s="421">
        <v>31</v>
      </c>
      <c r="J328" s="421">
        <v>27</v>
      </c>
      <c r="K328" s="421">
        <v>837</v>
      </c>
      <c r="L328" s="421">
        <v>1.08</v>
      </c>
      <c r="M328" s="421">
        <v>31</v>
      </c>
      <c r="N328" s="421">
        <v>26</v>
      </c>
      <c r="O328" s="421">
        <v>806</v>
      </c>
      <c r="P328" s="443">
        <v>1.04</v>
      </c>
      <c r="Q328" s="422">
        <v>31</v>
      </c>
    </row>
    <row r="329" spans="1:17" ht="14.4" customHeight="1" x14ac:dyDescent="0.3">
      <c r="A329" s="417" t="s">
        <v>1148</v>
      </c>
      <c r="B329" s="418" t="s">
        <v>986</v>
      </c>
      <c r="C329" s="418" t="s">
        <v>987</v>
      </c>
      <c r="D329" s="418" t="s">
        <v>1020</v>
      </c>
      <c r="E329" s="418" t="s">
        <v>1021</v>
      </c>
      <c r="F329" s="421">
        <v>91</v>
      </c>
      <c r="G329" s="421">
        <v>18655</v>
      </c>
      <c r="H329" s="421">
        <v>1</v>
      </c>
      <c r="I329" s="421">
        <v>205</v>
      </c>
      <c r="J329" s="421">
        <v>132</v>
      </c>
      <c r="K329" s="421">
        <v>27324</v>
      </c>
      <c r="L329" s="421">
        <v>1.4647011525060305</v>
      </c>
      <c r="M329" s="421">
        <v>207</v>
      </c>
      <c r="N329" s="421">
        <v>111</v>
      </c>
      <c r="O329" s="421">
        <v>23088</v>
      </c>
      <c r="P329" s="443">
        <v>1.2376306620209059</v>
      </c>
      <c r="Q329" s="422">
        <v>208</v>
      </c>
    </row>
    <row r="330" spans="1:17" ht="14.4" customHeight="1" x14ac:dyDescent="0.3">
      <c r="A330" s="417" t="s">
        <v>1148</v>
      </c>
      <c r="B330" s="418" t="s">
        <v>986</v>
      </c>
      <c r="C330" s="418" t="s">
        <v>987</v>
      </c>
      <c r="D330" s="418" t="s">
        <v>1022</v>
      </c>
      <c r="E330" s="418" t="s">
        <v>1023</v>
      </c>
      <c r="F330" s="421">
        <v>109</v>
      </c>
      <c r="G330" s="421">
        <v>41093</v>
      </c>
      <c r="H330" s="421">
        <v>1</v>
      </c>
      <c r="I330" s="421">
        <v>377</v>
      </c>
      <c r="J330" s="421">
        <v>134</v>
      </c>
      <c r="K330" s="421">
        <v>50920</v>
      </c>
      <c r="L330" s="421">
        <v>1.239140486214197</v>
      </c>
      <c r="M330" s="421">
        <v>380</v>
      </c>
      <c r="N330" s="421">
        <v>109</v>
      </c>
      <c r="O330" s="421">
        <v>41856</v>
      </c>
      <c r="P330" s="443">
        <v>1.0185676392572944</v>
      </c>
      <c r="Q330" s="422">
        <v>384</v>
      </c>
    </row>
    <row r="331" spans="1:17" ht="14.4" customHeight="1" x14ac:dyDescent="0.3">
      <c r="A331" s="417" t="s">
        <v>1148</v>
      </c>
      <c r="B331" s="418" t="s">
        <v>986</v>
      </c>
      <c r="C331" s="418" t="s">
        <v>987</v>
      </c>
      <c r="D331" s="418" t="s">
        <v>1026</v>
      </c>
      <c r="E331" s="418" t="s">
        <v>1027</v>
      </c>
      <c r="F331" s="421">
        <v>12</v>
      </c>
      <c r="G331" s="421">
        <v>1548</v>
      </c>
      <c r="H331" s="421">
        <v>1</v>
      </c>
      <c r="I331" s="421">
        <v>129</v>
      </c>
      <c r="J331" s="421">
        <v>2</v>
      </c>
      <c r="K331" s="421">
        <v>262</v>
      </c>
      <c r="L331" s="421">
        <v>0.16925064599483206</v>
      </c>
      <c r="M331" s="421">
        <v>131</v>
      </c>
      <c r="N331" s="421">
        <v>9</v>
      </c>
      <c r="O331" s="421">
        <v>1233</v>
      </c>
      <c r="P331" s="443">
        <v>0.79651162790697672</v>
      </c>
      <c r="Q331" s="422">
        <v>137</v>
      </c>
    </row>
    <row r="332" spans="1:17" ht="14.4" customHeight="1" x14ac:dyDescent="0.3">
      <c r="A332" s="417" t="s">
        <v>1148</v>
      </c>
      <c r="B332" s="418" t="s">
        <v>986</v>
      </c>
      <c r="C332" s="418" t="s">
        <v>987</v>
      </c>
      <c r="D332" s="418" t="s">
        <v>1032</v>
      </c>
      <c r="E332" s="418" t="s">
        <v>1033</v>
      </c>
      <c r="F332" s="421">
        <v>324</v>
      </c>
      <c r="G332" s="421">
        <v>5184</v>
      </c>
      <c r="H332" s="421">
        <v>1</v>
      </c>
      <c r="I332" s="421">
        <v>16</v>
      </c>
      <c r="J332" s="421">
        <v>303</v>
      </c>
      <c r="K332" s="421">
        <v>4848</v>
      </c>
      <c r="L332" s="421">
        <v>0.93518518518518523</v>
      </c>
      <c r="M332" s="421">
        <v>16</v>
      </c>
      <c r="N332" s="421">
        <v>354</v>
      </c>
      <c r="O332" s="421">
        <v>6018</v>
      </c>
      <c r="P332" s="443">
        <v>1.1608796296296295</v>
      </c>
      <c r="Q332" s="422">
        <v>17</v>
      </c>
    </row>
    <row r="333" spans="1:17" ht="14.4" customHeight="1" x14ac:dyDescent="0.3">
      <c r="A333" s="417" t="s">
        <v>1148</v>
      </c>
      <c r="B333" s="418" t="s">
        <v>986</v>
      </c>
      <c r="C333" s="418" t="s">
        <v>987</v>
      </c>
      <c r="D333" s="418" t="s">
        <v>1034</v>
      </c>
      <c r="E333" s="418" t="s">
        <v>1035</v>
      </c>
      <c r="F333" s="421">
        <v>18</v>
      </c>
      <c r="G333" s="421">
        <v>2394</v>
      </c>
      <c r="H333" s="421">
        <v>1</v>
      </c>
      <c r="I333" s="421">
        <v>133</v>
      </c>
      <c r="J333" s="421">
        <v>4</v>
      </c>
      <c r="K333" s="421">
        <v>544</v>
      </c>
      <c r="L333" s="421">
        <v>0.22723475355054301</v>
      </c>
      <c r="M333" s="421">
        <v>136</v>
      </c>
      <c r="N333" s="421">
        <v>17</v>
      </c>
      <c r="O333" s="421">
        <v>2363</v>
      </c>
      <c r="P333" s="443">
        <v>0.98705096073517129</v>
      </c>
      <c r="Q333" s="422">
        <v>139</v>
      </c>
    </row>
    <row r="334" spans="1:17" ht="14.4" customHeight="1" x14ac:dyDescent="0.3">
      <c r="A334" s="417" t="s">
        <v>1148</v>
      </c>
      <c r="B334" s="418" t="s">
        <v>986</v>
      </c>
      <c r="C334" s="418" t="s">
        <v>987</v>
      </c>
      <c r="D334" s="418" t="s">
        <v>1036</v>
      </c>
      <c r="E334" s="418" t="s">
        <v>1037</v>
      </c>
      <c r="F334" s="421">
        <v>35</v>
      </c>
      <c r="G334" s="421">
        <v>3570</v>
      </c>
      <c r="H334" s="421">
        <v>1</v>
      </c>
      <c r="I334" s="421">
        <v>102</v>
      </c>
      <c r="J334" s="421">
        <v>40</v>
      </c>
      <c r="K334" s="421">
        <v>4120</v>
      </c>
      <c r="L334" s="421">
        <v>1.1540616246498598</v>
      </c>
      <c r="M334" s="421">
        <v>103</v>
      </c>
      <c r="N334" s="421">
        <v>38</v>
      </c>
      <c r="O334" s="421">
        <v>3914</v>
      </c>
      <c r="P334" s="443">
        <v>1.096358543417367</v>
      </c>
      <c r="Q334" s="422">
        <v>103</v>
      </c>
    </row>
    <row r="335" spans="1:17" ht="14.4" customHeight="1" x14ac:dyDescent="0.3">
      <c r="A335" s="417" t="s">
        <v>1148</v>
      </c>
      <c r="B335" s="418" t="s">
        <v>986</v>
      </c>
      <c r="C335" s="418" t="s">
        <v>987</v>
      </c>
      <c r="D335" s="418" t="s">
        <v>1040</v>
      </c>
      <c r="E335" s="418" t="s">
        <v>1041</v>
      </c>
      <c r="F335" s="421">
        <v>255</v>
      </c>
      <c r="G335" s="421">
        <v>28815</v>
      </c>
      <c r="H335" s="421">
        <v>1</v>
      </c>
      <c r="I335" s="421">
        <v>113</v>
      </c>
      <c r="J335" s="421">
        <v>250</v>
      </c>
      <c r="K335" s="421">
        <v>29000</v>
      </c>
      <c r="L335" s="421">
        <v>1.0064202672219331</v>
      </c>
      <c r="M335" s="421">
        <v>116</v>
      </c>
      <c r="N335" s="421">
        <v>207</v>
      </c>
      <c r="O335" s="421">
        <v>24219</v>
      </c>
      <c r="P335" s="443">
        <v>0.84049973971889635</v>
      </c>
      <c r="Q335" s="422">
        <v>117</v>
      </c>
    </row>
    <row r="336" spans="1:17" ht="14.4" customHeight="1" x14ac:dyDescent="0.3">
      <c r="A336" s="417" t="s">
        <v>1148</v>
      </c>
      <c r="B336" s="418" t="s">
        <v>986</v>
      </c>
      <c r="C336" s="418" t="s">
        <v>987</v>
      </c>
      <c r="D336" s="418" t="s">
        <v>1042</v>
      </c>
      <c r="E336" s="418" t="s">
        <v>1043</v>
      </c>
      <c r="F336" s="421">
        <v>59</v>
      </c>
      <c r="G336" s="421">
        <v>4956</v>
      </c>
      <c r="H336" s="421">
        <v>1</v>
      </c>
      <c r="I336" s="421">
        <v>84</v>
      </c>
      <c r="J336" s="421">
        <v>84</v>
      </c>
      <c r="K336" s="421">
        <v>7140</v>
      </c>
      <c r="L336" s="421">
        <v>1.4406779661016949</v>
      </c>
      <c r="M336" s="421">
        <v>85</v>
      </c>
      <c r="N336" s="421">
        <v>46</v>
      </c>
      <c r="O336" s="421">
        <v>4186</v>
      </c>
      <c r="P336" s="443">
        <v>0.84463276836158196</v>
      </c>
      <c r="Q336" s="422">
        <v>91</v>
      </c>
    </row>
    <row r="337" spans="1:17" ht="14.4" customHeight="1" x14ac:dyDescent="0.3">
      <c r="A337" s="417" t="s">
        <v>1148</v>
      </c>
      <c r="B337" s="418" t="s">
        <v>986</v>
      </c>
      <c r="C337" s="418" t="s">
        <v>987</v>
      </c>
      <c r="D337" s="418" t="s">
        <v>1044</v>
      </c>
      <c r="E337" s="418" t="s">
        <v>1045</v>
      </c>
      <c r="F337" s="421"/>
      <c r="G337" s="421"/>
      <c r="H337" s="421"/>
      <c r="I337" s="421"/>
      <c r="J337" s="421"/>
      <c r="K337" s="421"/>
      <c r="L337" s="421"/>
      <c r="M337" s="421"/>
      <c r="N337" s="421">
        <v>2</v>
      </c>
      <c r="O337" s="421">
        <v>198</v>
      </c>
      <c r="P337" s="443"/>
      <c r="Q337" s="422">
        <v>99</v>
      </c>
    </row>
    <row r="338" spans="1:17" ht="14.4" customHeight="1" x14ac:dyDescent="0.3">
      <c r="A338" s="417" t="s">
        <v>1148</v>
      </c>
      <c r="B338" s="418" t="s">
        <v>986</v>
      </c>
      <c r="C338" s="418" t="s">
        <v>987</v>
      </c>
      <c r="D338" s="418" t="s">
        <v>1046</v>
      </c>
      <c r="E338" s="418" t="s">
        <v>1047</v>
      </c>
      <c r="F338" s="421">
        <v>20</v>
      </c>
      <c r="G338" s="421">
        <v>420</v>
      </c>
      <c r="H338" s="421">
        <v>1</v>
      </c>
      <c r="I338" s="421">
        <v>21</v>
      </c>
      <c r="J338" s="421">
        <v>19</v>
      </c>
      <c r="K338" s="421">
        <v>399</v>
      </c>
      <c r="L338" s="421">
        <v>0.95</v>
      </c>
      <c r="M338" s="421">
        <v>21</v>
      </c>
      <c r="N338" s="421">
        <v>20</v>
      </c>
      <c r="O338" s="421">
        <v>420</v>
      </c>
      <c r="P338" s="443">
        <v>1</v>
      </c>
      <c r="Q338" s="422">
        <v>21</v>
      </c>
    </row>
    <row r="339" spans="1:17" ht="14.4" customHeight="1" x14ac:dyDescent="0.3">
      <c r="A339" s="417" t="s">
        <v>1148</v>
      </c>
      <c r="B339" s="418" t="s">
        <v>986</v>
      </c>
      <c r="C339" s="418" t="s">
        <v>987</v>
      </c>
      <c r="D339" s="418" t="s">
        <v>1048</v>
      </c>
      <c r="E339" s="418" t="s">
        <v>1049</v>
      </c>
      <c r="F339" s="421">
        <v>443</v>
      </c>
      <c r="G339" s="421">
        <v>215298</v>
      </c>
      <c r="H339" s="421">
        <v>1</v>
      </c>
      <c r="I339" s="421">
        <v>486</v>
      </c>
      <c r="J339" s="421">
        <v>405</v>
      </c>
      <c r="K339" s="421">
        <v>197235</v>
      </c>
      <c r="L339" s="421">
        <v>0.91610233258088791</v>
      </c>
      <c r="M339" s="421">
        <v>487</v>
      </c>
      <c r="N339" s="421">
        <v>584</v>
      </c>
      <c r="O339" s="421">
        <v>284992</v>
      </c>
      <c r="P339" s="443">
        <v>1.3237094631626862</v>
      </c>
      <c r="Q339" s="422">
        <v>488</v>
      </c>
    </row>
    <row r="340" spans="1:17" ht="14.4" customHeight="1" x14ac:dyDescent="0.3">
      <c r="A340" s="417" t="s">
        <v>1148</v>
      </c>
      <c r="B340" s="418" t="s">
        <v>986</v>
      </c>
      <c r="C340" s="418" t="s">
        <v>987</v>
      </c>
      <c r="D340" s="418" t="s">
        <v>1056</v>
      </c>
      <c r="E340" s="418" t="s">
        <v>1057</v>
      </c>
      <c r="F340" s="421">
        <v>41</v>
      </c>
      <c r="G340" s="421">
        <v>1640</v>
      </c>
      <c r="H340" s="421">
        <v>1</v>
      </c>
      <c r="I340" s="421">
        <v>40</v>
      </c>
      <c r="J340" s="421">
        <v>51</v>
      </c>
      <c r="K340" s="421">
        <v>2091</v>
      </c>
      <c r="L340" s="421">
        <v>1.2749999999999999</v>
      </c>
      <c r="M340" s="421">
        <v>41</v>
      </c>
      <c r="N340" s="421">
        <v>38</v>
      </c>
      <c r="O340" s="421">
        <v>1558</v>
      </c>
      <c r="P340" s="443">
        <v>0.95</v>
      </c>
      <c r="Q340" s="422">
        <v>41</v>
      </c>
    </row>
    <row r="341" spans="1:17" ht="14.4" customHeight="1" x14ac:dyDescent="0.3">
      <c r="A341" s="417" t="s">
        <v>1148</v>
      </c>
      <c r="B341" s="418" t="s">
        <v>986</v>
      </c>
      <c r="C341" s="418" t="s">
        <v>987</v>
      </c>
      <c r="D341" s="418" t="s">
        <v>1064</v>
      </c>
      <c r="E341" s="418" t="s">
        <v>1065</v>
      </c>
      <c r="F341" s="421">
        <v>5</v>
      </c>
      <c r="G341" s="421">
        <v>1075</v>
      </c>
      <c r="H341" s="421">
        <v>1</v>
      </c>
      <c r="I341" s="421">
        <v>215</v>
      </c>
      <c r="J341" s="421">
        <v>2</v>
      </c>
      <c r="K341" s="421">
        <v>438</v>
      </c>
      <c r="L341" s="421">
        <v>0.40744186046511627</v>
      </c>
      <c r="M341" s="421">
        <v>219</v>
      </c>
      <c r="N341" s="421">
        <v>1</v>
      </c>
      <c r="O341" s="421">
        <v>223</v>
      </c>
      <c r="P341" s="443">
        <v>0.20744186046511628</v>
      </c>
      <c r="Q341" s="422">
        <v>223</v>
      </c>
    </row>
    <row r="342" spans="1:17" ht="14.4" customHeight="1" x14ac:dyDescent="0.3">
      <c r="A342" s="417" t="s">
        <v>1148</v>
      </c>
      <c r="B342" s="418" t="s">
        <v>986</v>
      </c>
      <c r="C342" s="418" t="s">
        <v>987</v>
      </c>
      <c r="D342" s="418" t="s">
        <v>1066</v>
      </c>
      <c r="E342" s="418" t="s">
        <v>1067</v>
      </c>
      <c r="F342" s="421"/>
      <c r="G342" s="421"/>
      <c r="H342" s="421"/>
      <c r="I342" s="421"/>
      <c r="J342" s="421"/>
      <c r="K342" s="421"/>
      <c r="L342" s="421"/>
      <c r="M342" s="421"/>
      <c r="N342" s="421">
        <v>3</v>
      </c>
      <c r="O342" s="421">
        <v>2289</v>
      </c>
      <c r="P342" s="443"/>
      <c r="Q342" s="422">
        <v>763</v>
      </c>
    </row>
    <row r="343" spans="1:17" ht="14.4" customHeight="1" x14ac:dyDescent="0.3">
      <c r="A343" s="417" t="s">
        <v>1148</v>
      </c>
      <c r="B343" s="418" t="s">
        <v>986</v>
      </c>
      <c r="C343" s="418" t="s">
        <v>987</v>
      </c>
      <c r="D343" s="418" t="s">
        <v>1068</v>
      </c>
      <c r="E343" s="418" t="s">
        <v>1069</v>
      </c>
      <c r="F343" s="421">
        <v>3</v>
      </c>
      <c r="G343" s="421">
        <v>6087</v>
      </c>
      <c r="H343" s="421">
        <v>1</v>
      </c>
      <c r="I343" s="421">
        <v>2029</v>
      </c>
      <c r="J343" s="421"/>
      <c r="K343" s="421"/>
      <c r="L343" s="421"/>
      <c r="M343" s="421"/>
      <c r="N343" s="421"/>
      <c r="O343" s="421"/>
      <c r="P343" s="443"/>
      <c r="Q343" s="422"/>
    </row>
    <row r="344" spans="1:17" ht="14.4" customHeight="1" x14ac:dyDescent="0.3">
      <c r="A344" s="417" t="s">
        <v>1148</v>
      </c>
      <c r="B344" s="418" t="s">
        <v>986</v>
      </c>
      <c r="C344" s="418" t="s">
        <v>987</v>
      </c>
      <c r="D344" s="418" t="s">
        <v>1070</v>
      </c>
      <c r="E344" s="418" t="s">
        <v>1071</v>
      </c>
      <c r="F344" s="421">
        <v>17</v>
      </c>
      <c r="G344" s="421">
        <v>10268</v>
      </c>
      <c r="H344" s="421">
        <v>1</v>
      </c>
      <c r="I344" s="421">
        <v>604</v>
      </c>
      <c r="J344" s="421">
        <v>4</v>
      </c>
      <c r="K344" s="421">
        <v>2432</v>
      </c>
      <c r="L344" s="421">
        <v>0.23685235683677444</v>
      </c>
      <c r="M344" s="421">
        <v>608</v>
      </c>
      <c r="N344" s="421">
        <v>12</v>
      </c>
      <c r="O344" s="421">
        <v>7368</v>
      </c>
      <c r="P344" s="443">
        <v>0.71756914686404361</v>
      </c>
      <c r="Q344" s="422">
        <v>614</v>
      </c>
    </row>
    <row r="345" spans="1:17" ht="14.4" customHeight="1" x14ac:dyDescent="0.3">
      <c r="A345" s="417" t="s">
        <v>1148</v>
      </c>
      <c r="B345" s="418" t="s">
        <v>986</v>
      </c>
      <c r="C345" s="418" t="s">
        <v>987</v>
      </c>
      <c r="D345" s="418" t="s">
        <v>1072</v>
      </c>
      <c r="E345" s="418" t="s">
        <v>1073</v>
      </c>
      <c r="F345" s="421"/>
      <c r="G345" s="421"/>
      <c r="H345" s="421"/>
      <c r="I345" s="421"/>
      <c r="J345" s="421">
        <v>1</v>
      </c>
      <c r="K345" s="421">
        <v>962</v>
      </c>
      <c r="L345" s="421"/>
      <c r="M345" s="421">
        <v>962</v>
      </c>
      <c r="N345" s="421">
        <v>1</v>
      </c>
      <c r="O345" s="421">
        <v>963</v>
      </c>
      <c r="P345" s="443"/>
      <c r="Q345" s="422">
        <v>963</v>
      </c>
    </row>
    <row r="346" spans="1:17" ht="14.4" customHeight="1" x14ac:dyDescent="0.3">
      <c r="A346" s="417" t="s">
        <v>1148</v>
      </c>
      <c r="B346" s="418" t="s">
        <v>986</v>
      </c>
      <c r="C346" s="418" t="s">
        <v>987</v>
      </c>
      <c r="D346" s="418" t="s">
        <v>1074</v>
      </c>
      <c r="E346" s="418" t="s">
        <v>1075</v>
      </c>
      <c r="F346" s="421">
        <v>14</v>
      </c>
      <c r="G346" s="421">
        <v>7084</v>
      </c>
      <c r="H346" s="421">
        <v>1</v>
      </c>
      <c r="I346" s="421">
        <v>506</v>
      </c>
      <c r="J346" s="421">
        <v>2</v>
      </c>
      <c r="K346" s="421">
        <v>1018</v>
      </c>
      <c r="L346" s="421">
        <v>0.14370412196499152</v>
      </c>
      <c r="M346" s="421">
        <v>509</v>
      </c>
      <c r="N346" s="421"/>
      <c r="O346" s="421"/>
      <c r="P346" s="443"/>
      <c r="Q346" s="422"/>
    </row>
    <row r="347" spans="1:17" ht="14.4" customHeight="1" x14ac:dyDescent="0.3">
      <c r="A347" s="417" t="s">
        <v>1148</v>
      </c>
      <c r="B347" s="418" t="s">
        <v>986</v>
      </c>
      <c r="C347" s="418" t="s">
        <v>987</v>
      </c>
      <c r="D347" s="418" t="s">
        <v>1076</v>
      </c>
      <c r="E347" s="418" t="s">
        <v>1077</v>
      </c>
      <c r="F347" s="421">
        <v>3</v>
      </c>
      <c r="G347" s="421">
        <v>5115</v>
      </c>
      <c r="H347" s="421">
        <v>1</v>
      </c>
      <c r="I347" s="421">
        <v>1705</v>
      </c>
      <c r="J347" s="421"/>
      <c r="K347" s="421"/>
      <c r="L347" s="421"/>
      <c r="M347" s="421"/>
      <c r="N347" s="421"/>
      <c r="O347" s="421"/>
      <c r="P347" s="443"/>
      <c r="Q347" s="422"/>
    </row>
    <row r="348" spans="1:17" ht="14.4" customHeight="1" x14ac:dyDescent="0.3">
      <c r="A348" s="417" t="s">
        <v>1148</v>
      </c>
      <c r="B348" s="418" t="s">
        <v>986</v>
      </c>
      <c r="C348" s="418" t="s">
        <v>987</v>
      </c>
      <c r="D348" s="418" t="s">
        <v>1088</v>
      </c>
      <c r="E348" s="418" t="s">
        <v>1089</v>
      </c>
      <c r="F348" s="421"/>
      <c r="G348" s="421"/>
      <c r="H348" s="421"/>
      <c r="I348" s="421"/>
      <c r="J348" s="421">
        <v>2</v>
      </c>
      <c r="K348" s="421">
        <v>304</v>
      </c>
      <c r="L348" s="421"/>
      <c r="M348" s="421">
        <v>152</v>
      </c>
      <c r="N348" s="421"/>
      <c r="O348" s="421"/>
      <c r="P348" s="443"/>
      <c r="Q348" s="422"/>
    </row>
    <row r="349" spans="1:17" ht="14.4" customHeight="1" x14ac:dyDescent="0.3">
      <c r="A349" s="417" t="s">
        <v>1148</v>
      </c>
      <c r="B349" s="418" t="s">
        <v>986</v>
      </c>
      <c r="C349" s="418" t="s">
        <v>987</v>
      </c>
      <c r="D349" s="418" t="s">
        <v>1131</v>
      </c>
      <c r="E349" s="418" t="s">
        <v>1132</v>
      </c>
      <c r="F349" s="421">
        <v>2</v>
      </c>
      <c r="G349" s="421">
        <v>654</v>
      </c>
      <c r="H349" s="421">
        <v>1</v>
      </c>
      <c r="I349" s="421">
        <v>327</v>
      </c>
      <c r="J349" s="421">
        <v>1</v>
      </c>
      <c r="K349" s="421">
        <v>328</v>
      </c>
      <c r="L349" s="421">
        <v>0.50152905198776754</v>
      </c>
      <c r="M349" s="421">
        <v>328</v>
      </c>
      <c r="N349" s="421">
        <v>2</v>
      </c>
      <c r="O349" s="421">
        <v>658</v>
      </c>
      <c r="P349" s="443">
        <v>1.0061162079510704</v>
      </c>
      <c r="Q349" s="422">
        <v>329</v>
      </c>
    </row>
    <row r="350" spans="1:17" ht="14.4" customHeight="1" x14ac:dyDescent="0.3">
      <c r="A350" s="417" t="s">
        <v>1148</v>
      </c>
      <c r="B350" s="418" t="s">
        <v>986</v>
      </c>
      <c r="C350" s="418" t="s">
        <v>987</v>
      </c>
      <c r="D350" s="418" t="s">
        <v>1094</v>
      </c>
      <c r="E350" s="418" t="s">
        <v>1095</v>
      </c>
      <c r="F350" s="421"/>
      <c r="G350" s="421"/>
      <c r="H350" s="421"/>
      <c r="I350" s="421"/>
      <c r="J350" s="421">
        <v>1</v>
      </c>
      <c r="K350" s="421">
        <v>29</v>
      </c>
      <c r="L350" s="421"/>
      <c r="M350" s="421">
        <v>29</v>
      </c>
      <c r="N350" s="421"/>
      <c r="O350" s="421"/>
      <c r="P350" s="443"/>
      <c r="Q350" s="422"/>
    </row>
    <row r="351" spans="1:17" ht="14.4" customHeight="1" x14ac:dyDescent="0.3">
      <c r="A351" s="417" t="s">
        <v>1149</v>
      </c>
      <c r="B351" s="418" t="s">
        <v>986</v>
      </c>
      <c r="C351" s="418" t="s">
        <v>987</v>
      </c>
      <c r="D351" s="418" t="s">
        <v>988</v>
      </c>
      <c r="E351" s="418" t="s">
        <v>989</v>
      </c>
      <c r="F351" s="421">
        <v>76</v>
      </c>
      <c r="G351" s="421">
        <v>12084</v>
      </c>
      <c r="H351" s="421">
        <v>1</v>
      </c>
      <c r="I351" s="421">
        <v>159</v>
      </c>
      <c r="J351" s="421">
        <v>176</v>
      </c>
      <c r="K351" s="421">
        <v>28336</v>
      </c>
      <c r="L351" s="421">
        <v>2.3449189010261504</v>
      </c>
      <c r="M351" s="421">
        <v>161</v>
      </c>
      <c r="N351" s="421">
        <v>210</v>
      </c>
      <c r="O351" s="421">
        <v>36330</v>
      </c>
      <c r="P351" s="443">
        <v>3.0064548162859981</v>
      </c>
      <c r="Q351" s="422">
        <v>173</v>
      </c>
    </row>
    <row r="352" spans="1:17" ht="14.4" customHeight="1" x14ac:dyDescent="0.3">
      <c r="A352" s="417" t="s">
        <v>1149</v>
      </c>
      <c r="B352" s="418" t="s">
        <v>986</v>
      </c>
      <c r="C352" s="418" t="s">
        <v>987</v>
      </c>
      <c r="D352" s="418" t="s">
        <v>1002</v>
      </c>
      <c r="E352" s="418" t="s">
        <v>1003</v>
      </c>
      <c r="F352" s="421">
        <v>16</v>
      </c>
      <c r="G352" s="421">
        <v>18640</v>
      </c>
      <c r="H352" s="421">
        <v>1</v>
      </c>
      <c r="I352" s="421">
        <v>1165</v>
      </c>
      <c r="J352" s="421">
        <v>1</v>
      </c>
      <c r="K352" s="421">
        <v>1169</v>
      </c>
      <c r="L352" s="421">
        <v>6.2714592274678113E-2</v>
      </c>
      <c r="M352" s="421">
        <v>1169</v>
      </c>
      <c r="N352" s="421">
        <v>2</v>
      </c>
      <c r="O352" s="421">
        <v>2346</v>
      </c>
      <c r="P352" s="443">
        <v>0.12585836909871245</v>
      </c>
      <c r="Q352" s="422">
        <v>1173</v>
      </c>
    </row>
    <row r="353" spans="1:17" ht="14.4" customHeight="1" x14ac:dyDescent="0.3">
      <c r="A353" s="417" t="s">
        <v>1149</v>
      </c>
      <c r="B353" s="418" t="s">
        <v>986</v>
      </c>
      <c r="C353" s="418" t="s">
        <v>987</v>
      </c>
      <c r="D353" s="418" t="s">
        <v>1004</v>
      </c>
      <c r="E353" s="418" t="s">
        <v>1005</v>
      </c>
      <c r="F353" s="421">
        <v>15</v>
      </c>
      <c r="G353" s="421">
        <v>585</v>
      </c>
      <c r="H353" s="421">
        <v>1</v>
      </c>
      <c r="I353" s="421">
        <v>39</v>
      </c>
      <c r="J353" s="421">
        <v>27</v>
      </c>
      <c r="K353" s="421">
        <v>1080</v>
      </c>
      <c r="L353" s="421">
        <v>1.8461538461538463</v>
      </c>
      <c r="M353" s="421">
        <v>40</v>
      </c>
      <c r="N353" s="421">
        <v>63</v>
      </c>
      <c r="O353" s="421">
        <v>2583</v>
      </c>
      <c r="P353" s="443">
        <v>4.4153846153846157</v>
      </c>
      <c r="Q353" s="422">
        <v>41</v>
      </c>
    </row>
    <row r="354" spans="1:17" ht="14.4" customHeight="1" x14ac:dyDescent="0.3">
      <c r="A354" s="417" t="s">
        <v>1149</v>
      </c>
      <c r="B354" s="418" t="s">
        <v>986</v>
      </c>
      <c r="C354" s="418" t="s">
        <v>987</v>
      </c>
      <c r="D354" s="418" t="s">
        <v>1006</v>
      </c>
      <c r="E354" s="418" t="s">
        <v>1007</v>
      </c>
      <c r="F354" s="421">
        <v>4</v>
      </c>
      <c r="G354" s="421">
        <v>1528</v>
      </c>
      <c r="H354" s="421">
        <v>1</v>
      </c>
      <c r="I354" s="421">
        <v>382</v>
      </c>
      <c r="J354" s="421">
        <v>15</v>
      </c>
      <c r="K354" s="421">
        <v>5745</v>
      </c>
      <c r="L354" s="421">
        <v>3.7598167539267018</v>
      </c>
      <c r="M354" s="421">
        <v>383</v>
      </c>
      <c r="N354" s="421">
        <v>24</v>
      </c>
      <c r="O354" s="421">
        <v>9216</v>
      </c>
      <c r="P354" s="443">
        <v>6.0314136125654452</v>
      </c>
      <c r="Q354" s="422">
        <v>384</v>
      </c>
    </row>
    <row r="355" spans="1:17" ht="14.4" customHeight="1" x14ac:dyDescent="0.3">
      <c r="A355" s="417" t="s">
        <v>1149</v>
      </c>
      <c r="B355" s="418" t="s">
        <v>986</v>
      </c>
      <c r="C355" s="418" t="s">
        <v>987</v>
      </c>
      <c r="D355" s="418" t="s">
        <v>1008</v>
      </c>
      <c r="E355" s="418" t="s">
        <v>1009</v>
      </c>
      <c r="F355" s="421">
        <v>75</v>
      </c>
      <c r="G355" s="421">
        <v>2775</v>
      </c>
      <c r="H355" s="421">
        <v>1</v>
      </c>
      <c r="I355" s="421">
        <v>37</v>
      </c>
      <c r="J355" s="421">
        <v>21</v>
      </c>
      <c r="K355" s="421">
        <v>777</v>
      </c>
      <c r="L355" s="421">
        <v>0.28000000000000003</v>
      </c>
      <c r="M355" s="421">
        <v>37</v>
      </c>
      <c r="N355" s="421">
        <v>61</v>
      </c>
      <c r="O355" s="421">
        <v>2257</v>
      </c>
      <c r="P355" s="443">
        <v>0.81333333333333335</v>
      </c>
      <c r="Q355" s="422">
        <v>37</v>
      </c>
    </row>
    <row r="356" spans="1:17" ht="14.4" customHeight="1" x14ac:dyDescent="0.3">
      <c r="A356" s="417" t="s">
        <v>1149</v>
      </c>
      <c r="B356" s="418" t="s">
        <v>986</v>
      </c>
      <c r="C356" s="418" t="s">
        <v>987</v>
      </c>
      <c r="D356" s="418" t="s">
        <v>1012</v>
      </c>
      <c r="E356" s="418" t="s">
        <v>1013</v>
      </c>
      <c r="F356" s="421">
        <v>108</v>
      </c>
      <c r="G356" s="421">
        <v>47952</v>
      </c>
      <c r="H356" s="421">
        <v>1</v>
      </c>
      <c r="I356" s="421">
        <v>444</v>
      </c>
      <c r="J356" s="421">
        <v>147</v>
      </c>
      <c r="K356" s="421">
        <v>65415</v>
      </c>
      <c r="L356" s="421">
        <v>1.3641766766766767</v>
      </c>
      <c r="M356" s="421">
        <v>445</v>
      </c>
      <c r="N356" s="421">
        <v>220</v>
      </c>
      <c r="O356" s="421">
        <v>98120</v>
      </c>
      <c r="P356" s="443">
        <v>2.0462128795462129</v>
      </c>
      <c r="Q356" s="422">
        <v>446</v>
      </c>
    </row>
    <row r="357" spans="1:17" ht="14.4" customHeight="1" x14ac:dyDescent="0.3">
      <c r="A357" s="417" t="s">
        <v>1149</v>
      </c>
      <c r="B357" s="418" t="s">
        <v>986</v>
      </c>
      <c r="C357" s="418" t="s">
        <v>987</v>
      </c>
      <c r="D357" s="418" t="s">
        <v>1014</v>
      </c>
      <c r="E357" s="418" t="s">
        <v>1015</v>
      </c>
      <c r="F357" s="421">
        <v>1</v>
      </c>
      <c r="G357" s="421">
        <v>41</v>
      </c>
      <c r="H357" s="421">
        <v>1</v>
      </c>
      <c r="I357" s="421">
        <v>41</v>
      </c>
      <c r="J357" s="421">
        <v>1</v>
      </c>
      <c r="K357" s="421">
        <v>41</v>
      </c>
      <c r="L357" s="421">
        <v>1</v>
      </c>
      <c r="M357" s="421">
        <v>41</v>
      </c>
      <c r="N357" s="421">
        <v>2</v>
      </c>
      <c r="O357" s="421">
        <v>84</v>
      </c>
      <c r="P357" s="443">
        <v>2.0487804878048781</v>
      </c>
      <c r="Q357" s="422">
        <v>42</v>
      </c>
    </row>
    <row r="358" spans="1:17" ht="14.4" customHeight="1" x14ac:dyDescent="0.3">
      <c r="A358" s="417" t="s">
        <v>1149</v>
      </c>
      <c r="B358" s="418" t="s">
        <v>986</v>
      </c>
      <c r="C358" s="418" t="s">
        <v>987</v>
      </c>
      <c r="D358" s="418" t="s">
        <v>1016</v>
      </c>
      <c r="E358" s="418" t="s">
        <v>1017</v>
      </c>
      <c r="F358" s="421">
        <v>1</v>
      </c>
      <c r="G358" s="421">
        <v>490</v>
      </c>
      <c r="H358" s="421">
        <v>1</v>
      </c>
      <c r="I358" s="421">
        <v>490</v>
      </c>
      <c r="J358" s="421">
        <v>4</v>
      </c>
      <c r="K358" s="421">
        <v>1964</v>
      </c>
      <c r="L358" s="421">
        <v>4.0081632653061225</v>
      </c>
      <c r="M358" s="421">
        <v>491</v>
      </c>
      <c r="N358" s="421">
        <v>1</v>
      </c>
      <c r="O358" s="421">
        <v>492</v>
      </c>
      <c r="P358" s="443">
        <v>1.0040816326530613</v>
      </c>
      <c r="Q358" s="422">
        <v>492</v>
      </c>
    </row>
    <row r="359" spans="1:17" ht="14.4" customHeight="1" x14ac:dyDescent="0.3">
      <c r="A359" s="417" t="s">
        <v>1149</v>
      </c>
      <c r="B359" s="418" t="s">
        <v>986</v>
      </c>
      <c r="C359" s="418" t="s">
        <v>987</v>
      </c>
      <c r="D359" s="418" t="s">
        <v>1018</v>
      </c>
      <c r="E359" s="418" t="s">
        <v>1019</v>
      </c>
      <c r="F359" s="421">
        <v>2</v>
      </c>
      <c r="G359" s="421">
        <v>62</v>
      </c>
      <c r="H359" s="421">
        <v>1</v>
      </c>
      <c r="I359" s="421">
        <v>31</v>
      </c>
      <c r="J359" s="421">
        <v>3</v>
      </c>
      <c r="K359" s="421">
        <v>93</v>
      </c>
      <c r="L359" s="421">
        <v>1.5</v>
      </c>
      <c r="M359" s="421">
        <v>31</v>
      </c>
      <c r="N359" s="421"/>
      <c r="O359" s="421"/>
      <c r="P359" s="443"/>
      <c r="Q359" s="422"/>
    </row>
    <row r="360" spans="1:17" ht="14.4" customHeight="1" x14ac:dyDescent="0.3">
      <c r="A360" s="417" t="s">
        <v>1149</v>
      </c>
      <c r="B360" s="418" t="s">
        <v>986</v>
      </c>
      <c r="C360" s="418" t="s">
        <v>987</v>
      </c>
      <c r="D360" s="418" t="s">
        <v>1032</v>
      </c>
      <c r="E360" s="418" t="s">
        <v>1033</v>
      </c>
      <c r="F360" s="421">
        <v>392</v>
      </c>
      <c r="G360" s="421">
        <v>6272</v>
      </c>
      <c r="H360" s="421">
        <v>1</v>
      </c>
      <c r="I360" s="421">
        <v>16</v>
      </c>
      <c r="J360" s="421">
        <v>448</v>
      </c>
      <c r="K360" s="421">
        <v>7168</v>
      </c>
      <c r="L360" s="421">
        <v>1.1428571428571428</v>
      </c>
      <c r="M360" s="421">
        <v>16</v>
      </c>
      <c r="N360" s="421">
        <v>647</v>
      </c>
      <c r="O360" s="421">
        <v>10999</v>
      </c>
      <c r="P360" s="443">
        <v>1.7536670918367347</v>
      </c>
      <c r="Q360" s="422">
        <v>17</v>
      </c>
    </row>
    <row r="361" spans="1:17" ht="14.4" customHeight="1" x14ac:dyDescent="0.3">
      <c r="A361" s="417" t="s">
        <v>1149</v>
      </c>
      <c r="B361" s="418" t="s">
        <v>986</v>
      </c>
      <c r="C361" s="418" t="s">
        <v>987</v>
      </c>
      <c r="D361" s="418" t="s">
        <v>1034</v>
      </c>
      <c r="E361" s="418" t="s">
        <v>1035</v>
      </c>
      <c r="F361" s="421">
        <v>1</v>
      </c>
      <c r="G361" s="421">
        <v>133</v>
      </c>
      <c r="H361" s="421">
        <v>1</v>
      </c>
      <c r="I361" s="421">
        <v>133</v>
      </c>
      <c r="J361" s="421"/>
      <c r="K361" s="421"/>
      <c r="L361" s="421"/>
      <c r="M361" s="421"/>
      <c r="N361" s="421"/>
      <c r="O361" s="421"/>
      <c r="P361" s="443"/>
      <c r="Q361" s="422"/>
    </row>
    <row r="362" spans="1:17" ht="14.4" customHeight="1" x14ac:dyDescent="0.3">
      <c r="A362" s="417" t="s">
        <v>1149</v>
      </c>
      <c r="B362" s="418" t="s">
        <v>986</v>
      </c>
      <c r="C362" s="418" t="s">
        <v>987</v>
      </c>
      <c r="D362" s="418" t="s">
        <v>1036</v>
      </c>
      <c r="E362" s="418" t="s">
        <v>1037</v>
      </c>
      <c r="F362" s="421">
        <v>2</v>
      </c>
      <c r="G362" s="421">
        <v>204</v>
      </c>
      <c r="H362" s="421">
        <v>1</v>
      </c>
      <c r="I362" s="421">
        <v>102</v>
      </c>
      <c r="J362" s="421">
        <v>3</v>
      </c>
      <c r="K362" s="421">
        <v>309</v>
      </c>
      <c r="L362" s="421">
        <v>1.5147058823529411</v>
      </c>
      <c r="M362" s="421">
        <v>103</v>
      </c>
      <c r="N362" s="421">
        <v>3</v>
      </c>
      <c r="O362" s="421">
        <v>309</v>
      </c>
      <c r="P362" s="443">
        <v>1.5147058823529411</v>
      </c>
      <c r="Q362" s="422">
        <v>103</v>
      </c>
    </row>
    <row r="363" spans="1:17" ht="14.4" customHeight="1" x14ac:dyDescent="0.3">
      <c r="A363" s="417" t="s">
        <v>1149</v>
      </c>
      <c r="B363" s="418" t="s">
        <v>986</v>
      </c>
      <c r="C363" s="418" t="s">
        <v>987</v>
      </c>
      <c r="D363" s="418" t="s">
        <v>1040</v>
      </c>
      <c r="E363" s="418" t="s">
        <v>1041</v>
      </c>
      <c r="F363" s="421">
        <v>125</v>
      </c>
      <c r="G363" s="421">
        <v>14125</v>
      </c>
      <c r="H363" s="421">
        <v>1</v>
      </c>
      <c r="I363" s="421">
        <v>113</v>
      </c>
      <c r="J363" s="421">
        <v>130</v>
      </c>
      <c r="K363" s="421">
        <v>15080</v>
      </c>
      <c r="L363" s="421">
        <v>1.0676106194690265</v>
      </c>
      <c r="M363" s="421">
        <v>116</v>
      </c>
      <c r="N363" s="421">
        <v>166</v>
      </c>
      <c r="O363" s="421">
        <v>19422</v>
      </c>
      <c r="P363" s="443">
        <v>1.3750088495575221</v>
      </c>
      <c r="Q363" s="422">
        <v>117</v>
      </c>
    </row>
    <row r="364" spans="1:17" ht="14.4" customHeight="1" x14ac:dyDescent="0.3">
      <c r="A364" s="417" t="s">
        <v>1149</v>
      </c>
      <c r="B364" s="418" t="s">
        <v>986</v>
      </c>
      <c r="C364" s="418" t="s">
        <v>987</v>
      </c>
      <c r="D364" s="418" t="s">
        <v>1042</v>
      </c>
      <c r="E364" s="418" t="s">
        <v>1043</v>
      </c>
      <c r="F364" s="421">
        <v>33</v>
      </c>
      <c r="G364" s="421">
        <v>2772</v>
      </c>
      <c r="H364" s="421">
        <v>1</v>
      </c>
      <c r="I364" s="421">
        <v>84</v>
      </c>
      <c r="J364" s="421">
        <v>45</v>
      </c>
      <c r="K364" s="421">
        <v>3825</v>
      </c>
      <c r="L364" s="421">
        <v>1.3798701298701299</v>
      </c>
      <c r="M364" s="421">
        <v>85</v>
      </c>
      <c r="N364" s="421">
        <v>55</v>
      </c>
      <c r="O364" s="421">
        <v>5005</v>
      </c>
      <c r="P364" s="443">
        <v>1.8055555555555556</v>
      </c>
      <c r="Q364" s="422">
        <v>91</v>
      </c>
    </row>
    <row r="365" spans="1:17" ht="14.4" customHeight="1" x14ac:dyDescent="0.3">
      <c r="A365" s="417" t="s">
        <v>1149</v>
      </c>
      <c r="B365" s="418" t="s">
        <v>986</v>
      </c>
      <c r="C365" s="418" t="s">
        <v>987</v>
      </c>
      <c r="D365" s="418" t="s">
        <v>1046</v>
      </c>
      <c r="E365" s="418" t="s">
        <v>1047</v>
      </c>
      <c r="F365" s="421">
        <v>21</v>
      </c>
      <c r="G365" s="421">
        <v>441</v>
      </c>
      <c r="H365" s="421">
        <v>1</v>
      </c>
      <c r="I365" s="421">
        <v>21</v>
      </c>
      <c r="J365" s="421">
        <v>3</v>
      </c>
      <c r="K365" s="421">
        <v>63</v>
      </c>
      <c r="L365" s="421">
        <v>0.14285714285714285</v>
      </c>
      <c r="M365" s="421">
        <v>21</v>
      </c>
      <c r="N365" s="421">
        <v>2</v>
      </c>
      <c r="O365" s="421">
        <v>42</v>
      </c>
      <c r="P365" s="443">
        <v>9.5238095238095233E-2</v>
      </c>
      <c r="Q365" s="422">
        <v>21</v>
      </c>
    </row>
    <row r="366" spans="1:17" ht="14.4" customHeight="1" x14ac:dyDescent="0.3">
      <c r="A366" s="417" t="s">
        <v>1149</v>
      </c>
      <c r="B366" s="418" t="s">
        <v>986</v>
      </c>
      <c r="C366" s="418" t="s">
        <v>987</v>
      </c>
      <c r="D366" s="418" t="s">
        <v>1048</v>
      </c>
      <c r="E366" s="418" t="s">
        <v>1049</v>
      </c>
      <c r="F366" s="421">
        <v>1121</v>
      </c>
      <c r="G366" s="421">
        <v>544806</v>
      </c>
      <c r="H366" s="421">
        <v>1</v>
      </c>
      <c r="I366" s="421">
        <v>486</v>
      </c>
      <c r="J366" s="421">
        <v>1364</v>
      </c>
      <c r="K366" s="421">
        <v>664268</v>
      </c>
      <c r="L366" s="421">
        <v>1.2192743839091347</v>
      </c>
      <c r="M366" s="421">
        <v>487</v>
      </c>
      <c r="N366" s="421">
        <v>1824</v>
      </c>
      <c r="O366" s="421">
        <v>890112</v>
      </c>
      <c r="P366" s="443">
        <v>1.6338146055660181</v>
      </c>
      <c r="Q366" s="422">
        <v>488</v>
      </c>
    </row>
    <row r="367" spans="1:17" ht="14.4" customHeight="1" x14ac:dyDescent="0.3">
      <c r="A367" s="417" t="s">
        <v>1149</v>
      </c>
      <c r="B367" s="418" t="s">
        <v>986</v>
      </c>
      <c r="C367" s="418" t="s">
        <v>987</v>
      </c>
      <c r="D367" s="418" t="s">
        <v>1056</v>
      </c>
      <c r="E367" s="418" t="s">
        <v>1057</v>
      </c>
      <c r="F367" s="421">
        <v>15</v>
      </c>
      <c r="G367" s="421">
        <v>600</v>
      </c>
      <c r="H367" s="421">
        <v>1</v>
      </c>
      <c r="I367" s="421">
        <v>40</v>
      </c>
      <c r="J367" s="421">
        <v>12</v>
      </c>
      <c r="K367" s="421">
        <v>492</v>
      </c>
      <c r="L367" s="421">
        <v>0.82</v>
      </c>
      <c r="M367" s="421">
        <v>41</v>
      </c>
      <c r="N367" s="421">
        <v>16</v>
      </c>
      <c r="O367" s="421">
        <v>656</v>
      </c>
      <c r="P367" s="443">
        <v>1.0933333333333333</v>
      </c>
      <c r="Q367" s="422">
        <v>41</v>
      </c>
    </row>
    <row r="368" spans="1:17" ht="14.4" customHeight="1" x14ac:dyDescent="0.3">
      <c r="A368" s="417" t="s">
        <v>1149</v>
      </c>
      <c r="B368" s="418" t="s">
        <v>986</v>
      </c>
      <c r="C368" s="418" t="s">
        <v>987</v>
      </c>
      <c r="D368" s="418" t="s">
        <v>1064</v>
      </c>
      <c r="E368" s="418" t="s">
        <v>1065</v>
      </c>
      <c r="F368" s="421"/>
      <c r="G368" s="421"/>
      <c r="H368" s="421"/>
      <c r="I368" s="421"/>
      <c r="J368" s="421">
        <v>1</v>
      </c>
      <c r="K368" s="421">
        <v>219</v>
      </c>
      <c r="L368" s="421"/>
      <c r="M368" s="421">
        <v>219</v>
      </c>
      <c r="N368" s="421"/>
      <c r="O368" s="421"/>
      <c r="P368" s="443"/>
      <c r="Q368" s="422"/>
    </row>
    <row r="369" spans="1:17" ht="14.4" customHeight="1" x14ac:dyDescent="0.3">
      <c r="A369" s="417" t="s">
        <v>1149</v>
      </c>
      <c r="B369" s="418" t="s">
        <v>986</v>
      </c>
      <c r="C369" s="418" t="s">
        <v>987</v>
      </c>
      <c r="D369" s="418" t="s">
        <v>1068</v>
      </c>
      <c r="E369" s="418" t="s">
        <v>1069</v>
      </c>
      <c r="F369" s="421">
        <v>93</v>
      </c>
      <c r="G369" s="421">
        <v>188697</v>
      </c>
      <c r="H369" s="421">
        <v>1</v>
      </c>
      <c r="I369" s="421">
        <v>2029</v>
      </c>
      <c r="J369" s="421">
        <v>44</v>
      </c>
      <c r="K369" s="421">
        <v>91168</v>
      </c>
      <c r="L369" s="421">
        <v>0.48314493606151659</v>
      </c>
      <c r="M369" s="421">
        <v>2072</v>
      </c>
      <c r="N369" s="421">
        <v>58</v>
      </c>
      <c r="O369" s="421">
        <v>122496</v>
      </c>
      <c r="P369" s="443">
        <v>0.6491677133181768</v>
      </c>
      <c r="Q369" s="422">
        <v>2112</v>
      </c>
    </row>
    <row r="370" spans="1:17" ht="14.4" customHeight="1" x14ac:dyDescent="0.3">
      <c r="A370" s="417" t="s">
        <v>1149</v>
      </c>
      <c r="B370" s="418" t="s">
        <v>986</v>
      </c>
      <c r="C370" s="418" t="s">
        <v>987</v>
      </c>
      <c r="D370" s="418" t="s">
        <v>1070</v>
      </c>
      <c r="E370" s="418" t="s">
        <v>1071</v>
      </c>
      <c r="F370" s="421">
        <v>4</v>
      </c>
      <c r="G370" s="421">
        <v>2416</v>
      </c>
      <c r="H370" s="421">
        <v>1</v>
      </c>
      <c r="I370" s="421">
        <v>604</v>
      </c>
      <c r="J370" s="421"/>
      <c r="K370" s="421"/>
      <c r="L370" s="421"/>
      <c r="M370" s="421"/>
      <c r="N370" s="421"/>
      <c r="O370" s="421"/>
      <c r="P370" s="443"/>
      <c r="Q370" s="422"/>
    </row>
    <row r="371" spans="1:17" ht="14.4" customHeight="1" x14ac:dyDescent="0.3">
      <c r="A371" s="417" t="s">
        <v>1149</v>
      </c>
      <c r="B371" s="418" t="s">
        <v>986</v>
      </c>
      <c r="C371" s="418" t="s">
        <v>987</v>
      </c>
      <c r="D371" s="418" t="s">
        <v>1088</v>
      </c>
      <c r="E371" s="418" t="s">
        <v>1089</v>
      </c>
      <c r="F371" s="421">
        <v>6</v>
      </c>
      <c r="G371" s="421">
        <v>912</v>
      </c>
      <c r="H371" s="421">
        <v>1</v>
      </c>
      <c r="I371" s="421">
        <v>152</v>
      </c>
      <c r="J371" s="421"/>
      <c r="K371" s="421"/>
      <c r="L371" s="421"/>
      <c r="M371" s="421"/>
      <c r="N371" s="421"/>
      <c r="O371" s="421"/>
      <c r="P371" s="443"/>
      <c r="Q371" s="422"/>
    </row>
    <row r="372" spans="1:17" ht="14.4" customHeight="1" x14ac:dyDescent="0.3">
      <c r="A372" s="417" t="s">
        <v>1150</v>
      </c>
      <c r="B372" s="418" t="s">
        <v>986</v>
      </c>
      <c r="C372" s="418" t="s">
        <v>987</v>
      </c>
      <c r="D372" s="418" t="s">
        <v>988</v>
      </c>
      <c r="E372" s="418" t="s">
        <v>989</v>
      </c>
      <c r="F372" s="421">
        <v>6</v>
      </c>
      <c r="G372" s="421">
        <v>954</v>
      </c>
      <c r="H372" s="421">
        <v>1</v>
      </c>
      <c r="I372" s="421">
        <v>159</v>
      </c>
      <c r="J372" s="421">
        <v>4</v>
      </c>
      <c r="K372" s="421">
        <v>644</v>
      </c>
      <c r="L372" s="421">
        <v>0.6750524109014675</v>
      </c>
      <c r="M372" s="421">
        <v>161</v>
      </c>
      <c r="N372" s="421">
        <v>3</v>
      </c>
      <c r="O372" s="421">
        <v>519</v>
      </c>
      <c r="P372" s="443">
        <v>0.54402515723270439</v>
      </c>
      <c r="Q372" s="422">
        <v>173</v>
      </c>
    </row>
    <row r="373" spans="1:17" ht="14.4" customHeight="1" x14ac:dyDescent="0.3">
      <c r="A373" s="417" t="s">
        <v>1150</v>
      </c>
      <c r="B373" s="418" t="s">
        <v>986</v>
      </c>
      <c r="C373" s="418" t="s">
        <v>987</v>
      </c>
      <c r="D373" s="418" t="s">
        <v>1004</v>
      </c>
      <c r="E373" s="418" t="s">
        <v>1005</v>
      </c>
      <c r="F373" s="421">
        <v>4</v>
      </c>
      <c r="G373" s="421">
        <v>156</v>
      </c>
      <c r="H373" s="421">
        <v>1</v>
      </c>
      <c r="I373" s="421">
        <v>39</v>
      </c>
      <c r="J373" s="421">
        <v>11</v>
      </c>
      <c r="K373" s="421">
        <v>440</v>
      </c>
      <c r="L373" s="421">
        <v>2.8205128205128207</v>
      </c>
      <c r="M373" s="421">
        <v>40</v>
      </c>
      <c r="N373" s="421">
        <v>1</v>
      </c>
      <c r="O373" s="421">
        <v>41</v>
      </c>
      <c r="P373" s="443">
        <v>0.26282051282051283</v>
      </c>
      <c r="Q373" s="422">
        <v>41</v>
      </c>
    </row>
    <row r="374" spans="1:17" ht="14.4" customHeight="1" x14ac:dyDescent="0.3">
      <c r="A374" s="417" t="s">
        <v>1150</v>
      </c>
      <c r="B374" s="418" t="s">
        <v>986</v>
      </c>
      <c r="C374" s="418" t="s">
        <v>987</v>
      </c>
      <c r="D374" s="418" t="s">
        <v>1006</v>
      </c>
      <c r="E374" s="418" t="s">
        <v>1007</v>
      </c>
      <c r="F374" s="421"/>
      <c r="G374" s="421"/>
      <c r="H374" s="421"/>
      <c r="I374" s="421"/>
      <c r="J374" s="421">
        <v>3</v>
      </c>
      <c r="K374" s="421">
        <v>1149</v>
      </c>
      <c r="L374" s="421"/>
      <c r="M374" s="421">
        <v>383</v>
      </c>
      <c r="N374" s="421">
        <v>2</v>
      </c>
      <c r="O374" s="421">
        <v>768</v>
      </c>
      <c r="P374" s="443"/>
      <c r="Q374" s="422">
        <v>384</v>
      </c>
    </row>
    <row r="375" spans="1:17" ht="14.4" customHeight="1" x14ac:dyDescent="0.3">
      <c r="A375" s="417" t="s">
        <v>1150</v>
      </c>
      <c r="B375" s="418" t="s">
        <v>986</v>
      </c>
      <c r="C375" s="418" t="s">
        <v>987</v>
      </c>
      <c r="D375" s="418" t="s">
        <v>1012</v>
      </c>
      <c r="E375" s="418" t="s">
        <v>1013</v>
      </c>
      <c r="F375" s="421"/>
      <c r="G375" s="421"/>
      <c r="H375" s="421"/>
      <c r="I375" s="421"/>
      <c r="J375" s="421">
        <v>3</v>
      </c>
      <c r="K375" s="421">
        <v>1335</v>
      </c>
      <c r="L375" s="421"/>
      <c r="M375" s="421">
        <v>445</v>
      </c>
      <c r="N375" s="421"/>
      <c r="O375" s="421"/>
      <c r="P375" s="443"/>
      <c r="Q375" s="422"/>
    </row>
    <row r="376" spans="1:17" ht="14.4" customHeight="1" x14ac:dyDescent="0.3">
      <c r="A376" s="417" t="s">
        <v>1150</v>
      </c>
      <c r="B376" s="418" t="s">
        <v>986</v>
      </c>
      <c r="C376" s="418" t="s">
        <v>987</v>
      </c>
      <c r="D376" s="418" t="s">
        <v>1016</v>
      </c>
      <c r="E376" s="418" t="s">
        <v>1017</v>
      </c>
      <c r="F376" s="421"/>
      <c r="G376" s="421"/>
      <c r="H376" s="421"/>
      <c r="I376" s="421"/>
      <c r="J376" s="421">
        <v>1</v>
      </c>
      <c r="K376" s="421">
        <v>491</v>
      </c>
      <c r="L376" s="421"/>
      <c r="M376" s="421">
        <v>491</v>
      </c>
      <c r="N376" s="421">
        <v>1</v>
      </c>
      <c r="O376" s="421">
        <v>492</v>
      </c>
      <c r="P376" s="443"/>
      <c r="Q376" s="422">
        <v>492</v>
      </c>
    </row>
    <row r="377" spans="1:17" ht="14.4" customHeight="1" x14ac:dyDescent="0.3">
      <c r="A377" s="417" t="s">
        <v>1150</v>
      </c>
      <c r="B377" s="418" t="s">
        <v>986</v>
      </c>
      <c r="C377" s="418" t="s">
        <v>987</v>
      </c>
      <c r="D377" s="418" t="s">
        <v>1024</v>
      </c>
      <c r="E377" s="418" t="s">
        <v>1025</v>
      </c>
      <c r="F377" s="421"/>
      <c r="G377" s="421"/>
      <c r="H377" s="421"/>
      <c r="I377" s="421"/>
      <c r="J377" s="421">
        <v>1</v>
      </c>
      <c r="K377" s="421">
        <v>234</v>
      </c>
      <c r="L377" s="421"/>
      <c r="M377" s="421">
        <v>234</v>
      </c>
      <c r="N377" s="421"/>
      <c r="O377" s="421"/>
      <c r="P377" s="443"/>
      <c r="Q377" s="422"/>
    </row>
    <row r="378" spans="1:17" ht="14.4" customHeight="1" x14ac:dyDescent="0.3">
      <c r="A378" s="417" t="s">
        <v>1150</v>
      </c>
      <c r="B378" s="418" t="s">
        <v>986</v>
      </c>
      <c r="C378" s="418" t="s">
        <v>987</v>
      </c>
      <c r="D378" s="418" t="s">
        <v>1032</v>
      </c>
      <c r="E378" s="418" t="s">
        <v>1033</v>
      </c>
      <c r="F378" s="421"/>
      <c r="G378" s="421"/>
      <c r="H378" s="421"/>
      <c r="I378" s="421"/>
      <c r="J378" s="421">
        <v>17</v>
      </c>
      <c r="K378" s="421">
        <v>272</v>
      </c>
      <c r="L378" s="421"/>
      <c r="M378" s="421">
        <v>16</v>
      </c>
      <c r="N378" s="421">
        <v>5</v>
      </c>
      <c r="O378" s="421">
        <v>85</v>
      </c>
      <c r="P378" s="443"/>
      <c r="Q378" s="422">
        <v>17</v>
      </c>
    </row>
    <row r="379" spans="1:17" ht="14.4" customHeight="1" x14ac:dyDescent="0.3">
      <c r="A379" s="417" t="s">
        <v>1150</v>
      </c>
      <c r="B379" s="418" t="s">
        <v>986</v>
      </c>
      <c r="C379" s="418" t="s">
        <v>987</v>
      </c>
      <c r="D379" s="418" t="s">
        <v>1034</v>
      </c>
      <c r="E379" s="418" t="s">
        <v>1035</v>
      </c>
      <c r="F379" s="421">
        <v>1</v>
      </c>
      <c r="G379" s="421">
        <v>133</v>
      </c>
      <c r="H379" s="421">
        <v>1</v>
      </c>
      <c r="I379" s="421">
        <v>133</v>
      </c>
      <c r="J379" s="421"/>
      <c r="K379" s="421"/>
      <c r="L379" s="421"/>
      <c r="M379" s="421"/>
      <c r="N379" s="421"/>
      <c r="O379" s="421"/>
      <c r="P379" s="443"/>
      <c r="Q379" s="422"/>
    </row>
    <row r="380" spans="1:17" ht="14.4" customHeight="1" x14ac:dyDescent="0.3">
      <c r="A380" s="417" t="s">
        <v>1150</v>
      </c>
      <c r="B380" s="418" t="s">
        <v>986</v>
      </c>
      <c r="C380" s="418" t="s">
        <v>987</v>
      </c>
      <c r="D380" s="418" t="s">
        <v>1040</v>
      </c>
      <c r="E380" s="418" t="s">
        <v>1041</v>
      </c>
      <c r="F380" s="421">
        <v>6</v>
      </c>
      <c r="G380" s="421">
        <v>678</v>
      </c>
      <c r="H380" s="421">
        <v>1</v>
      </c>
      <c r="I380" s="421">
        <v>113</v>
      </c>
      <c r="J380" s="421">
        <v>3</v>
      </c>
      <c r="K380" s="421">
        <v>348</v>
      </c>
      <c r="L380" s="421">
        <v>0.51327433628318586</v>
      </c>
      <c r="M380" s="421">
        <v>116</v>
      </c>
      <c r="N380" s="421">
        <v>6</v>
      </c>
      <c r="O380" s="421">
        <v>702</v>
      </c>
      <c r="P380" s="443">
        <v>1.0353982300884956</v>
      </c>
      <c r="Q380" s="422">
        <v>117</v>
      </c>
    </row>
    <row r="381" spans="1:17" ht="14.4" customHeight="1" x14ac:dyDescent="0.3">
      <c r="A381" s="417" t="s">
        <v>1150</v>
      </c>
      <c r="B381" s="418" t="s">
        <v>986</v>
      </c>
      <c r="C381" s="418" t="s">
        <v>987</v>
      </c>
      <c r="D381" s="418" t="s">
        <v>1042</v>
      </c>
      <c r="E381" s="418" t="s">
        <v>1043</v>
      </c>
      <c r="F381" s="421">
        <v>2</v>
      </c>
      <c r="G381" s="421">
        <v>168</v>
      </c>
      <c r="H381" s="421">
        <v>1</v>
      </c>
      <c r="I381" s="421">
        <v>84</v>
      </c>
      <c r="J381" s="421">
        <v>2</v>
      </c>
      <c r="K381" s="421">
        <v>170</v>
      </c>
      <c r="L381" s="421">
        <v>1.0119047619047619</v>
      </c>
      <c r="M381" s="421">
        <v>85</v>
      </c>
      <c r="N381" s="421"/>
      <c r="O381" s="421"/>
      <c r="P381" s="443"/>
      <c r="Q381" s="422"/>
    </row>
    <row r="382" spans="1:17" ht="14.4" customHeight="1" x14ac:dyDescent="0.3">
      <c r="A382" s="417" t="s">
        <v>1150</v>
      </c>
      <c r="B382" s="418" t="s">
        <v>986</v>
      </c>
      <c r="C382" s="418" t="s">
        <v>987</v>
      </c>
      <c r="D382" s="418" t="s">
        <v>1044</v>
      </c>
      <c r="E382" s="418" t="s">
        <v>1045</v>
      </c>
      <c r="F382" s="421"/>
      <c r="G382" s="421"/>
      <c r="H382" s="421"/>
      <c r="I382" s="421"/>
      <c r="J382" s="421">
        <v>1</v>
      </c>
      <c r="K382" s="421">
        <v>98</v>
      </c>
      <c r="L382" s="421"/>
      <c r="M382" s="421">
        <v>98</v>
      </c>
      <c r="N382" s="421">
        <v>2</v>
      </c>
      <c r="O382" s="421">
        <v>198</v>
      </c>
      <c r="P382" s="443"/>
      <c r="Q382" s="422">
        <v>99</v>
      </c>
    </row>
    <row r="383" spans="1:17" ht="14.4" customHeight="1" x14ac:dyDescent="0.3">
      <c r="A383" s="417" t="s">
        <v>1150</v>
      </c>
      <c r="B383" s="418" t="s">
        <v>986</v>
      </c>
      <c r="C383" s="418" t="s">
        <v>987</v>
      </c>
      <c r="D383" s="418" t="s">
        <v>1046</v>
      </c>
      <c r="E383" s="418" t="s">
        <v>1047</v>
      </c>
      <c r="F383" s="421"/>
      <c r="G383" s="421"/>
      <c r="H383" s="421"/>
      <c r="I383" s="421"/>
      <c r="J383" s="421">
        <v>1</v>
      </c>
      <c r="K383" s="421">
        <v>21</v>
      </c>
      <c r="L383" s="421"/>
      <c r="M383" s="421">
        <v>21</v>
      </c>
      <c r="N383" s="421"/>
      <c r="O383" s="421"/>
      <c r="P383" s="443"/>
      <c r="Q383" s="422"/>
    </row>
    <row r="384" spans="1:17" ht="14.4" customHeight="1" x14ac:dyDescent="0.3">
      <c r="A384" s="417" t="s">
        <v>1150</v>
      </c>
      <c r="B384" s="418" t="s">
        <v>986</v>
      </c>
      <c r="C384" s="418" t="s">
        <v>987</v>
      </c>
      <c r="D384" s="418" t="s">
        <v>1048</v>
      </c>
      <c r="E384" s="418" t="s">
        <v>1049</v>
      </c>
      <c r="F384" s="421"/>
      <c r="G384" s="421"/>
      <c r="H384" s="421"/>
      <c r="I384" s="421"/>
      <c r="J384" s="421">
        <v>35</v>
      </c>
      <c r="K384" s="421">
        <v>17045</v>
      </c>
      <c r="L384" s="421"/>
      <c r="M384" s="421">
        <v>487</v>
      </c>
      <c r="N384" s="421"/>
      <c r="O384" s="421"/>
      <c r="P384" s="443"/>
      <c r="Q384" s="422"/>
    </row>
    <row r="385" spans="1:17" ht="14.4" customHeight="1" x14ac:dyDescent="0.3">
      <c r="A385" s="417" t="s">
        <v>1150</v>
      </c>
      <c r="B385" s="418" t="s">
        <v>986</v>
      </c>
      <c r="C385" s="418" t="s">
        <v>987</v>
      </c>
      <c r="D385" s="418" t="s">
        <v>1056</v>
      </c>
      <c r="E385" s="418" t="s">
        <v>1057</v>
      </c>
      <c r="F385" s="421">
        <v>1</v>
      </c>
      <c r="G385" s="421">
        <v>40</v>
      </c>
      <c r="H385" s="421">
        <v>1</v>
      </c>
      <c r="I385" s="421">
        <v>40</v>
      </c>
      <c r="J385" s="421">
        <v>2</v>
      </c>
      <c r="K385" s="421">
        <v>82</v>
      </c>
      <c r="L385" s="421">
        <v>2.0499999999999998</v>
      </c>
      <c r="M385" s="421">
        <v>41</v>
      </c>
      <c r="N385" s="421">
        <v>1</v>
      </c>
      <c r="O385" s="421">
        <v>41</v>
      </c>
      <c r="P385" s="443">
        <v>1.0249999999999999</v>
      </c>
      <c r="Q385" s="422">
        <v>41</v>
      </c>
    </row>
    <row r="386" spans="1:17" ht="14.4" customHeight="1" x14ac:dyDescent="0.3">
      <c r="A386" s="417" t="s">
        <v>1150</v>
      </c>
      <c r="B386" s="418" t="s">
        <v>986</v>
      </c>
      <c r="C386" s="418" t="s">
        <v>987</v>
      </c>
      <c r="D386" s="418" t="s">
        <v>1068</v>
      </c>
      <c r="E386" s="418" t="s">
        <v>1069</v>
      </c>
      <c r="F386" s="421"/>
      <c r="G386" s="421"/>
      <c r="H386" s="421"/>
      <c r="I386" s="421"/>
      <c r="J386" s="421">
        <v>2</v>
      </c>
      <c r="K386" s="421">
        <v>4144</v>
      </c>
      <c r="L386" s="421"/>
      <c r="M386" s="421">
        <v>2072</v>
      </c>
      <c r="N386" s="421"/>
      <c r="O386" s="421"/>
      <c r="P386" s="443"/>
      <c r="Q386" s="422"/>
    </row>
    <row r="387" spans="1:17" ht="14.4" customHeight="1" x14ac:dyDescent="0.3">
      <c r="A387" s="417" t="s">
        <v>1150</v>
      </c>
      <c r="B387" s="418" t="s">
        <v>986</v>
      </c>
      <c r="C387" s="418" t="s">
        <v>987</v>
      </c>
      <c r="D387" s="418" t="s">
        <v>1082</v>
      </c>
      <c r="E387" s="418" t="s">
        <v>1083</v>
      </c>
      <c r="F387" s="421"/>
      <c r="G387" s="421"/>
      <c r="H387" s="421"/>
      <c r="I387" s="421"/>
      <c r="J387" s="421">
        <v>1</v>
      </c>
      <c r="K387" s="421">
        <v>248</v>
      </c>
      <c r="L387" s="421"/>
      <c r="M387" s="421">
        <v>248</v>
      </c>
      <c r="N387" s="421"/>
      <c r="O387" s="421"/>
      <c r="P387" s="443"/>
      <c r="Q387" s="422"/>
    </row>
    <row r="388" spans="1:17" ht="14.4" customHeight="1" x14ac:dyDescent="0.3">
      <c r="A388" s="417" t="s">
        <v>1151</v>
      </c>
      <c r="B388" s="418" t="s">
        <v>986</v>
      </c>
      <c r="C388" s="418" t="s">
        <v>987</v>
      </c>
      <c r="D388" s="418" t="s">
        <v>988</v>
      </c>
      <c r="E388" s="418" t="s">
        <v>989</v>
      </c>
      <c r="F388" s="421">
        <v>21</v>
      </c>
      <c r="G388" s="421">
        <v>3339</v>
      </c>
      <c r="H388" s="421">
        <v>1</v>
      </c>
      <c r="I388" s="421">
        <v>159</v>
      </c>
      <c r="J388" s="421">
        <v>25</v>
      </c>
      <c r="K388" s="421">
        <v>4025</v>
      </c>
      <c r="L388" s="421">
        <v>1.2054507337526206</v>
      </c>
      <c r="M388" s="421">
        <v>161</v>
      </c>
      <c r="N388" s="421">
        <v>21</v>
      </c>
      <c r="O388" s="421">
        <v>3633</v>
      </c>
      <c r="P388" s="443">
        <v>1.0880503144654088</v>
      </c>
      <c r="Q388" s="422">
        <v>173</v>
      </c>
    </row>
    <row r="389" spans="1:17" ht="14.4" customHeight="1" x14ac:dyDescent="0.3">
      <c r="A389" s="417" t="s">
        <v>1151</v>
      </c>
      <c r="B389" s="418" t="s">
        <v>986</v>
      </c>
      <c r="C389" s="418" t="s">
        <v>987</v>
      </c>
      <c r="D389" s="418" t="s">
        <v>1004</v>
      </c>
      <c r="E389" s="418" t="s">
        <v>1005</v>
      </c>
      <c r="F389" s="421">
        <v>132</v>
      </c>
      <c r="G389" s="421">
        <v>5148</v>
      </c>
      <c r="H389" s="421">
        <v>1</v>
      </c>
      <c r="I389" s="421">
        <v>39</v>
      </c>
      <c r="J389" s="421">
        <v>134</v>
      </c>
      <c r="K389" s="421">
        <v>5360</v>
      </c>
      <c r="L389" s="421">
        <v>1.0411810411810412</v>
      </c>
      <c r="M389" s="421">
        <v>40</v>
      </c>
      <c r="N389" s="421">
        <v>228</v>
      </c>
      <c r="O389" s="421">
        <v>9348</v>
      </c>
      <c r="P389" s="443">
        <v>1.8158508158508158</v>
      </c>
      <c r="Q389" s="422">
        <v>41</v>
      </c>
    </row>
    <row r="390" spans="1:17" ht="14.4" customHeight="1" x14ac:dyDescent="0.3">
      <c r="A390" s="417" t="s">
        <v>1151</v>
      </c>
      <c r="B390" s="418" t="s">
        <v>986</v>
      </c>
      <c r="C390" s="418" t="s">
        <v>987</v>
      </c>
      <c r="D390" s="418" t="s">
        <v>1006</v>
      </c>
      <c r="E390" s="418" t="s">
        <v>1007</v>
      </c>
      <c r="F390" s="421">
        <v>13</v>
      </c>
      <c r="G390" s="421">
        <v>4966</v>
      </c>
      <c r="H390" s="421">
        <v>1</v>
      </c>
      <c r="I390" s="421">
        <v>382</v>
      </c>
      <c r="J390" s="421">
        <v>14</v>
      </c>
      <c r="K390" s="421">
        <v>5362</v>
      </c>
      <c r="L390" s="421">
        <v>1.0797422472815144</v>
      </c>
      <c r="M390" s="421">
        <v>383</v>
      </c>
      <c r="N390" s="421">
        <v>20</v>
      </c>
      <c r="O390" s="421">
        <v>7680</v>
      </c>
      <c r="P390" s="443">
        <v>1.5465163109142166</v>
      </c>
      <c r="Q390" s="422">
        <v>384</v>
      </c>
    </row>
    <row r="391" spans="1:17" ht="14.4" customHeight="1" x14ac:dyDescent="0.3">
      <c r="A391" s="417" t="s">
        <v>1151</v>
      </c>
      <c r="B391" s="418" t="s">
        <v>986</v>
      </c>
      <c r="C391" s="418" t="s">
        <v>987</v>
      </c>
      <c r="D391" s="418" t="s">
        <v>1008</v>
      </c>
      <c r="E391" s="418" t="s">
        <v>1009</v>
      </c>
      <c r="F391" s="421">
        <v>3</v>
      </c>
      <c r="G391" s="421">
        <v>111</v>
      </c>
      <c r="H391" s="421">
        <v>1</v>
      </c>
      <c r="I391" s="421">
        <v>37</v>
      </c>
      <c r="J391" s="421"/>
      <c r="K391" s="421"/>
      <c r="L391" s="421"/>
      <c r="M391" s="421"/>
      <c r="N391" s="421">
        <v>6</v>
      </c>
      <c r="O391" s="421">
        <v>222</v>
      </c>
      <c r="P391" s="443">
        <v>2</v>
      </c>
      <c r="Q391" s="422">
        <v>37</v>
      </c>
    </row>
    <row r="392" spans="1:17" ht="14.4" customHeight="1" x14ac:dyDescent="0.3">
      <c r="A392" s="417" t="s">
        <v>1151</v>
      </c>
      <c r="B392" s="418" t="s">
        <v>986</v>
      </c>
      <c r="C392" s="418" t="s">
        <v>987</v>
      </c>
      <c r="D392" s="418" t="s">
        <v>1012</v>
      </c>
      <c r="E392" s="418" t="s">
        <v>1013</v>
      </c>
      <c r="F392" s="421">
        <v>18</v>
      </c>
      <c r="G392" s="421">
        <v>7992</v>
      </c>
      <c r="H392" s="421">
        <v>1</v>
      </c>
      <c r="I392" s="421">
        <v>444</v>
      </c>
      <c r="J392" s="421">
        <v>30</v>
      </c>
      <c r="K392" s="421">
        <v>13350</v>
      </c>
      <c r="L392" s="421">
        <v>1.6704204204204205</v>
      </c>
      <c r="M392" s="421">
        <v>445</v>
      </c>
      <c r="N392" s="421">
        <v>37</v>
      </c>
      <c r="O392" s="421">
        <v>16502</v>
      </c>
      <c r="P392" s="443">
        <v>2.0648148148148149</v>
      </c>
      <c r="Q392" s="422">
        <v>446</v>
      </c>
    </row>
    <row r="393" spans="1:17" ht="14.4" customHeight="1" x14ac:dyDescent="0.3">
      <c r="A393" s="417" t="s">
        <v>1151</v>
      </c>
      <c r="B393" s="418" t="s">
        <v>986</v>
      </c>
      <c r="C393" s="418" t="s">
        <v>987</v>
      </c>
      <c r="D393" s="418" t="s">
        <v>1014</v>
      </c>
      <c r="E393" s="418" t="s">
        <v>1015</v>
      </c>
      <c r="F393" s="421">
        <v>105</v>
      </c>
      <c r="G393" s="421">
        <v>4305</v>
      </c>
      <c r="H393" s="421">
        <v>1</v>
      </c>
      <c r="I393" s="421">
        <v>41</v>
      </c>
      <c r="J393" s="421">
        <v>94</v>
      </c>
      <c r="K393" s="421">
        <v>3854</v>
      </c>
      <c r="L393" s="421">
        <v>0.89523809523809528</v>
      </c>
      <c r="M393" s="421">
        <v>41</v>
      </c>
      <c r="N393" s="421">
        <v>116</v>
      </c>
      <c r="O393" s="421">
        <v>4872</v>
      </c>
      <c r="P393" s="443">
        <v>1.1317073170731706</v>
      </c>
      <c r="Q393" s="422">
        <v>42</v>
      </c>
    </row>
    <row r="394" spans="1:17" ht="14.4" customHeight="1" x14ac:dyDescent="0.3">
      <c r="A394" s="417" t="s">
        <v>1151</v>
      </c>
      <c r="B394" s="418" t="s">
        <v>986</v>
      </c>
      <c r="C394" s="418" t="s">
        <v>987</v>
      </c>
      <c r="D394" s="418" t="s">
        <v>1016</v>
      </c>
      <c r="E394" s="418" t="s">
        <v>1017</v>
      </c>
      <c r="F394" s="421"/>
      <c r="G394" s="421"/>
      <c r="H394" s="421"/>
      <c r="I394" s="421"/>
      <c r="J394" s="421">
        <v>2</v>
      </c>
      <c r="K394" s="421">
        <v>982</v>
      </c>
      <c r="L394" s="421"/>
      <c r="M394" s="421">
        <v>491</v>
      </c>
      <c r="N394" s="421">
        <v>2</v>
      </c>
      <c r="O394" s="421">
        <v>984</v>
      </c>
      <c r="P394" s="443"/>
      <c r="Q394" s="422">
        <v>492</v>
      </c>
    </row>
    <row r="395" spans="1:17" ht="14.4" customHeight="1" x14ac:dyDescent="0.3">
      <c r="A395" s="417" t="s">
        <v>1151</v>
      </c>
      <c r="B395" s="418" t="s">
        <v>986</v>
      </c>
      <c r="C395" s="418" t="s">
        <v>987</v>
      </c>
      <c r="D395" s="418" t="s">
        <v>1018</v>
      </c>
      <c r="E395" s="418" t="s">
        <v>1019</v>
      </c>
      <c r="F395" s="421">
        <v>8</v>
      </c>
      <c r="G395" s="421">
        <v>248</v>
      </c>
      <c r="H395" s="421">
        <v>1</v>
      </c>
      <c r="I395" s="421">
        <v>31</v>
      </c>
      <c r="J395" s="421">
        <v>9</v>
      </c>
      <c r="K395" s="421">
        <v>279</v>
      </c>
      <c r="L395" s="421">
        <v>1.125</v>
      </c>
      <c r="M395" s="421">
        <v>31</v>
      </c>
      <c r="N395" s="421">
        <v>34</v>
      </c>
      <c r="O395" s="421">
        <v>1054</v>
      </c>
      <c r="P395" s="443">
        <v>4.25</v>
      </c>
      <c r="Q395" s="422">
        <v>31</v>
      </c>
    </row>
    <row r="396" spans="1:17" ht="14.4" customHeight="1" x14ac:dyDescent="0.3">
      <c r="A396" s="417" t="s">
        <v>1151</v>
      </c>
      <c r="B396" s="418" t="s">
        <v>986</v>
      </c>
      <c r="C396" s="418" t="s">
        <v>987</v>
      </c>
      <c r="D396" s="418" t="s">
        <v>1024</v>
      </c>
      <c r="E396" s="418" t="s">
        <v>1025</v>
      </c>
      <c r="F396" s="421"/>
      <c r="G396" s="421"/>
      <c r="H396" s="421"/>
      <c r="I396" s="421"/>
      <c r="J396" s="421"/>
      <c r="K396" s="421"/>
      <c r="L396" s="421"/>
      <c r="M396" s="421"/>
      <c r="N396" s="421">
        <v>2</v>
      </c>
      <c r="O396" s="421">
        <v>472</v>
      </c>
      <c r="P396" s="443"/>
      <c r="Q396" s="422">
        <v>236</v>
      </c>
    </row>
    <row r="397" spans="1:17" ht="14.4" customHeight="1" x14ac:dyDescent="0.3">
      <c r="A397" s="417" t="s">
        <v>1151</v>
      </c>
      <c r="B397" s="418" t="s">
        <v>986</v>
      </c>
      <c r="C397" s="418" t="s">
        <v>987</v>
      </c>
      <c r="D397" s="418" t="s">
        <v>1026</v>
      </c>
      <c r="E397" s="418" t="s">
        <v>1027</v>
      </c>
      <c r="F397" s="421">
        <v>59</v>
      </c>
      <c r="G397" s="421">
        <v>7611</v>
      </c>
      <c r="H397" s="421">
        <v>1</v>
      </c>
      <c r="I397" s="421">
        <v>129</v>
      </c>
      <c r="J397" s="421">
        <v>77</v>
      </c>
      <c r="K397" s="421">
        <v>10087</v>
      </c>
      <c r="L397" s="421">
        <v>1.3253186177900407</v>
      </c>
      <c r="M397" s="421">
        <v>131</v>
      </c>
      <c r="N397" s="421">
        <v>118</v>
      </c>
      <c r="O397" s="421">
        <v>16166</v>
      </c>
      <c r="P397" s="443">
        <v>2.1240310077519382</v>
      </c>
      <c r="Q397" s="422">
        <v>137</v>
      </c>
    </row>
    <row r="398" spans="1:17" ht="14.4" customHeight="1" x14ac:dyDescent="0.3">
      <c r="A398" s="417" t="s">
        <v>1151</v>
      </c>
      <c r="B398" s="418" t="s">
        <v>986</v>
      </c>
      <c r="C398" s="418" t="s">
        <v>987</v>
      </c>
      <c r="D398" s="418" t="s">
        <v>1028</v>
      </c>
      <c r="E398" s="418" t="s">
        <v>1029</v>
      </c>
      <c r="F398" s="421"/>
      <c r="G398" s="421"/>
      <c r="H398" s="421"/>
      <c r="I398" s="421"/>
      <c r="J398" s="421"/>
      <c r="K398" s="421"/>
      <c r="L398" s="421"/>
      <c r="M398" s="421"/>
      <c r="N398" s="421">
        <v>2</v>
      </c>
      <c r="O398" s="421">
        <v>410</v>
      </c>
      <c r="P398" s="443"/>
      <c r="Q398" s="422">
        <v>205</v>
      </c>
    </row>
    <row r="399" spans="1:17" ht="14.4" customHeight="1" x14ac:dyDescent="0.3">
      <c r="A399" s="417" t="s">
        <v>1151</v>
      </c>
      <c r="B399" s="418" t="s">
        <v>986</v>
      </c>
      <c r="C399" s="418" t="s">
        <v>987</v>
      </c>
      <c r="D399" s="418" t="s">
        <v>1032</v>
      </c>
      <c r="E399" s="418" t="s">
        <v>1033</v>
      </c>
      <c r="F399" s="421">
        <v>213</v>
      </c>
      <c r="G399" s="421">
        <v>3408</v>
      </c>
      <c r="H399" s="421">
        <v>1</v>
      </c>
      <c r="I399" s="421">
        <v>16</v>
      </c>
      <c r="J399" s="421">
        <v>225</v>
      </c>
      <c r="K399" s="421">
        <v>3600</v>
      </c>
      <c r="L399" s="421">
        <v>1.056338028169014</v>
      </c>
      <c r="M399" s="421">
        <v>16</v>
      </c>
      <c r="N399" s="421">
        <v>344</v>
      </c>
      <c r="O399" s="421">
        <v>5848</v>
      </c>
      <c r="P399" s="443">
        <v>1.715962441314554</v>
      </c>
      <c r="Q399" s="422">
        <v>17</v>
      </c>
    </row>
    <row r="400" spans="1:17" ht="14.4" customHeight="1" x14ac:dyDescent="0.3">
      <c r="A400" s="417" t="s">
        <v>1151</v>
      </c>
      <c r="B400" s="418" t="s">
        <v>986</v>
      </c>
      <c r="C400" s="418" t="s">
        <v>987</v>
      </c>
      <c r="D400" s="418" t="s">
        <v>1036</v>
      </c>
      <c r="E400" s="418" t="s">
        <v>1037</v>
      </c>
      <c r="F400" s="421"/>
      <c r="G400" s="421"/>
      <c r="H400" s="421"/>
      <c r="I400" s="421"/>
      <c r="J400" s="421">
        <v>2</v>
      </c>
      <c r="K400" s="421">
        <v>206</v>
      </c>
      <c r="L400" s="421"/>
      <c r="M400" s="421">
        <v>103</v>
      </c>
      <c r="N400" s="421">
        <v>1</v>
      </c>
      <c r="O400" s="421">
        <v>103</v>
      </c>
      <c r="P400" s="443"/>
      <c r="Q400" s="422">
        <v>103</v>
      </c>
    </row>
    <row r="401" spans="1:17" ht="14.4" customHeight="1" x14ac:dyDescent="0.3">
      <c r="A401" s="417" t="s">
        <v>1151</v>
      </c>
      <c r="B401" s="418" t="s">
        <v>986</v>
      </c>
      <c r="C401" s="418" t="s">
        <v>987</v>
      </c>
      <c r="D401" s="418" t="s">
        <v>1040</v>
      </c>
      <c r="E401" s="418" t="s">
        <v>1041</v>
      </c>
      <c r="F401" s="421">
        <v>89</v>
      </c>
      <c r="G401" s="421">
        <v>10057</v>
      </c>
      <c r="H401" s="421">
        <v>1</v>
      </c>
      <c r="I401" s="421">
        <v>113</v>
      </c>
      <c r="J401" s="421">
        <v>64</v>
      </c>
      <c r="K401" s="421">
        <v>7424</v>
      </c>
      <c r="L401" s="421">
        <v>0.73819230386795265</v>
      </c>
      <c r="M401" s="421">
        <v>116</v>
      </c>
      <c r="N401" s="421">
        <v>103</v>
      </c>
      <c r="O401" s="421">
        <v>12051</v>
      </c>
      <c r="P401" s="443">
        <v>1.1982698617878096</v>
      </c>
      <c r="Q401" s="422">
        <v>117</v>
      </c>
    </row>
    <row r="402" spans="1:17" ht="14.4" customHeight="1" x14ac:dyDescent="0.3">
      <c r="A402" s="417" t="s">
        <v>1151</v>
      </c>
      <c r="B402" s="418" t="s">
        <v>986</v>
      </c>
      <c r="C402" s="418" t="s">
        <v>987</v>
      </c>
      <c r="D402" s="418" t="s">
        <v>1042</v>
      </c>
      <c r="E402" s="418" t="s">
        <v>1043</v>
      </c>
      <c r="F402" s="421">
        <v>9</v>
      </c>
      <c r="G402" s="421">
        <v>756</v>
      </c>
      <c r="H402" s="421">
        <v>1</v>
      </c>
      <c r="I402" s="421">
        <v>84</v>
      </c>
      <c r="J402" s="421">
        <v>8</v>
      </c>
      <c r="K402" s="421">
        <v>680</v>
      </c>
      <c r="L402" s="421">
        <v>0.89947089947089942</v>
      </c>
      <c r="M402" s="421">
        <v>85</v>
      </c>
      <c r="N402" s="421">
        <v>12</v>
      </c>
      <c r="O402" s="421">
        <v>1092</v>
      </c>
      <c r="P402" s="443">
        <v>1.4444444444444444</v>
      </c>
      <c r="Q402" s="422">
        <v>91</v>
      </c>
    </row>
    <row r="403" spans="1:17" ht="14.4" customHeight="1" x14ac:dyDescent="0.3">
      <c r="A403" s="417" t="s">
        <v>1151</v>
      </c>
      <c r="B403" s="418" t="s">
        <v>986</v>
      </c>
      <c r="C403" s="418" t="s">
        <v>987</v>
      </c>
      <c r="D403" s="418" t="s">
        <v>1044</v>
      </c>
      <c r="E403" s="418" t="s">
        <v>1045</v>
      </c>
      <c r="F403" s="421"/>
      <c r="G403" s="421"/>
      <c r="H403" s="421"/>
      <c r="I403" s="421"/>
      <c r="J403" s="421">
        <v>1</v>
      </c>
      <c r="K403" s="421">
        <v>98</v>
      </c>
      <c r="L403" s="421"/>
      <c r="M403" s="421">
        <v>98</v>
      </c>
      <c r="N403" s="421">
        <v>6</v>
      </c>
      <c r="O403" s="421">
        <v>594</v>
      </c>
      <c r="P403" s="443"/>
      <c r="Q403" s="422">
        <v>99</v>
      </c>
    </row>
    <row r="404" spans="1:17" ht="14.4" customHeight="1" x14ac:dyDescent="0.3">
      <c r="A404" s="417" t="s">
        <v>1151</v>
      </c>
      <c r="B404" s="418" t="s">
        <v>986</v>
      </c>
      <c r="C404" s="418" t="s">
        <v>987</v>
      </c>
      <c r="D404" s="418" t="s">
        <v>1046</v>
      </c>
      <c r="E404" s="418" t="s">
        <v>1047</v>
      </c>
      <c r="F404" s="421">
        <v>4</v>
      </c>
      <c r="G404" s="421">
        <v>84</v>
      </c>
      <c r="H404" s="421">
        <v>1</v>
      </c>
      <c r="I404" s="421">
        <v>21</v>
      </c>
      <c r="J404" s="421">
        <v>18</v>
      </c>
      <c r="K404" s="421">
        <v>378</v>
      </c>
      <c r="L404" s="421">
        <v>4.5</v>
      </c>
      <c r="M404" s="421">
        <v>21</v>
      </c>
      <c r="N404" s="421">
        <v>9</v>
      </c>
      <c r="O404" s="421">
        <v>189</v>
      </c>
      <c r="P404" s="443">
        <v>2.25</v>
      </c>
      <c r="Q404" s="422">
        <v>21</v>
      </c>
    </row>
    <row r="405" spans="1:17" ht="14.4" customHeight="1" x14ac:dyDescent="0.3">
      <c r="A405" s="417" t="s">
        <v>1151</v>
      </c>
      <c r="B405" s="418" t="s">
        <v>986</v>
      </c>
      <c r="C405" s="418" t="s">
        <v>987</v>
      </c>
      <c r="D405" s="418" t="s">
        <v>1048</v>
      </c>
      <c r="E405" s="418" t="s">
        <v>1049</v>
      </c>
      <c r="F405" s="421">
        <v>193</v>
      </c>
      <c r="G405" s="421">
        <v>93798</v>
      </c>
      <c r="H405" s="421">
        <v>1</v>
      </c>
      <c r="I405" s="421">
        <v>486</v>
      </c>
      <c r="J405" s="421">
        <v>226</v>
      </c>
      <c r="K405" s="421">
        <v>110062</v>
      </c>
      <c r="L405" s="421">
        <v>1.1733938889955009</v>
      </c>
      <c r="M405" s="421">
        <v>487</v>
      </c>
      <c r="N405" s="421">
        <v>406</v>
      </c>
      <c r="O405" s="421">
        <v>198128</v>
      </c>
      <c r="P405" s="443">
        <v>2.1122838440052027</v>
      </c>
      <c r="Q405" s="422">
        <v>488</v>
      </c>
    </row>
    <row r="406" spans="1:17" ht="14.4" customHeight="1" x14ac:dyDescent="0.3">
      <c r="A406" s="417" t="s">
        <v>1151</v>
      </c>
      <c r="B406" s="418" t="s">
        <v>986</v>
      </c>
      <c r="C406" s="418" t="s">
        <v>987</v>
      </c>
      <c r="D406" s="418" t="s">
        <v>1056</v>
      </c>
      <c r="E406" s="418" t="s">
        <v>1057</v>
      </c>
      <c r="F406" s="421">
        <v>18</v>
      </c>
      <c r="G406" s="421">
        <v>720</v>
      </c>
      <c r="H406" s="421">
        <v>1</v>
      </c>
      <c r="I406" s="421">
        <v>40</v>
      </c>
      <c r="J406" s="421">
        <v>22</v>
      </c>
      <c r="K406" s="421">
        <v>902</v>
      </c>
      <c r="L406" s="421">
        <v>1.2527777777777778</v>
      </c>
      <c r="M406" s="421">
        <v>41</v>
      </c>
      <c r="N406" s="421">
        <v>28</v>
      </c>
      <c r="O406" s="421">
        <v>1148</v>
      </c>
      <c r="P406" s="443">
        <v>1.5944444444444446</v>
      </c>
      <c r="Q406" s="422">
        <v>41</v>
      </c>
    </row>
    <row r="407" spans="1:17" ht="14.4" customHeight="1" x14ac:dyDescent="0.3">
      <c r="A407" s="417" t="s">
        <v>1151</v>
      </c>
      <c r="B407" s="418" t="s">
        <v>986</v>
      </c>
      <c r="C407" s="418" t="s">
        <v>987</v>
      </c>
      <c r="D407" s="418" t="s">
        <v>1064</v>
      </c>
      <c r="E407" s="418" t="s">
        <v>1065</v>
      </c>
      <c r="F407" s="421"/>
      <c r="G407" s="421"/>
      <c r="H407" s="421"/>
      <c r="I407" s="421"/>
      <c r="J407" s="421"/>
      <c r="K407" s="421"/>
      <c r="L407" s="421"/>
      <c r="M407" s="421"/>
      <c r="N407" s="421">
        <v>1</v>
      </c>
      <c r="O407" s="421">
        <v>223</v>
      </c>
      <c r="P407" s="443"/>
      <c r="Q407" s="422">
        <v>223</v>
      </c>
    </row>
    <row r="408" spans="1:17" ht="14.4" customHeight="1" x14ac:dyDescent="0.3">
      <c r="A408" s="417" t="s">
        <v>1151</v>
      </c>
      <c r="B408" s="418" t="s">
        <v>986</v>
      </c>
      <c r="C408" s="418" t="s">
        <v>987</v>
      </c>
      <c r="D408" s="418" t="s">
        <v>1066</v>
      </c>
      <c r="E408" s="418" t="s">
        <v>1067</v>
      </c>
      <c r="F408" s="421">
        <v>7</v>
      </c>
      <c r="G408" s="421">
        <v>5327</v>
      </c>
      <c r="H408" s="421">
        <v>1</v>
      </c>
      <c r="I408" s="421">
        <v>761</v>
      </c>
      <c r="J408" s="421">
        <v>7</v>
      </c>
      <c r="K408" s="421">
        <v>5334</v>
      </c>
      <c r="L408" s="421">
        <v>1.0013140604467805</v>
      </c>
      <c r="M408" s="421">
        <v>762</v>
      </c>
      <c r="N408" s="421">
        <v>23</v>
      </c>
      <c r="O408" s="421">
        <v>17549</v>
      </c>
      <c r="P408" s="443">
        <v>3.2943495400788438</v>
      </c>
      <c r="Q408" s="422">
        <v>763</v>
      </c>
    </row>
    <row r="409" spans="1:17" ht="14.4" customHeight="1" x14ac:dyDescent="0.3">
      <c r="A409" s="417" t="s">
        <v>1151</v>
      </c>
      <c r="B409" s="418" t="s">
        <v>986</v>
      </c>
      <c r="C409" s="418" t="s">
        <v>987</v>
      </c>
      <c r="D409" s="418" t="s">
        <v>1068</v>
      </c>
      <c r="E409" s="418" t="s">
        <v>1069</v>
      </c>
      <c r="F409" s="421">
        <v>1</v>
      </c>
      <c r="G409" s="421">
        <v>2029</v>
      </c>
      <c r="H409" s="421">
        <v>1</v>
      </c>
      <c r="I409" s="421">
        <v>2029</v>
      </c>
      <c r="J409" s="421">
        <v>2</v>
      </c>
      <c r="K409" s="421">
        <v>4144</v>
      </c>
      <c r="L409" s="421">
        <v>2.0423854115327749</v>
      </c>
      <c r="M409" s="421">
        <v>2072</v>
      </c>
      <c r="N409" s="421"/>
      <c r="O409" s="421"/>
      <c r="P409" s="443"/>
      <c r="Q409" s="422"/>
    </row>
    <row r="410" spans="1:17" ht="14.4" customHeight="1" x14ac:dyDescent="0.3">
      <c r="A410" s="417" t="s">
        <v>1151</v>
      </c>
      <c r="B410" s="418" t="s">
        <v>986</v>
      </c>
      <c r="C410" s="418" t="s">
        <v>987</v>
      </c>
      <c r="D410" s="418" t="s">
        <v>1082</v>
      </c>
      <c r="E410" s="418" t="s">
        <v>1083</v>
      </c>
      <c r="F410" s="421"/>
      <c r="G410" s="421"/>
      <c r="H410" s="421"/>
      <c r="I410" s="421"/>
      <c r="J410" s="421"/>
      <c r="K410" s="421"/>
      <c r="L410" s="421"/>
      <c r="M410" s="421"/>
      <c r="N410" s="421">
        <v>2</v>
      </c>
      <c r="O410" s="421">
        <v>498</v>
      </c>
      <c r="P410" s="443"/>
      <c r="Q410" s="422">
        <v>249</v>
      </c>
    </row>
    <row r="411" spans="1:17" ht="14.4" customHeight="1" x14ac:dyDescent="0.3">
      <c r="A411" s="417" t="s">
        <v>1151</v>
      </c>
      <c r="B411" s="418" t="s">
        <v>986</v>
      </c>
      <c r="C411" s="418" t="s">
        <v>987</v>
      </c>
      <c r="D411" s="418" t="s">
        <v>1092</v>
      </c>
      <c r="E411" s="418" t="s">
        <v>1093</v>
      </c>
      <c r="F411" s="421">
        <v>31</v>
      </c>
      <c r="G411" s="421">
        <v>1240</v>
      </c>
      <c r="H411" s="421">
        <v>1</v>
      </c>
      <c r="I411" s="421">
        <v>40</v>
      </c>
      <c r="J411" s="421">
        <v>49</v>
      </c>
      <c r="K411" s="421">
        <v>2009</v>
      </c>
      <c r="L411" s="421">
        <v>1.6201612903225806</v>
      </c>
      <c r="M411" s="421">
        <v>41</v>
      </c>
      <c r="N411" s="421">
        <v>66</v>
      </c>
      <c r="O411" s="421">
        <v>2772</v>
      </c>
      <c r="P411" s="443">
        <v>2.2354838709677418</v>
      </c>
      <c r="Q411" s="422">
        <v>42</v>
      </c>
    </row>
    <row r="412" spans="1:17" ht="14.4" customHeight="1" x14ac:dyDescent="0.3">
      <c r="A412" s="417" t="s">
        <v>1152</v>
      </c>
      <c r="B412" s="418" t="s">
        <v>986</v>
      </c>
      <c r="C412" s="418" t="s">
        <v>987</v>
      </c>
      <c r="D412" s="418" t="s">
        <v>988</v>
      </c>
      <c r="E412" s="418" t="s">
        <v>989</v>
      </c>
      <c r="F412" s="421">
        <v>24</v>
      </c>
      <c r="G412" s="421">
        <v>3816</v>
      </c>
      <c r="H412" s="421">
        <v>1</v>
      </c>
      <c r="I412" s="421">
        <v>159</v>
      </c>
      <c r="J412" s="421">
        <v>41</v>
      </c>
      <c r="K412" s="421">
        <v>6601</v>
      </c>
      <c r="L412" s="421">
        <v>1.7298218029350105</v>
      </c>
      <c r="M412" s="421">
        <v>161</v>
      </c>
      <c r="N412" s="421">
        <v>73</v>
      </c>
      <c r="O412" s="421">
        <v>12629</v>
      </c>
      <c r="P412" s="443">
        <v>3.3094863731656186</v>
      </c>
      <c r="Q412" s="422">
        <v>173</v>
      </c>
    </row>
    <row r="413" spans="1:17" ht="14.4" customHeight="1" x14ac:dyDescent="0.3">
      <c r="A413" s="417" t="s">
        <v>1152</v>
      </c>
      <c r="B413" s="418" t="s">
        <v>986</v>
      </c>
      <c r="C413" s="418" t="s">
        <v>987</v>
      </c>
      <c r="D413" s="418" t="s">
        <v>1002</v>
      </c>
      <c r="E413" s="418" t="s">
        <v>1003</v>
      </c>
      <c r="F413" s="421">
        <v>1</v>
      </c>
      <c r="G413" s="421">
        <v>1165</v>
      </c>
      <c r="H413" s="421">
        <v>1</v>
      </c>
      <c r="I413" s="421">
        <v>1165</v>
      </c>
      <c r="J413" s="421"/>
      <c r="K413" s="421"/>
      <c r="L413" s="421"/>
      <c r="M413" s="421"/>
      <c r="N413" s="421">
        <v>1</v>
      </c>
      <c r="O413" s="421">
        <v>1173</v>
      </c>
      <c r="P413" s="443">
        <v>1.0068669527896996</v>
      </c>
      <c r="Q413" s="422">
        <v>1173</v>
      </c>
    </row>
    <row r="414" spans="1:17" ht="14.4" customHeight="1" x14ac:dyDescent="0.3">
      <c r="A414" s="417" t="s">
        <v>1152</v>
      </c>
      <c r="B414" s="418" t="s">
        <v>986</v>
      </c>
      <c r="C414" s="418" t="s">
        <v>987</v>
      </c>
      <c r="D414" s="418" t="s">
        <v>1004</v>
      </c>
      <c r="E414" s="418" t="s">
        <v>1005</v>
      </c>
      <c r="F414" s="421">
        <v>34</v>
      </c>
      <c r="G414" s="421">
        <v>1326</v>
      </c>
      <c r="H414" s="421">
        <v>1</v>
      </c>
      <c r="I414" s="421">
        <v>39</v>
      </c>
      <c r="J414" s="421">
        <v>30</v>
      </c>
      <c r="K414" s="421">
        <v>1200</v>
      </c>
      <c r="L414" s="421">
        <v>0.90497737556561086</v>
      </c>
      <c r="M414" s="421">
        <v>40</v>
      </c>
      <c r="N414" s="421">
        <v>32</v>
      </c>
      <c r="O414" s="421">
        <v>1312</v>
      </c>
      <c r="P414" s="443">
        <v>0.98944193061840124</v>
      </c>
      <c r="Q414" s="422">
        <v>41</v>
      </c>
    </row>
    <row r="415" spans="1:17" ht="14.4" customHeight="1" x14ac:dyDescent="0.3">
      <c r="A415" s="417" t="s">
        <v>1152</v>
      </c>
      <c r="B415" s="418" t="s">
        <v>986</v>
      </c>
      <c r="C415" s="418" t="s">
        <v>987</v>
      </c>
      <c r="D415" s="418" t="s">
        <v>1006</v>
      </c>
      <c r="E415" s="418" t="s">
        <v>1007</v>
      </c>
      <c r="F415" s="421">
        <v>4</v>
      </c>
      <c r="G415" s="421">
        <v>1528</v>
      </c>
      <c r="H415" s="421">
        <v>1</v>
      </c>
      <c r="I415" s="421">
        <v>382</v>
      </c>
      <c r="J415" s="421">
        <v>7</v>
      </c>
      <c r="K415" s="421">
        <v>2681</v>
      </c>
      <c r="L415" s="421">
        <v>1.7545811518324608</v>
      </c>
      <c r="M415" s="421">
        <v>383</v>
      </c>
      <c r="N415" s="421">
        <v>1</v>
      </c>
      <c r="O415" s="421">
        <v>384</v>
      </c>
      <c r="P415" s="443">
        <v>0.2513089005235602</v>
      </c>
      <c r="Q415" s="422">
        <v>384</v>
      </c>
    </row>
    <row r="416" spans="1:17" ht="14.4" customHeight="1" x14ac:dyDescent="0.3">
      <c r="A416" s="417" t="s">
        <v>1152</v>
      </c>
      <c r="B416" s="418" t="s">
        <v>986</v>
      </c>
      <c r="C416" s="418" t="s">
        <v>987</v>
      </c>
      <c r="D416" s="418" t="s">
        <v>1012</v>
      </c>
      <c r="E416" s="418" t="s">
        <v>1013</v>
      </c>
      <c r="F416" s="421">
        <v>3</v>
      </c>
      <c r="G416" s="421">
        <v>1332</v>
      </c>
      <c r="H416" s="421">
        <v>1</v>
      </c>
      <c r="I416" s="421">
        <v>444</v>
      </c>
      <c r="J416" s="421"/>
      <c r="K416" s="421"/>
      <c r="L416" s="421"/>
      <c r="M416" s="421"/>
      <c r="N416" s="421"/>
      <c r="O416" s="421"/>
      <c r="P416" s="443"/>
      <c r="Q416" s="422"/>
    </row>
    <row r="417" spans="1:17" ht="14.4" customHeight="1" x14ac:dyDescent="0.3">
      <c r="A417" s="417" t="s">
        <v>1152</v>
      </c>
      <c r="B417" s="418" t="s">
        <v>986</v>
      </c>
      <c r="C417" s="418" t="s">
        <v>987</v>
      </c>
      <c r="D417" s="418" t="s">
        <v>1016</v>
      </c>
      <c r="E417" s="418" t="s">
        <v>1017</v>
      </c>
      <c r="F417" s="421"/>
      <c r="G417" s="421"/>
      <c r="H417" s="421"/>
      <c r="I417" s="421"/>
      <c r="J417" s="421"/>
      <c r="K417" s="421"/>
      <c r="L417" s="421"/>
      <c r="M417" s="421"/>
      <c r="N417" s="421">
        <v>4</v>
      </c>
      <c r="O417" s="421">
        <v>1968</v>
      </c>
      <c r="P417" s="443"/>
      <c r="Q417" s="422">
        <v>492</v>
      </c>
    </row>
    <row r="418" spans="1:17" ht="14.4" customHeight="1" x14ac:dyDescent="0.3">
      <c r="A418" s="417" t="s">
        <v>1152</v>
      </c>
      <c r="B418" s="418" t="s">
        <v>986</v>
      </c>
      <c r="C418" s="418" t="s">
        <v>987</v>
      </c>
      <c r="D418" s="418" t="s">
        <v>1018</v>
      </c>
      <c r="E418" s="418" t="s">
        <v>1019</v>
      </c>
      <c r="F418" s="421">
        <v>7</v>
      </c>
      <c r="G418" s="421">
        <v>217</v>
      </c>
      <c r="H418" s="421">
        <v>1</v>
      </c>
      <c r="I418" s="421">
        <v>31</v>
      </c>
      <c r="J418" s="421"/>
      <c r="K418" s="421"/>
      <c r="L418" s="421"/>
      <c r="M418" s="421"/>
      <c r="N418" s="421">
        <v>5</v>
      </c>
      <c r="O418" s="421">
        <v>155</v>
      </c>
      <c r="P418" s="443">
        <v>0.7142857142857143</v>
      </c>
      <c r="Q418" s="422">
        <v>31</v>
      </c>
    </row>
    <row r="419" spans="1:17" ht="14.4" customHeight="1" x14ac:dyDescent="0.3">
      <c r="A419" s="417" t="s">
        <v>1152</v>
      </c>
      <c r="B419" s="418" t="s">
        <v>986</v>
      </c>
      <c r="C419" s="418" t="s">
        <v>987</v>
      </c>
      <c r="D419" s="418" t="s">
        <v>1020</v>
      </c>
      <c r="E419" s="418" t="s">
        <v>1021</v>
      </c>
      <c r="F419" s="421"/>
      <c r="G419" s="421"/>
      <c r="H419" s="421"/>
      <c r="I419" s="421"/>
      <c r="J419" s="421">
        <v>1</v>
      </c>
      <c r="K419" s="421">
        <v>207</v>
      </c>
      <c r="L419" s="421"/>
      <c r="M419" s="421">
        <v>207</v>
      </c>
      <c r="N419" s="421"/>
      <c r="O419" s="421"/>
      <c r="P419" s="443"/>
      <c r="Q419" s="422"/>
    </row>
    <row r="420" spans="1:17" ht="14.4" customHeight="1" x14ac:dyDescent="0.3">
      <c r="A420" s="417" t="s">
        <v>1152</v>
      </c>
      <c r="B420" s="418" t="s">
        <v>986</v>
      </c>
      <c r="C420" s="418" t="s">
        <v>987</v>
      </c>
      <c r="D420" s="418" t="s">
        <v>1022</v>
      </c>
      <c r="E420" s="418" t="s">
        <v>1023</v>
      </c>
      <c r="F420" s="421"/>
      <c r="G420" s="421"/>
      <c r="H420" s="421"/>
      <c r="I420" s="421"/>
      <c r="J420" s="421">
        <v>1</v>
      </c>
      <c r="K420" s="421">
        <v>380</v>
      </c>
      <c r="L420" s="421"/>
      <c r="M420" s="421">
        <v>380</v>
      </c>
      <c r="N420" s="421"/>
      <c r="O420" s="421"/>
      <c r="P420" s="443"/>
      <c r="Q420" s="422"/>
    </row>
    <row r="421" spans="1:17" ht="14.4" customHeight="1" x14ac:dyDescent="0.3">
      <c r="A421" s="417" t="s">
        <v>1152</v>
      </c>
      <c r="B421" s="418" t="s">
        <v>986</v>
      </c>
      <c r="C421" s="418" t="s">
        <v>987</v>
      </c>
      <c r="D421" s="418" t="s">
        <v>1024</v>
      </c>
      <c r="E421" s="418" t="s">
        <v>1025</v>
      </c>
      <c r="F421" s="421"/>
      <c r="G421" s="421"/>
      <c r="H421" s="421"/>
      <c r="I421" s="421"/>
      <c r="J421" s="421"/>
      <c r="K421" s="421"/>
      <c r="L421" s="421"/>
      <c r="M421" s="421"/>
      <c r="N421" s="421">
        <v>1</v>
      </c>
      <c r="O421" s="421">
        <v>236</v>
      </c>
      <c r="P421" s="443"/>
      <c r="Q421" s="422">
        <v>236</v>
      </c>
    </row>
    <row r="422" spans="1:17" ht="14.4" customHeight="1" x14ac:dyDescent="0.3">
      <c r="A422" s="417" t="s">
        <v>1152</v>
      </c>
      <c r="B422" s="418" t="s">
        <v>986</v>
      </c>
      <c r="C422" s="418" t="s">
        <v>987</v>
      </c>
      <c r="D422" s="418" t="s">
        <v>1032</v>
      </c>
      <c r="E422" s="418" t="s">
        <v>1033</v>
      </c>
      <c r="F422" s="421">
        <v>11</v>
      </c>
      <c r="G422" s="421">
        <v>176</v>
      </c>
      <c r="H422" s="421">
        <v>1</v>
      </c>
      <c r="I422" s="421">
        <v>16</v>
      </c>
      <c r="J422" s="421">
        <v>15</v>
      </c>
      <c r="K422" s="421">
        <v>240</v>
      </c>
      <c r="L422" s="421">
        <v>1.3636363636363635</v>
      </c>
      <c r="M422" s="421">
        <v>16</v>
      </c>
      <c r="N422" s="421">
        <v>12</v>
      </c>
      <c r="O422" s="421">
        <v>204</v>
      </c>
      <c r="P422" s="443">
        <v>1.1590909090909092</v>
      </c>
      <c r="Q422" s="422">
        <v>17</v>
      </c>
    </row>
    <row r="423" spans="1:17" ht="14.4" customHeight="1" x14ac:dyDescent="0.3">
      <c r="A423" s="417" t="s">
        <v>1152</v>
      </c>
      <c r="B423" s="418" t="s">
        <v>986</v>
      </c>
      <c r="C423" s="418" t="s">
        <v>987</v>
      </c>
      <c r="D423" s="418" t="s">
        <v>1034</v>
      </c>
      <c r="E423" s="418" t="s">
        <v>1035</v>
      </c>
      <c r="F423" s="421">
        <v>1</v>
      </c>
      <c r="G423" s="421">
        <v>133</v>
      </c>
      <c r="H423" s="421">
        <v>1</v>
      </c>
      <c r="I423" s="421">
        <v>133</v>
      </c>
      <c r="J423" s="421"/>
      <c r="K423" s="421"/>
      <c r="L423" s="421"/>
      <c r="M423" s="421"/>
      <c r="N423" s="421">
        <v>1</v>
      </c>
      <c r="O423" s="421">
        <v>139</v>
      </c>
      <c r="P423" s="443">
        <v>1.0451127819548873</v>
      </c>
      <c r="Q423" s="422">
        <v>139</v>
      </c>
    </row>
    <row r="424" spans="1:17" ht="14.4" customHeight="1" x14ac:dyDescent="0.3">
      <c r="A424" s="417" t="s">
        <v>1152</v>
      </c>
      <c r="B424" s="418" t="s">
        <v>986</v>
      </c>
      <c r="C424" s="418" t="s">
        <v>987</v>
      </c>
      <c r="D424" s="418" t="s">
        <v>1036</v>
      </c>
      <c r="E424" s="418" t="s">
        <v>1037</v>
      </c>
      <c r="F424" s="421">
        <v>7</v>
      </c>
      <c r="G424" s="421">
        <v>714</v>
      </c>
      <c r="H424" s="421">
        <v>1</v>
      </c>
      <c r="I424" s="421">
        <v>102</v>
      </c>
      <c r="J424" s="421">
        <v>1</v>
      </c>
      <c r="K424" s="421">
        <v>103</v>
      </c>
      <c r="L424" s="421">
        <v>0.14425770308123248</v>
      </c>
      <c r="M424" s="421">
        <v>103</v>
      </c>
      <c r="N424" s="421">
        <v>8</v>
      </c>
      <c r="O424" s="421">
        <v>824</v>
      </c>
      <c r="P424" s="443">
        <v>1.1540616246498598</v>
      </c>
      <c r="Q424" s="422">
        <v>103</v>
      </c>
    </row>
    <row r="425" spans="1:17" ht="14.4" customHeight="1" x14ac:dyDescent="0.3">
      <c r="A425" s="417" t="s">
        <v>1152</v>
      </c>
      <c r="B425" s="418" t="s">
        <v>986</v>
      </c>
      <c r="C425" s="418" t="s">
        <v>987</v>
      </c>
      <c r="D425" s="418" t="s">
        <v>1040</v>
      </c>
      <c r="E425" s="418" t="s">
        <v>1041</v>
      </c>
      <c r="F425" s="421">
        <v>72</v>
      </c>
      <c r="G425" s="421">
        <v>8136</v>
      </c>
      <c r="H425" s="421">
        <v>1</v>
      </c>
      <c r="I425" s="421">
        <v>113</v>
      </c>
      <c r="J425" s="421">
        <v>62</v>
      </c>
      <c r="K425" s="421">
        <v>7192</v>
      </c>
      <c r="L425" s="421">
        <v>0.88397246804326446</v>
      </c>
      <c r="M425" s="421">
        <v>116</v>
      </c>
      <c r="N425" s="421">
        <v>133</v>
      </c>
      <c r="O425" s="421">
        <v>15561</v>
      </c>
      <c r="P425" s="443">
        <v>1.9126106194690264</v>
      </c>
      <c r="Q425" s="422">
        <v>117</v>
      </c>
    </row>
    <row r="426" spans="1:17" ht="14.4" customHeight="1" x14ac:dyDescent="0.3">
      <c r="A426" s="417" t="s">
        <v>1152</v>
      </c>
      <c r="B426" s="418" t="s">
        <v>986</v>
      </c>
      <c r="C426" s="418" t="s">
        <v>987</v>
      </c>
      <c r="D426" s="418" t="s">
        <v>1042</v>
      </c>
      <c r="E426" s="418" t="s">
        <v>1043</v>
      </c>
      <c r="F426" s="421">
        <v>9</v>
      </c>
      <c r="G426" s="421">
        <v>756</v>
      </c>
      <c r="H426" s="421">
        <v>1</v>
      </c>
      <c r="I426" s="421">
        <v>84</v>
      </c>
      <c r="J426" s="421">
        <v>8</v>
      </c>
      <c r="K426" s="421">
        <v>680</v>
      </c>
      <c r="L426" s="421">
        <v>0.89947089947089942</v>
      </c>
      <c r="M426" s="421">
        <v>85</v>
      </c>
      <c r="N426" s="421">
        <v>24</v>
      </c>
      <c r="O426" s="421">
        <v>2184</v>
      </c>
      <c r="P426" s="443">
        <v>2.8888888888888888</v>
      </c>
      <c r="Q426" s="422">
        <v>91</v>
      </c>
    </row>
    <row r="427" spans="1:17" ht="14.4" customHeight="1" x14ac:dyDescent="0.3">
      <c r="A427" s="417" t="s">
        <v>1152</v>
      </c>
      <c r="B427" s="418" t="s">
        <v>986</v>
      </c>
      <c r="C427" s="418" t="s">
        <v>987</v>
      </c>
      <c r="D427" s="418" t="s">
        <v>1044</v>
      </c>
      <c r="E427" s="418" t="s">
        <v>1045</v>
      </c>
      <c r="F427" s="421">
        <v>1</v>
      </c>
      <c r="G427" s="421">
        <v>96</v>
      </c>
      <c r="H427" s="421">
        <v>1</v>
      </c>
      <c r="I427" s="421">
        <v>96</v>
      </c>
      <c r="J427" s="421">
        <v>1</v>
      </c>
      <c r="K427" s="421">
        <v>98</v>
      </c>
      <c r="L427" s="421">
        <v>1.0208333333333333</v>
      </c>
      <c r="M427" s="421">
        <v>98</v>
      </c>
      <c r="N427" s="421">
        <v>3</v>
      </c>
      <c r="O427" s="421">
        <v>297</v>
      </c>
      <c r="P427" s="443">
        <v>3.09375</v>
      </c>
      <c r="Q427" s="422">
        <v>99</v>
      </c>
    </row>
    <row r="428" spans="1:17" ht="14.4" customHeight="1" x14ac:dyDescent="0.3">
      <c r="A428" s="417" t="s">
        <v>1152</v>
      </c>
      <c r="B428" s="418" t="s">
        <v>986</v>
      </c>
      <c r="C428" s="418" t="s">
        <v>987</v>
      </c>
      <c r="D428" s="418" t="s">
        <v>1046</v>
      </c>
      <c r="E428" s="418" t="s">
        <v>1047</v>
      </c>
      <c r="F428" s="421">
        <v>9</v>
      </c>
      <c r="G428" s="421">
        <v>189</v>
      </c>
      <c r="H428" s="421">
        <v>1</v>
      </c>
      <c r="I428" s="421">
        <v>21</v>
      </c>
      <c r="J428" s="421"/>
      <c r="K428" s="421"/>
      <c r="L428" s="421"/>
      <c r="M428" s="421"/>
      <c r="N428" s="421">
        <v>6</v>
      </c>
      <c r="O428" s="421">
        <v>126</v>
      </c>
      <c r="P428" s="443">
        <v>0.66666666666666663</v>
      </c>
      <c r="Q428" s="422">
        <v>21</v>
      </c>
    </row>
    <row r="429" spans="1:17" ht="14.4" customHeight="1" x14ac:dyDescent="0.3">
      <c r="A429" s="417" t="s">
        <v>1152</v>
      </c>
      <c r="B429" s="418" t="s">
        <v>986</v>
      </c>
      <c r="C429" s="418" t="s">
        <v>987</v>
      </c>
      <c r="D429" s="418" t="s">
        <v>1048</v>
      </c>
      <c r="E429" s="418" t="s">
        <v>1049</v>
      </c>
      <c r="F429" s="421">
        <v>6</v>
      </c>
      <c r="G429" s="421">
        <v>2916</v>
      </c>
      <c r="H429" s="421">
        <v>1</v>
      </c>
      <c r="I429" s="421">
        <v>486</v>
      </c>
      <c r="J429" s="421">
        <v>14</v>
      </c>
      <c r="K429" s="421">
        <v>6818</v>
      </c>
      <c r="L429" s="421">
        <v>2.3381344307270235</v>
      </c>
      <c r="M429" s="421">
        <v>487</v>
      </c>
      <c r="N429" s="421">
        <v>22</v>
      </c>
      <c r="O429" s="421">
        <v>10736</v>
      </c>
      <c r="P429" s="443">
        <v>3.6817558299039779</v>
      </c>
      <c r="Q429" s="422">
        <v>488</v>
      </c>
    </row>
    <row r="430" spans="1:17" ht="14.4" customHeight="1" x14ac:dyDescent="0.3">
      <c r="A430" s="417" t="s">
        <v>1152</v>
      </c>
      <c r="B430" s="418" t="s">
        <v>986</v>
      </c>
      <c r="C430" s="418" t="s">
        <v>987</v>
      </c>
      <c r="D430" s="418" t="s">
        <v>1056</v>
      </c>
      <c r="E430" s="418" t="s">
        <v>1057</v>
      </c>
      <c r="F430" s="421">
        <v>16</v>
      </c>
      <c r="G430" s="421">
        <v>640</v>
      </c>
      <c r="H430" s="421">
        <v>1</v>
      </c>
      <c r="I430" s="421">
        <v>40</v>
      </c>
      <c r="J430" s="421">
        <v>2</v>
      </c>
      <c r="K430" s="421">
        <v>82</v>
      </c>
      <c r="L430" s="421">
        <v>0.12812499999999999</v>
      </c>
      <c r="M430" s="421">
        <v>41</v>
      </c>
      <c r="N430" s="421">
        <v>38</v>
      </c>
      <c r="O430" s="421">
        <v>1558</v>
      </c>
      <c r="P430" s="443">
        <v>2.4343750000000002</v>
      </c>
      <c r="Q430" s="422">
        <v>41</v>
      </c>
    </row>
    <row r="431" spans="1:17" ht="14.4" customHeight="1" x14ac:dyDescent="0.3">
      <c r="A431" s="417" t="s">
        <v>1152</v>
      </c>
      <c r="B431" s="418" t="s">
        <v>986</v>
      </c>
      <c r="C431" s="418" t="s">
        <v>987</v>
      </c>
      <c r="D431" s="418" t="s">
        <v>1070</v>
      </c>
      <c r="E431" s="418" t="s">
        <v>1071</v>
      </c>
      <c r="F431" s="421"/>
      <c r="G431" s="421"/>
      <c r="H431" s="421"/>
      <c r="I431" s="421"/>
      <c r="J431" s="421"/>
      <c r="K431" s="421"/>
      <c r="L431" s="421"/>
      <c r="M431" s="421"/>
      <c r="N431" s="421">
        <v>3</v>
      </c>
      <c r="O431" s="421">
        <v>1842</v>
      </c>
      <c r="P431" s="443"/>
      <c r="Q431" s="422">
        <v>614</v>
      </c>
    </row>
    <row r="432" spans="1:17" ht="14.4" customHeight="1" x14ac:dyDescent="0.3">
      <c r="A432" s="417" t="s">
        <v>1152</v>
      </c>
      <c r="B432" s="418" t="s">
        <v>986</v>
      </c>
      <c r="C432" s="418" t="s">
        <v>987</v>
      </c>
      <c r="D432" s="418" t="s">
        <v>1074</v>
      </c>
      <c r="E432" s="418" t="s">
        <v>1075</v>
      </c>
      <c r="F432" s="421">
        <v>6</v>
      </c>
      <c r="G432" s="421">
        <v>3036</v>
      </c>
      <c r="H432" s="421">
        <v>1</v>
      </c>
      <c r="I432" s="421">
        <v>506</v>
      </c>
      <c r="J432" s="421"/>
      <c r="K432" s="421"/>
      <c r="L432" s="421"/>
      <c r="M432" s="421"/>
      <c r="N432" s="421"/>
      <c r="O432" s="421"/>
      <c r="P432" s="443"/>
      <c r="Q432" s="422"/>
    </row>
    <row r="433" spans="1:17" ht="14.4" customHeight="1" x14ac:dyDescent="0.3">
      <c r="A433" s="417" t="s">
        <v>1152</v>
      </c>
      <c r="B433" s="418" t="s">
        <v>986</v>
      </c>
      <c r="C433" s="418" t="s">
        <v>987</v>
      </c>
      <c r="D433" s="418" t="s">
        <v>1082</v>
      </c>
      <c r="E433" s="418" t="s">
        <v>1083</v>
      </c>
      <c r="F433" s="421"/>
      <c r="G433" s="421"/>
      <c r="H433" s="421"/>
      <c r="I433" s="421"/>
      <c r="J433" s="421"/>
      <c r="K433" s="421"/>
      <c r="L433" s="421"/>
      <c r="M433" s="421"/>
      <c r="N433" s="421">
        <v>1</v>
      </c>
      <c r="O433" s="421">
        <v>249</v>
      </c>
      <c r="P433" s="443"/>
      <c r="Q433" s="422">
        <v>249</v>
      </c>
    </row>
    <row r="434" spans="1:17" ht="14.4" customHeight="1" x14ac:dyDescent="0.3">
      <c r="A434" s="417" t="s">
        <v>1153</v>
      </c>
      <c r="B434" s="418" t="s">
        <v>986</v>
      </c>
      <c r="C434" s="418" t="s">
        <v>987</v>
      </c>
      <c r="D434" s="418" t="s">
        <v>1004</v>
      </c>
      <c r="E434" s="418" t="s">
        <v>1005</v>
      </c>
      <c r="F434" s="421"/>
      <c r="G434" s="421"/>
      <c r="H434" s="421"/>
      <c r="I434" s="421"/>
      <c r="J434" s="421">
        <v>3</v>
      </c>
      <c r="K434" s="421">
        <v>120</v>
      </c>
      <c r="L434" s="421"/>
      <c r="M434" s="421">
        <v>40</v>
      </c>
      <c r="N434" s="421"/>
      <c r="O434" s="421"/>
      <c r="P434" s="443"/>
      <c r="Q434" s="422"/>
    </row>
    <row r="435" spans="1:17" ht="14.4" customHeight="1" x14ac:dyDescent="0.3">
      <c r="A435" s="417" t="s">
        <v>1154</v>
      </c>
      <c r="B435" s="418" t="s">
        <v>986</v>
      </c>
      <c r="C435" s="418" t="s">
        <v>987</v>
      </c>
      <c r="D435" s="418" t="s">
        <v>988</v>
      </c>
      <c r="E435" s="418" t="s">
        <v>989</v>
      </c>
      <c r="F435" s="421">
        <v>28</v>
      </c>
      <c r="G435" s="421">
        <v>4452</v>
      </c>
      <c r="H435" s="421">
        <v>1</v>
      </c>
      <c r="I435" s="421">
        <v>159</v>
      </c>
      <c r="J435" s="421">
        <v>33</v>
      </c>
      <c r="K435" s="421">
        <v>5313</v>
      </c>
      <c r="L435" s="421">
        <v>1.1933962264150944</v>
      </c>
      <c r="M435" s="421">
        <v>161</v>
      </c>
      <c r="N435" s="421">
        <v>58</v>
      </c>
      <c r="O435" s="421">
        <v>10034</v>
      </c>
      <c r="P435" s="443">
        <v>2.2538185085354896</v>
      </c>
      <c r="Q435" s="422">
        <v>173</v>
      </c>
    </row>
    <row r="436" spans="1:17" ht="14.4" customHeight="1" x14ac:dyDescent="0.3">
      <c r="A436" s="417" t="s">
        <v>1154</v>
      </c>
      <c r="B436" s="418" t="s">
        <v>986</v>
      </c>
      <c r="C436" s="418" t="s">
        <v>987</v>
      </c>
      <c r="D436" s="418" t="s">
        <v>1002</v>
      </c>
      <c r="E436" s="418" t="s">
        <v>1003</v>
      </c>
      <c r="F436" s="421">
        <v>1</v>
      </c>
      <c r="G436" s="421">
        <v>1165</v>
      </c>
      <c r="H436" s="421">
        <v>1</v>
      </c>
      <c r="I436" s="421">
        <v>1165</v>
      </c>
      <c r="J436" s="421"/>
      <c r="K436" s="421"/>
      <c r="L436" s="421"/>
      <c r="M436" s="421"/>
      <c r="N436" s="421"/>
      <c r="O436" s="421"/>
      <c r="P436" s="443"/>
      <c r="Q436" s="422"/>
    </row>
    <row r="437" spans="1:17" ht="14.4" customHeight="1" x14ac:dyDescent="0.3">
      <c r="A437" s="417" t="s">
        <v>1154</v>
      </c>
      <c r="B437" s="418" t="s">
        <v>986</v>
      </c>
      <c r="C437" s="418" t="s">
        <v>987</v>
      </c>
      <c r="D437" s="418" t="s">
        <v>1004</v>
      </c>
      <c r="E437" s="418" t="s">
        <v>1005</v>
      </c>
      <c r="F437" s="421">
        <v>9</v>
      </c>
      <c r="G437" s="421">
        <v>351</v>
      </c>
      <c r="H437" s="421">
        <v>1</v>
      </c>
      <c r="I437" s="421">
        <v>39</v>
      </c>
      <c r="J437" s="421">
        <v>6</v>
      </c>
      <c r="K437" s="421">
        <v>240</v>
      </c>
      <c r="L437" s="421">
        <v>0.68376068376068377</v>
      </c>
      <c r="M437" s="421">
        <v>40</v>
      </c>
      <c r="N437" s="421">
        <v>10</v>
      </c>
      <c r="O437" s="421">
        <v>410</v>
      </c>
      <c r="P437" s="443">
        <v>1.1680911680911681</v>
      </c>
      <c r="Q437" s="422">
        <v>41</v>
      </c>
    </row>
    <row r="438" spans="1:17" ht="14.4" customHeight="1" x14ac:dyDescent="0.3">
      <c r="A438" s="417" t="s">
        <v>1154</v>
      </c>
      <c r="B438" s="418" t="s">
        <v>986</v>
      </c>
      <c r="C438" s="418" t="s">
        <v>987</v>
      </c>
      <c r="D438" s="418" t="s">
        <v>1012</v>
      </c>
      <c r="E438" s="418" t="s">
        <v>1013</v>
      </c>
      <c r="F438" s="421">
        <v>3</v>
      </c>
      <c r="G438" s="421">
        <v>1332</v>
      </c>
      <c r="H438" s="421">
        <v>1</v>
      </c>
      <c r="I438" s="421">
        <v>444</v>
      </c>
      <c r="J438" s="421"/>
      <c r="K438" s="421"/>
      <c r="L438" s="421"/>
      <c r="M438" s="421"/>
      <c r="N438" s="421"/>
      <c r="O438" s="421"/>
      <c r="P438" s="443"/>
      <c r="Q438" s="422"/>
    </row>
    <row r="439" spans="1:17" ht="14.4" customHeight="1" x14ac:dyDescent="0.3">
      <c r="A439" s="417" t="s">
        <v>1154</v>
      </c>
      <c r="B439" s="418" t="s">
        <v>986</v>
      </c>
      <c r="C439" s="418" t="s">
        <v>987</v>
      </c>
      <c r="D439" s="418" t="s">
        <v>1018</v>
      </c>
      <c r="E439" s="418" t="s">
        <v>1019</v>
      </c>
      <c r="F439" s="421"/>
      <c r="G439" s="421"/>
      <c r="H439" s="421"/>
      <c r="I439" s="421"/>
      <c r="J439" s="421">
        <v>1</v>
      </c>
      <c r="K439" s="421">
        <v>31</v>
      </c>
      <c r="L439" s="421"/>
      <c r="M439" s="421">
        <v>31</v>
      </c>
      <c r="N439" s="421">
        <v>4</v>
      </c>
      <c r="O439" s="421">
        <v>124</v>
      </c>
      <c r="P439" s="443"/>
      <c r="Q439" s="422">
        <v>31</v>
      </c>
    </row>
    <row r="440" spans="1:17" ht="14.4" customHeight="1" x14ac:dyDescent="0.3">
      <c r="A440" s="417" t="s">
        <v>1154</v>
      </c>
      <c r="B440" s="418" t="s">
        <v>986</v>
      </c>
      <c r="C440" s="418" t="s">
        <v>987</v>
      </c>
      <c r="D440" s="418" t="s">
        <v>1032</v>
      </c>
      <c r="E440" s="418" t="s">
        <v>1033</v>
      </c>
      <c r="F440" s="421">
        <v>7</v>
      </c>
      <c r="G440" s="421">
        <v>112</v>
      </c>
      <c r="H440" s="421">
        <v>1</v>
      </c>
      <c r="I440" s="421">
        <v>16</v>
      </c>
      <c r="J440" s="421"/>
      <c r="K440" s="421"/>
      <c r="L440" s="421"/>
      <c r="M440" s="421"/>
      <c r="N440" s="421"/>
      <c r="O440" s="421"/>
      <c r="P440" s="443"/>
      <c r="Q440" s="422"/>
    </row>
    <row r="441" spans="1:17" ht="14.4" customHeight="1" x14ac:dyDescent="0.3">
      <c r="A441" s="417" t="s">
        <v>1154</v>
      </c>
      <c r="B441" s="418" t="s">
        <v>986</v>
      </c>
      <c r="C441" s="418" t="s">
        <v>987</v>
      </c>
      <c r="D441" s="418" t="s">
        <v>1034</v>
      </c>
      <c r="E441" s="418" t="s">
        <v>1035</v>
      </c>
      <c r="F441" s="421">
        <v>1</v>
      </c>
      <c r="G441" s="421">
        <v>133</v>
      </c>
      <c r="H441" s="421">
        <v>1</v>
      </c>
      <c r="I441" s="421">
        <v>133</v>
      </c>
      <c r="J441" s="421"/>
      <c r="K441" s="421"/>
      <c r="L441" s="421"/>
      <c r="M441" s="421"/>
      <c r="N441" s="421"/>
      <c r="O441" s="421"/>
      <c r="P441" s="443"/>
      <c r="Q441" s="422"/>
    </row>
    <row r="442" spans="1:17" ht="14.4" customHeight="1" x14ac:dyDescent="0.3">
      <c r="A442" s="417" t="s">
        <v>1154</v>
      </c>
      <c r="B442" s="418" t="s">
        <v>986</v>
      </c>
      <c r="C442" s="418" t="s">
        <v>987</v>
      </c>
      <c r="D442" s="418" t="s">
        <v>1036</v>
      </c>
      <c r="E442" s="418" t="s">
        <v>1037</v>
      </c>
      <c r="F442" s="421">
        <v>1</v>
      </c>
      <c r="G442" s="421">
        <v>102</v>
      </c>
      <c r="H442" s="421">
        <v>1</v>
      </c>
      <c r="I442" s="421">
        <v>102</v>
      </c>
      <c r="J442" s="421">
        <v>4</v>
      </c>
      <c r="K442" s="421">
        <v>412</v>
      </c>
      <c r="L442" s="421">
        <v>4.0392156862745097</v>
      </c>
      <c r="M442" s="421">
        <v>103</v>
      </c>
      <c r="N442" s="421"/>
      <c r="O442" s="421"/>
      <c r="P442" s="443"/>
      <c r="Q442" s="422"/>
    </row>
    <row r="443" spans="1:17" ht="14.4" customHeight="1" x14ac:dyDescent="0.3">
      <c r="A443" s="417" t="s">
        <v>1154</v>
      </c>
      <c r="B443" s="418" t="s">
        <v>986</v>
      </c>
      <c r="C443" s="418" t="s">
        <v>987</v>
      </c>
      <c r="D443" s="418" t="s">
        <v>1040</v>
      </c>
      <c r="E443" s="418" t="s">
        <v>1041</v>
      </c>
      <c r="F443" s="421">
        <v>14</v>
      </c>
      <c r="G443" s="421">
        <v>1582</v>
      </c>
      <c r="H443" s="421">
        <v>1</v>
      </c>
      <c r="I443" s="421">
        <v>113</v>
      </c>
      <c r="J443" s="421">
        <v>27</v>
      </c>
      <c r="K443" s="421">
        <v>3132</v>
      </c>
      <c r="L443" s="421">
        <v>1.9797724399494312</v>
      </c>
      <c r="M443" s="421">
        <v>116</v>
      </c>
      <c r="N443" s="421">
        <v>34</v>
      </c>
      <c r="O443" s="421">
        <v>3978</v>
      </c>
      <c r="P443" s="443">
        <v>2.5145385587863465</v>
      </c>
      <c r="Q443" s="422">
        <v>117</v>
      </c>
    </row>
    <row r="444" spans="1:17" ht="14.4" customHeight="1" x14ac:dyDescent="0.3">
      <c r="A444" s="417" t="s">
        <v>1154</v>
      </c>
      <c r="B444" s="418" t="s">
        <v>986</v>
      </c>
      <c r="C444" s="418" t="s">
        <v>987</v>
      </c>
      <c r="D444" s="418" t="s">
        <v>1042</v>
      </c>
      <c r="E444" s="418" t="s">
        <v>1043</v>
      </c>
      <c r="F444" s="421">
        <v>1</v>
      </c>
      <c r="G444" s="421">
        <v>84</v>
      </c>
      <c r="H444" s="421">
        <v>1</v>
      </c>
      <c r="I444" s="421">
        <v>84</v>
      </c>
      <c r="J444" s="421">
        <v>8</v>
      </c>
      <c r="K444" s="421">
        <v>680</v>
      </c>
      <c r="L444" s="421">
        <v>8.0952380952380949</v>
      </c>
      <c r="M444" s="421">
        <v>85</v>
      </c>
      <c r="N444" s="421">
        <v>25</v>
      </c>
      <c r="O444" s="421">
        <v>2275</v>
      </c>
      <c r="P444" s="443">
        <v>27.083333333333332</v>
      </c>
      <c r="Q444" s="422">
        <v>91</v>
      </c>
    </row>
    <row r="445" spans="1:17" ht="14.4" customHeight="1" x14ac:dyDescent="0.3">
      <c r="A445" s="417" t="s">
        <v>1154</v>
      </c>
      <c r="B445" s="418" t="s">
        <v>986</v>
      </c>
      <c r="C445" s="418" t="s">
        <v>987</v>
      </c>
      <c r="D445" s="418" t="s">
        <v>1046</v>
      </c>
      <c r="E445" s="418" t="s">
        <v>1047</v>
      </c>
      <c r="F445" s="421"/>
      <c r="G445" s="421"/>
      <c r="H445" s="421"/>
      <c r="I445" s="421"/>
      <c r="J445" s="421">
        <v>3</v>
      </c>
      <c r="K445" s="421">
        <v>63</v>
      </c>
      <c r="L445" s="421"/>
      <c r="M445" s="421">
        <v>21</v>
      </c>
      <c r="N445" s="421">
        <v>2</v>
      </c>
      <c r="O445" s="421">
        <v>42</v>
      </c>
      <c r="P445" s="443"/>
      <c r="Q445" s="422">
        <v>21</v>
      </c>
    </row>
    <row r="446" spans="1:17" ht="14.4" customHeight="1" x14ac:dyDescent="0.3">
      <c r="A446" s="417" t="s">
        <v>1154</v>
      </c>
      <c r="B446" s="418" t="s">
        <v>986</v>
      </c>
      <c r="C446" s="418" t="s">
        <v>987</v>
      </c>
      <c r="D446" s="418" t="s">
        <v>1048</v>
      </c>
      <c r="E446" s="418" t="s">
        <v>1049</v>
      </c>
      <c r="F446" s="421">
        <v>11</v>
      </c>
      <c r="G446" s="421">
        <v>5346</v>
      </c>
      <c r="H446" s="421">
        <v>1</v>
      </c>
      <c r="I446" s="421">
        <v>486</v>
      </c>
      <c r="J446" s="421"/>
      <c r="K446" s="421"/>
      <c r="L446" s="421"/>
      <c r="M446" s="421"/>
      <c r="N446" s="421"/>
      <c r="O446" s="421"/>
      <c r="P446" s="443"/>
      <c r="Q446" s="422"/>
    </row>
    <row r="447" spans="1:17" ht="14.4" customHeight="1" x14ac:dyDescent="0.3">
      <c r="A447" s="417" t="s">
        <v>1154</v>
      </c>
      <c r="B447" s="418" t="s">
        <v>986</v>
      </c>
      <c r="C447" s="418" t="s">
        <v>987</v>
      </c>
      <c r="D447" s="418" t="s">
        <v>1056</v>
      </c>
      <c r="E447" s="418" t="s">
        <v>1057</v>
      </c>
      <c r="F447" s="421">
        <v>3</v>
      </c>
      <c r="G447" s="421">
        <v>120</v>
      </c>
      <c r="H447" s="421">
        <v>1</v>
      </c>
      <c r="I447" s="421">
        <v>40</v>
      </c>
      <c r="J447" s="421">
        <v>14</v>
      </c>
      <c r="K447" s="421">
        <v>574</v>
      </c>
      <c r="L447" s="421">
        <v>4.7833333333333332</v>
      </c>
      <c r="M447" s="421">
        <v>41</v>
      </c>
      <c r="N447" s="421">
        <v>13</v>
      </c>
      <c r="O447" s="421">
        <v>533</v>
      </c>
      <c r="P447" s="443">
        <v>4.4416666666666664</v>
      </c>
      <c r="Q447" s="422">
        <v>41</v>
      </c>
    </row>
    <row r="448" spans="1:17" ht="14.4" customHeight="1" x14ac:dyDescent="0.3">
      <c r="A448" s="417" t="s">
        <v>1155</v>
      </c>
      <c r="B448" s="418" t="s">
        <v>986</v>
      </c>
      <c r="C448" s="418" t="s">
        <v>987</v>
      </c>
      <c r="D448" s="418" t="s">
        <v>988</v>
      </c>
      <c r="E448" s="418" t="s">
        <v>989</v>
      </c>
      <c r="F448" s="421">
        <v>9</v>
      </c>
      <c r="G448" s="421">
        <v>1431</v>
      </c>
      <c r="H448" s="421">
        <v>1</v>
      </c>
      <c r="I448" s="421">
        <v>159</v>
      </c>
      <c r="J448" s="421">
        <v>7</v>
      </c>
      <c r="K448" s="421">
        <v>1127</v>
      </c>
      <c r="L448" s="421">
        <v>0.78756114605171212</v>
      </c>
      <c r="M448" s="421">
        <v>161</v>
      </c>
      <c r="N448" s="421">
        <v>2</v>
      </c>
      <c r="O448" s="421">
        <v>346</v>
      </c>
      <c r="P448" s="443">
        <v>0.24178895877009085</v>
      </c>
      <c r="Q448" s="422">
        <v>173</v>
      </c>
    </row>
    <row r="449" spans="1:17" ht="14.4" customHeight="1" x14ac:dyDescent="0.3">
      <c r="A449" s="417" t="s">
        <v>1155</v>
      </c>
      <c r="B449" s="418" t="s">
        <v>986</v>
      </c>
      <c r="C449" s="418" t="s">
        <v>987</v>
      </c>
      <c r="D449" s="418" t="s">
        <v>1004</v>
      </c>
      <c r="E449" s="418" t="s">
        <v>1005</v>
      </c>
      <c r="F449" s="421">
        <v>3</v>
      </c>
      <c r="G449" s="421">
        <v>117</v>
      </c>
      <c r="H449" s="421">
        <v>1</v>
      </c>
      <c r="I449" s="421">
        <v>39</v>
      </c>
      <c r="J449" s="421">
        <v>16</v>
      </c>
      <c r="K449" s="421">
        <v>640</v>
      </c>
      <c r="L449" s="421">
        <v>5.4700854700854702</v>
      </c>
      <c r="M449" s="421">
        <v>40</v>
      </c>
      <c r="N449" s="421"/>
      <c r="O449" s="421"/>
      <c r="P449" s="443"/>
      <c r="Q449" s="422"/>
    </row>
    <row r="450" spans="1:17" ht="14.4" customHeight="1" x14ac:dyDescent="0.3">
      <c r="A450" s="417" t="s">
        <v>1155</v>
      </c>
      <c r="B450" s="418" t="s">
        <v>986</v>
      </c>
      <c r="C450" s="418" t="s">
        <v>987</v>
      </c>
      <c r="D450" s="418" t="s">
        <v>1006</v>
      </c>
      <c r="E450" s="418" t="s">
        <v>1007</v>
      </c>
      <c r="F450" s="421">
        <v>1</v>
      </c>
      <c r="G450" s="421">
        <v>382</v>
      </c>
      <c r="H450" s="421">
        <v>1</v>
      </c>
      <c r="I450" s="421">
        <v>382</v>
      </c>
      <c r="J450" s="421"/>
      <c r="K450" s="421"/>
      <c r="L450" s="421"/>
      <c r="M450" s="421"/>
      <c r="N450" s="421"/>
      <c r="O450" s="421"/>
      <c r="P450" s="443"/>
      <c r="Q450" s="422"/>
    </row>
    <row r="451" spans="1:17" ht="14.4" customHeight="1" x14ac:dyDescent="0.3">
      <c r="A451" s="417" t="s">
        <v>1155</v>
      </c>
      <c r="B451" s="418" t="s">
        <v>986</v>
      </c>
      <c r="C451" s="418" t="s">
        <v>987</v>
      </c>
      <c r="D451" s="418" t="s">
        <v>1016</v>
      </c>
      <c r="E451" s="418" t="s">
        <v>1017</v>
      </c>
      <c r="F451" s="421">
        <v>1</v>
      </c>
      <c r="G451" s="421">
        <v>490</v>
      </c>
      <c r="H451" s="421">
        <v>1</v>
      </c>
      <c r="I451" s="421">
        <v>490</v>
      </c>
      <c r="J451" s="421"/>
      <c r="K451" s="421"/>
      <c r="L451" s="421"/>
      <c r="M451" s="421"/>
      <c r="N451" s="421"/>
      <c r="O451" s="421"/>
      <c r="P451" s="443"/>
      <c r="Q451" s="422"/>
    </row>
    <row r="452" spans="1:17" ht="14.4" customHeight="1" x14ac:dyDescent="0.3">
      <c r="A452" s="417" t="s">
        <v>1155</v>
      </c>
      <c r="B452" s="418" t="s">
        <v>986</v>
      </c>
      <c r="C452" s="418" t="s">
        <v>987</v>
      </c>
      <c r="D452" s="418" t="s">
        <v>1032</v>
      </c>
      <c r="E452" s="418" t="s">
        <v>1033</v>
      </c>
      <c r="F452" s="421">
        <v>6</v>
      </c>
      <c r="G452" s="421">
        <v>96</v>
      </c>
      <c r="H452" s="421">
        <v>1</v>
      </c>
      <c r="I452" s="421">
        <v>16</v>
      </c>
      <c r="J452" s="421"/>
      <c r="K452" s="421"/>
      <c r="L452" s="421"/>
      <c r="M452" s="421"/>
      <c r="N452" s="421"/>
      <c r="O452" s="421"/>
      <c r="P452" s="443"/>
      <c r="Q452" s="422"/>
    </row>
    <row r="453" spans="1:17" ht="14.4" customHeight="1" x14ac:dyDescent="0.3">
      <c r="A453" s="417" t="s">
        <v>1155</v>
      </c>
      <c r="B453" s="418" t="s">
        <v>986</v>
      </c>
      <c r="C453" s="418" t="s">
        <v>987</v>
      </c>
      <c r="D453" s="418" t="s">
        <v>1040</v>
      </c>
      <c r="E453" s="418" t="s">
        <v>1041</v>
      </c>
      <c r="F453" s="421">
        <v>33</v>
      </c>
      <c r="G453" s="421">
        <v>3729</v>
      </c>
      <c r="H453" s="421">
        <v>1</v>
      </c>
      <c r="I453" s="421">
        <v>113</v>
      </c>
      <c r="J453" s="421">
        <v>20</v>
      </c>
      <c r="K453" s="421">
        <v>2320</v>
      </c>
      <c r="L453" s="421">
        <v>0.62215071064628591</v>
      </c>
      <c r="M453" s="421">
        <v>116</v>
      </c>
      <c r="N453" s="421">
        <v>17</v>
      </c>
      <c r="O453" s="421">
        <v>1989</v>
      </c>
      <c r="P453" s="443">
        <v>0.53338696701528565</v>
      </c>
      <c r="Q453" s="422">
        <v>117</v>
      </c>
    </row>
    <row r="454" spans="1:17" ht="14.4" customHeight="1" x14ac:dyDescent="0.3">
      <c r="A454" s="417" t="s">
        <v>1155</v>
      </c>
      <c r="B454" s="418" t="s">
        <v>986</v>
      </c>
      <c r="C454" s="418" t="s">
        <v>987</v>
      </c>
      <c r="D454" s="418" t="s">
        <v>1042</v>
      </c>
      <c r="E454" s="418" t="s">
        <v>1043</v>
      </c>
      <c r="F454" s="421">
        <v>5</v>
      </c>
      <c r="G454" s="421">
        <v>420</v>
      </c>
      <c r="H454" s="421">
        <v>1</v>
      </c>
      <c r="I454" s="421">
        <v>84</v>
      </c>
      <c r="J454" s="421">
        <v>5</v>
      </c>
      <c r="K454" s="421">
        <v>425</v>
      </c>
      <c r="L454" s="421">
        <v>1.0119047619047619</v>
      </c>
      <c r="M454" s="421">
        <v>85</v>
      </c>
      <c r="N454" s="421"/>
      <c r="O454" s="421"/>
      <c r="P454" s="443"/>
      <c r="Q454" s="422"/>
    </row>
    <row r="455" spans="1:17" ht="14.4" customHeight="1" x14ac:dyDescent="0.3">
      <c r="A455" s="417" t="s">
        <v>1155</v>
      </c>
      <c r="B455" s="418" t="s">
        <v>986</v>
      </c>
      <c r="C455" s="418" t="s">
        <v>987</v>
      </c>
      <c r="D455" s="418" t="s">
        <v>1046</v>
      </c>
      <c r="E455" s="418" t="s">
        <v>1047</v>
      </c>
      <c r="F455" s="421">
        <v>3</v>
      </c>
      <c r="G455" s="421">
        <v>63</v>
      </c>
      <c r="H455" s="421">
        <v>1</v>
      </c>
      <c r="I455" s="421">
        <v>21</v>
      </c>
      <c r="J455" s="421">
        <v>1</v>
      </c>
      <c r="K455" s="421">
        <v>21</v>
      </c>
      <c r="L455" s="421">
        <v>0.33333333333333331</v>
      </c>
      <c r="M455" s="421">
        <v>21</v>
      </c>
      <c r="N455" s="421"/>
      <c r="O455" s="421"/>
      <c r="P455" s="443"/>
      <c r="Q455" s="422"/>
    </row>
    <row r="456" spans="1:17" ht="14.4" customHeight="1" x14ac:dyDescent="0.3">
      <c r="A456" s="417" t="s">
        <v>1155</v>
      </c>
      <c r="B456" s="418" t="s">
        <v>986</v>
      </c>
      <c r="C456" s="418" t="s">
        <v>987</v>
      </c>
      <c r="D456" s="418" t="s">
        <v>1048</v>
      </c>
      <c r="E456" s="418" t="s">
        <v>1049</v>
      </c>
      <c r="F456" s="421">
        <v>7</v>
      </c>
      <c r="G456" s="421">
        <v>3402</v>
      </c>
      <c r="H456" s="421">
        <v>1</v>
      </c>
      <c r="I456" s="421">
        <v>486</v>
      </c>
      <c r="J456" s="421"/>
      <c r="K456" s="421"/>
      <c r="L456" s="421"/>
      <c r="M456" s="421"/>
      <c r="N456" s="421"/>
      <c r="O456" s="421"/>
      <c r="P456" s="443"/>
      <c r="Q456" s="422"/>
    </row>
    <row r="457" spans="1:17" ht="14.4" customHeight="1" x14ac:dyDescent="0.3">
      <c r="A457" s="417" t="s">
        <v>1155</v>
      </c>
      <c r="B457" s="418" t="s">
        <v>986</v>
      </c>
      <c r="C457" s="418" t="s">
        <v>987</v>
      </c>
      <c r="D457" s="418" t="s">
        <v>1056</v>
      </c>
      <c r="E457" s="418" t="s">
        <v>1057</v>
      </c>
      <c r="F457" s="421">
        <v>1</v>
      </c>
      <c r="G457" s="421">
        <v>40</v>
      </c>
      <c r="H457" s="421">
        <v>1</v>
      </c>
      <c r="I457" s="421">
        <v>40</v>
      </c>
      <c r="J457" s="421">
        <v>1</v>
      </c>
      <c r="K457" s="421">
        <v>41</v>
      </c>
      <c r="L457" s="421">
        <v>1.0249999999999999</v>
      </c>
      <c r="M457" s="421">
        <v>41</v>
      </c>
      <c r="N457" s="421">
        <v>1</v>
      </c>
      <c r="O457" s="421">
        <v>41</v>
      </c>
      <c r="P457" s="443">
        <v>1.0249999999999999</v>
      </c>
      <c r="Q457" s="422">
        <v>41</v>
      </c>
    </row>
    <row r="458" spans="1:17" ht="14.4" customHeight="1" x14ac:dyDescent="0.3">
      <c r="A458" s="417" t="s">
        <v>1155</v>
      </c>
      <c r="B458" s="418" t="s">
        <v>986</v>
      </c>
      <c r="C458" s="418" t="s">
        <v>987</v>
      </c>
      <c r="D458" s="418" t="s">
        <v>1090</v>
      </c>
      <c r="E458" s="418" t="s">
        <v>1091</v>
      </c>
      <c r="F458" s="421"/>
      <c r="G458" s="421"/>
      <c r="H458" s="421"/>
      <c r="I458" s="421"/>
      <c r="J458" s="421">
        <v>5</v>
      </c>
      <c r="K458" s="421">
        <v>135</v>
      </c>
      <c r="L458" s="421"/>
      <c r="M458" s="421">
        <v>27</v>
      </c>
      <c r="N458" s="421"/>
      <c r="O458" s="421"/>
      <c r="P458" s="443"/>
      <c r="Q458" s="422"/>
    </row>
    <row r="459" spans="1:17" ht="14.4" customHeight="1" x14ac:dyDescent="0.3">
      <c r="A459" s="417" t="s">
        <v>1156</v>
      </c>
      <c r="B459" s="418" t="s">
        <v>986</v>
      </c>
      <c r="C459" s="418" t="s">
        <v>987</v>
      </c>
      <c r="D459" s="418" t="s">
        <v>988</v>
      </c>
      <c r="E459" s="418" t="s">
        <v>989</v>
      </c>
      <c r="F459" s="421">
        <v>29</v>
      </c>
      <c r="G459" s="421">
        <v>4611</v>
      </c>
      <c r="H459" s="421">
        <v>1</v>
      </c>
      <c r="I459" s="421">
        <v>159</v>
      </c>
      <c r="J459" s="421">
        <v>26</v>
      </c>
      <c r="K459" s="421">
        <v>4186</v>
      </c>
      <c r="L459" s="421">
        <v>0.90782910431576669</v>
      </c>
      <c r="M459" s="421">
        <v>161</v>
      </c>
      <c r="N459" s="421">
        <v>96</v>
      </c>
      <c r="O459" s="421">
        <v>16608</v>
      </c>
      <c r="P459" s="443">
        <v>3.601821730644112</v>
      </c>
      <c r="Q459" s="422">
        <v>173</v>
      </c>
    </row>
    <row r="460" spans="1:17" ht="14.4" customHeight="1" x14ac:dyDescent="0.3">
      <c r="A460" s="417" t="s">
        <v>1156</v>
      </c>
      <c r="B460" s="418" t="s">
        <v>986</v>
      </c>
      <c r="C460" s="418" t="s">
        <v>987</v>
      </c>
      <c r="D460" s="418" t="s">
        <v>1002</v>
      </c>
      <c r="E460" s="418" t="s">
        <v>1003</v>
      </c>
      <c r="F460" s="421"/>
      <c r="G460" s="421"/>
      <c r="H460" s="421"/>
      <c r="I460" s="421"/>
      <c r="J460" s="421"/>
      <c r="K460" s="421"/>
      <c r="L460" s="421"/>
      <c r="M460" s="421"/>
      <c r="N460" s="421">
        <v>5</v>
      </c>
      <c r="O460" s="421">
        <v>5865</v>
      </c>
      <c r="P460" s="443"/>
      <c r="Q460" s="422">
        <v>1173</v>
      </c>
    </row>
    <row r="461" spans="1:17" ht="14.4" customHeight="1" x14ac:dyDescent="0.3">
      <c r="A461" s="417" t="s">
        <v>1156</v>
      </c>
      <c r="B461" s="418" t="s">
        <v>986</v>
      </c>
      <c r="C461" s="418" t="s">
        <v>987</v>
      </c>
      <c r="D461" s="418" t="s">
        <v>1004</v>
      </c>
      <c r="E461" s="418" t="s">
        <v>1005</v>
      </c>
      <c r="F461" s="421">
        <v>56</v>
      </c>
      <c r="G461" s="421">
        <v>2184</v>
      </c>
      <c r="H461" s="421">
        <v>1</v>
      </c>
      <c r="I461" s="421">
        <v>39</v>
      </c>
      <c r="J461" s="421">
        <v>39</v>
      </c>
      <c r="K461" s="421">
        <v>1560</v>
      </c>
      <c r="L461" s="421">
        <v>0.7142857142857143</v>
      </c>
      <c r="M461" s="421">
        <v>40</v>
      </c>
      <c r="N461" s="421">
        <v>76</v>
      </c>
      <c r="O461" s="421">
        <v>3116</v>
      </c>
      <c r="P461" s="443">
        <v>1.4267399267399268</v>
      </c>
      <c r="Q461" s="422">
        <v>41</v>
      </c>
    </row>
    <row r="462" spans="1:17" ht="14.4" customHeight="1" x14ac:dyDescent="0.3">
      <c r="A462" s="417" t="s">
        <v>1156</v>
      </c>
      <c r="B462" s="418" t="s">
        <v>986</v>
      </c>
      <c r="C462" s="418" t="s">
        <v>987</v>
      </c>
      <c r="D462" s="418" t="s">
        <v>1006</v>
      </c>
      <c r="E462" s="418" t="s">
        <v>1007</v>
      </c>
      <c r="F462" s="421"/>
      <c r="G462" s="421"/>
      <c r="H462" s="421"/>
      <c r="I462" s="421"/>
      <c r="J462" s="421"/>
      <c r="K462" s="421"/>
      <c r="L462" s="421"/>
      <c r="M462" s="421"/>
      <c r="N462" s="421">
        <v>7</v>
      </c>
      <c r="O462" s="421">
        <v>2688</v>
      </c>
      <c r="P462" s="443"/>
      <c r="Q462" s="422">
        <v>384</v>
      </c>
    </row>
    <row r="463" spans="1:17" ht="14.4" customHeight="1" x14ac:dyDescent="0.3">
      <c r="A463" s="417" t="s">
        <v>1156</v>
      </c>
      <c r="B463" s="418" t="s">
        <v>986</v>
      </c>
      <c r="C463" s="418" t="s">
        <v>987</v>
      </c>
      <c r="D463" s="418" t="s">
        <v>1012</v>
      </c>
      <c r="E463" s="418" t="s">
        <v>1013</v>
      </c>
      <c r="F463" s="421">
        <v>3</v>
      </c>
      <c r="G463" s="421">
        <v>1332</v>
      </c>
      <c r="H463" s="421">
        <v>1</v>
      </c>
      <c r="I463" s="421">
        <v>444</v>
      </c>
      <c r="J463" s="421"/>
      <c r="K463" s="421"/>
      <c r="L463" s="421"/>
      <c r="M463" s="421"/>
      <c r="N463" s="421"/>
      <c r="O463" s="421"/>
      <c r="P463" s="443"/>
      <c r="Q463" s="422"/>
    </row>
    <row r="464" spans="1:17" ht="14.4" customHeight="1" x14ac:dyDescent="0.3">
      <c r="A464" s="417" t="s">
        <v>1156</v>
      </c>
      <c r="B464" s="418" t="s">
        <v>986</v>
      </c>
      <c r="C464" s="418" t="s">
        <v>987</v>
      </c>
      <c r="D464" s="418" t="s">
        <v>1016</v>
      </c>
      <c r="E464" s="418" t="s">
        <v>1017</v>
      </c>
      <c r="F464" s="421">
        <v>5</v>
      </c>
      <c r="G464" s="421">
        <v>2450</v>
      </c>
      <c r="H464" s="421">
        <v>1</v>
      </c>
      <c r="I464" s="421">
        <v>490</v>
      </c>
      <c r="J464" s="421">
        <v>7</v>
      </c>
      <c r="K464" s="421">
        <v>3437</v>
      </c>
      <c r="L464" s="421">
        <v>1.4028571428571428</v>
      </c>
      <c r="M464" s="421">
        <v>491</v>
      </c>
      <c r="N464" s="421">
        <v>9</v>
      </c>
      <c r="O464" s="421">
        <v>4428</v>
      </c>
      <c r="P464" s="443">
        <v>1.8073469387755101</v>
      </c>
      <c r="Q464" s="422">
        <v>492</v>
      </c>
    </row>
    <row r="465" spans="1:17" ht="14.4" customHeight="1" x14ac:dyDescent="0.3">
      <c r="A465" s="417" t="s">
        <v>1156</v>
      </c>
      <c r="B465" s="418" t="s">
        <v>986</v>
      </c>
      <c r="C465" s="418" t="s">
        <v>987</v>
      </c>
      <c r="D465" s="418" t="s">
        <v>1018</v>
      </c>
      <c r="E465" s="418" t="s">
        <v>1019</v>
      </c>
      <c r="F465" s="421">
        <v>2</v>
      </c>
      <c r="G465" s="421">
        <v>62</v>
      </c>
      <c r="H465" s="421">
        <v>1</v>
      </c>
      <c r="I465" s="421">
        <v>31</v>
      </c>
      <c r="J465" s="421"/>
      <c r="K465" s="421"/>
      <c r="L465" s="421"/>
      <c r="M465" s="421"/>
      <c r="N465" s="421">
        <v>9</v>
      </c>
      <c r="O465" s="421">
        <v>279</v>
      </c>
      <c r="P465" s="443">
        <v>4.5</v>
      </c>
      <c r="Q465" s="422">
        <v>31</v>
      </c>
    </row>
    <row r="466" spans="1:17" ht="14.4" customHeight="1" x14ac:dyDescent="0.3">
      <c r="A466" s="417" t="s">
        <v>1156</v>
      </c>
      <c r="B466" s="418" t="s">
        <v>986</v>
      </c>
      <c r="C466" s="418" t="s">
        <v>987</v>
      </c>
      <c r="D466" s="418" t="s">
        <v>1032</v>
      </c>
      <c r="E466" s="418" t="s">
        <v>1033</v>
      </c>
      <c r="F466" s="421">
        <v>16</v>
      </c>
      <c r="G466" s="421">
        <v>256</v>
      </c>
      <c r="H466" s="421">
        <v>1</v>
      </c>
      <c r="I466" s="421">
        <v>16</v>
      </c>
      <c r="J466" s="421">
        <v>11</v>
      </c>
      <c r="K466" s="421">
        <v>176</v>
      </c>
      <c r="L466" s="421">
        <v>0.6875</v>
      </c>
      <c r="M466" s="421">
        <v>16</v>
      </c>
      <c r="N466" s="421">
        <v>31</v>
      </c>
      <c r="O466" s="421">
        <v>527</v>
      </c>
      <c r="P466" s="443">
        <v>2.05859375</v>
      </c>
      <c r="Q466" s="422">
        <v>17</v>
      </c>
    </row>
    <row r="467" spans="1:17" ht="14.4" customHeight="1" x14ac:dyDescent="0.3">
      <c r="A467" s="417" t="s">
        <v>1156</v>
      </c>
      <c r="B467" s="418" t="s">
        <v>986</v>
      </c>
      <c r="C467" s="418" t="s">
        <v>987</v>
      </c>
      <c r="D467" s="418" t="s">
        <v>1034</v>
      </c>
      <c r="E467" s="418" t="s">
        <v>1035</v>
      </c>
      <c r="F467" s="421">
        <v>2</v>
      </c>
      <c r="G467" s="421">
        <v>266</v>
      </c>
      <c r="H467" s="421">
        <v>1</v>
      </c>
      <c r="I467" s="421">
        <v>133</v>
      </c>
      <c r="J467" s="421"/>
      <c r="K467" s="421"/>
      <c r="L467" s="421"/>
      <c r="M467" s="421"/>
      <c r="N467" s="421"/>
      <c r="O467" s="421"/>
      <c r="P467" s="443"/>
      <c r="Q467" s="422"/>
    </row>
    <row r="468" spans="1:17" ht="14.4" customHeight="1" x14ac:dyDescent="0.3">
      <c r="A468" s="417" t="s">
        <v>1156</v>
      </c>
      <c r="B468" s="418" t="s">
        <v>986</v>
      </c>
      <c r="C468" s="418" t="s">
        <v>987</v>
      </c>
      <c r="D468" s="418" t="s">
        <v>1036</v>
      </c>
      <c r="E468" s="418" t="s">
        <v>1037</v>
      </c>
      <c r="F468" s="421">
        <v>7</v>
      </c>
      <c r="G468" s="421">
        <v>714</v>
      </c>
      <c r="H468" s="421">
        <v>1</v>
      </c>
      <c r="I468" s="421">
        <v>102</v>
      </c>
      <c r="J468" s="421">
        <v>5</v>
      </c>
      <c r="K468" s="421">
        <v>515</v>
      </c>
      <c r="L468" s="421">
        <v>0.72128851540616246</v>
      </c>
      <c r="M468" s="421">
        <v>103</v>
      </c>
      <c r="N468" s="421">
        <v>3</v>
      </c>
      <c r="O468" s="421">
        <v>309</v>
      </c>
      <c r="P468" s="443">
        <v>0.4327731092436975</v>
      </c>
      <c r="Q468" s="422">
        <v>103</v>
      </c>
    </row>
    <row r="469" spans="1:17" ht="14.4" customHeight="1" x14ac:dyDescent="0.3">
      <c r="A469" s="417" t="s">
        <v>1156</v>
      </c>
      <c r="B469" s="418" t="s">
        <v>986</v>
      </c>
      <c r="C469" s="418" t="s">
        <v>987</v>
      </c>
      <c r="D469" s="418" t="s">
        <v>1040</v>
      </c>
      <c r="E469" s="418" t="s">
        <v>1041</v>
      </c>
      <c r="F469" s="421">
        <v>109</v>
      </c>
      <c r="G469" s="421">
        <v>12317</v>
      </c>
      <c r="H469" s="421">
        <v>1</v>
      </c>
      <c r="I469" s="421">
        <v>113</v>
      </c>
      <c r="J469" s="421">
        <v>101</v>
      </c>
      <c r="K469" s="421">
        <v>11716</v>
      </c>
      <c r="L469" s="421">
        <v>0.95120565072663799</v>
      </c>
      <c r="M469" s="421">
        <v>116</v>
      </c>
      <c r="N469" s="421">
        <v>159</v>
      </c>
      <c r="O469" s="421">
        <v>18603</v>
      </c>
      <c r="P469" s="443">
        <v>1.5103515466428514</v>
      </c>
      <c r="Q469" s="422">
        <v>117</v>
      </c>
    </row>
    <row r="470" spans="1:17" ht="14.4" customHeight="1" x14ac:dyDescent="0.3">
      <c r="A470" s="417" t="s">
        <v>1156</v>
      </c>
      <c r="B470" s="418" t="s">
        <v>986</v>
      </c>
      <c r="C470" s="418" t="s">
        <v>987</v>
      </c>
      <c r="D470" s="418" t="s">
        <v>1042</v>
      </c>
      <c r="E470" s="418" t="s">
        <v>1043</v>
      </c>
      <c r="F470" s="421">
        <v>11</v>
      </c>
      <c r="G470" s="421">
        <v>924</v>
      </c>
      <c r="H470" s="421">
        <v>1</v>
      </c>
      <c r="I470" s="421">
        <v>84</v>
      </c>
      <c r="J470" s="421">
        <v>9</v>
      </c>
      <c r="K470" s="421">
        <v>765</v>
      </c>
      <c r="L470" s="421">
        <v>0.82792207792207795</v>
      </c>
      <c r="M470" s="421">
        <v>85</v>
      </c>
      <c r="N470" s="421">
        <v>30</v>
      </c>
      <c r="O470" s="421">
        <v>2730</v>
      </c>
      <c r="P470" s="443">
        <v>2.9545454545454546</v>
      </c>
      <c r="Q470" s="422">
        <v>91</v>
      </c>
    </row>
    <row r="471" spans="1:17" ht="14.4" customHeight="1" x14ac:dyDescent="0.3">
      <c r="A471" s="417" t="s">
        <v>1156</v>
      </c>
      <c r="B471" s="418" t="s">
        <v>986</v>
      </c>
      <c r="C471" s="418" t="s">
        <v>987</v>
      </c>
      <c r="D471" s="418" t="s">
        <v>1046</v>
      </c>
      <c r="E471" s="418" t="s">
        <v>1047</v>
      </c>
      <c r="F471" s="421">
        <v>1</v>
      </c>
      <c r="G471" s="421">
        <v>21</v>
      </c>
      <c r="H471" s="421">
        <v>1</v>
      </c>
      <c r="I471" s="421">
        <v>21</v>
      </c>
      <c r="J471" s="421">
        <v>3</v>
      </c>
      <c r="K471" s="421">
        <v>63</v>
      </c>
      <c r="L471" s="421">
        <v>3</v>
      </c>
      <c r="M471" s="421">
        <v>21</v>
      </c>
      <c r="N471" s="421">
        <v>8</v>
      </c>
      <c r="O471" s="421">
        <v>168</v>
      </c>
      <c r="P471" s="443">
        <v>8</v>
      </c>
      <c r="Q471" s="422">
        <v>21</v>
      </c>
    </row>
    <row r="472" spans="1:17" ht="14.4" customHeight="1" x14ac:dyDescent="0.3">
      <c r="A472" s="417" t="s">
        <v>1156</v>
      </c>
      <c r="B472" s="418" t="s">
        <v>986</v>
      </c>
      <c r="C472" s="418" t="s">
        <v>987</v>
      </c>
      <c r="D472" s="418" t="s">
        <v>1048</v>
      </c>
      <c r="E472" s="418" t="s">
        <v>1049</v>
      </c>
      <c r="F472" s="421">
        <v>35</v>
      </c>
      <c r="G472" s="421">
        <v>17010</v>
      </c>
      <c r="H472" s="421">
        <v>1</v>
      </c>
      <c r="I472" s="421">
        <v>486</v>
      </c>
      <c r="J472" s="421">
        <v>28</v>
      </c>
      <c r="K472" s="421">
        <v>13636</v>
      </c>
      <c r="L472" s="421">
        <v>0.80164609053497937</v>
      </c>
      <c r="M472" s="421">
        <v>487</v>
      </c>
      <c r="N472" s="421">
        <v>58</v>
      </c>
      <c r="O472" s="421">
        <v>28304</v>
      </c>
      <c r="P472" s="443">
        <v>1.6639623750734862</v>
      </c>
      <c r="Q472" s="422">
        <v>488</v>
      </c>
    </row>
    <row r="473" spans="1:17" ht="14.4" customHeight="1" x14ac:dyDescent="0.3">
      <c r="A473" s="417" t="s">
        <v>1156</v>
      </c>
      <c r="B473" s="418" t="s">
        <v>986</v>
      </c>
      <c r="C473" s="418" t="s">
        <v>987</v>
      </c>
      <c r="D473" s="418" t="s">
        <v>1056</v>
      </c>
      <c r="E473" s="418" t="s">
        <v>1057</v>
      </c>
      <c r="F473" s="421">
        <v>4</v>
      </c>
      <c r="G473" s="421">
        <v>160</v>
      </c>
      <c r="H473" s="421">
        <v>1</v>
      </c>
      <c r="I473" s="421">
        <v>40</v>
      </c>
      <c r="J473" s="421">
        <v>2</v>
      </c>
      <c r="K473" s="421">
        <v>82</v>
      </c>
      <c r="L473" s="421">
        <v>0.51249999999999996</v>
      </c>
      <c r="M473" s="421">
        <v>41</v>
      </c>
      <c r="N473" s="421">
        <v>15</v>
      </c>
      <c r="O473" s="421">
        <v>615</v>
      </c>
      <c r="P473" s="443">
        <v>3.84375</v>
      </c>
      <c r="Q473" s="422">
        <v>41</v>
      </c>
    </row>
    <row r="474" spans="1:17" ht="14.4" customHeight="1" x14ac:dyDescent="0.3">
      <c r="A474" s="417" t="s">
        <v>1156</v>
      </c>
      <c r="B474" s="418" t="s">
        <v>986</v>
      </c>
      <c r="C474" s="418" t="s">
        <v>987</v>
      </c>
      <c r="D474" s="418" t="s">
        <v>1070</v>
      </c>
      <c r="E474" s="418" t="s">
        <v>1071</v>
      </c>
      <c r="F474" s="421">
        <v>18</v>
      </c>
      <c r="G474" s="421">
        <v>10872</v>
      </c>
      <c r="H474" s="421">
        <v>1</v>
      </c>
      <c r="I474" s="421">
        <v>604</v>
      </c>
      <c r="J474" s="421">
        <v>8</v>
      </c>
      <c r="K474" s="421">
        <v>4864</v>
      </c>
      <c r="L474" s="421">
        <v>0.44738778513612953</v>
      </c>
      <c r="M474" s="421">
        <v>608</v>
      </c>
      <c r="N474" s="421">
        <v>9</v>
      </c>
      <c r="O474" s="421">
        <v>5526</v>
      </c>
      <c r="P474" s="443">
        <v>0.50827814569536423</v>
      </c>
      <c r="Q474" s="422">
        <v>614</v>
      </c>
    </row>
    <row r="475" spans="1:17" ht="14.4" customHeight="1" x14ac:dyDescent="0.3">
      <c r="A475" s="417" t="s">
        <v>1156</v>
      </c>
      <c r="B475" s="418" t="s">
        <v>986</v>
      </c>
      <c r="C475" s="418" t="s">
        <v>987</v>
      </c>
      <c r="D475" s="418" t="s">
        <v>1074</v>
      </c>
      <c r="E475" s="418" t="s">
        <v>1075</v>
      </c>
      <c r="F475" s="421">
        <v>2</v>
      </c>
      <c r="G475" s="421">
        <v>1012</v>
      </c>
      <c r="H475" s="421">
        <v>1</v>
      </c>
      <c r="I475" s="421">
        <v>506</v>
      </c>
      <c r="J475" s="421"/>
      <c r="K475" s="421"/>
      <c r="L475" s="421"/>
      <c r="M475" s="421"/>
      <c r="N475" s="421"/>
      <c r="O475" s="421"/>
      <c r="P475" s="443"/>
      <c r="Q475" s="422"/>
    </row>
    <row r="476" spans="1:17" ht="14.4" customHeight="1" x14ac:dyDescent="0.3">
      <c r="A476" s="417" t="s">
        <v>1156</v>
      </c>
      <c r="B476" s="418" t="s">
        <v>986</v>
      </c>
      <c r="C476" s="418" t="s">
        <v>987</v>
      </c>
      <c r="D476" s="418" t="s">
        <v>1088</v>
      </c>
      <c r="E476" s="418" t="s">
        <v>1089</v>
      </c>
      <c r="F476" s="421">
        <v>4</v>
      </c>
      <c r="G476" s="421">
        <v>608</v>
      </c>
      <c r="H476" s="421">
        <v>1</v>
      </c>
      <c r="I476" s="421">
        <v>152</v>
      </c>
      <c r="J476" s="421"/>
      <c r="K476" s="421"/>
      <c r="L476" s="421"/>
      <c r="M476" s="421"/>
      <c r="N476" s="421"/>
      <c r="O476" s="421"/>
      <c r="P476" s="443"/>
      <c r="Q476" s="422"/>
    </row>
    <row r="477" spans="1:17" ht="14.4" customHeight="1" x14ac:dyDescent="0.3">
      <c r="A477" s="417" t="s">
        <v>1157</v>
      </c>
      <c r="B477" s="418" t="s">
        <v>986</v>
      </c>
      <c r="C477" s="418" t="s">
        <v>987</v>
      </c>
      <c r="D477" s="418" t="s">
        <v>988</v>
      </c>
      <c r="E477" s="418" t="s">
        <v>989</v>
      </c>
      <c r="F477" s="421">
        <v>191</v>
      </c>
      <c r="G477" s="421">
        <v>30369</v>
      </c>
      <c r="H477" s="421">
        <v>1</v>
      </c>
      <c r="I477" s="421">
        <v>159</v>
      </c>
      <c r="J477" s="421">
        <v>221</v>
      </c>
      <c r="K477" s="421">
        <v>35581</v>
      </c>
      <c r="L477" s="421">
        <v>1.1716223780829136</v>
      </c>
      <c r="M477" s="421">
        <v>161</v>
      </c>
      <c r="N477" s="421">
        <v>191</v>
      </c>
      <c r="O477" s="421">
        <v>33043</v>
      </c>
      <c r="P477" s="443">
        <v>1.0880503144654088</v>
      </c>
      <c r="Q477" s="422">
        <v>173</v>
      </c>
    </row>
    <row r="478" spans="1:17" ht="14.4" customHeight="1" x14ac:dyDescent="0.3">
      <c r="A478" s="417" t="s">
        <v>1157</v>
      </c>
      <c r="B478" s="418" t="s">
        <v>986</v>
      </c>
      <c r="C478" s="418" t="s">
        <v>987</v>
      </c>
      <c r="D478" s="418" t="s">
        <v>1004</v>
      </c>
      <c r="E478" s="418" t="s">
        <v>1005</v>
      </c>
      <c r="F478" s="421">
        <v>22</v>
      </c>
      <c r="G478" s="421">
        <v>858</v>
      </c>
      <c r="H478" s="421">
        <v>1</v>
      </c>
      <c r="I478" s="421">
        <v>39</v>
      </c>
      <c r="J478" s="421">
        <v>15</v>
      </c>
      <c r="K478" s="421">
        <v>600</v>
      </c>
      <c r="L478" s="421">
        <v>0.69930069930069927</v>
      </c>
      <c r="M478" s="421">
        <v>40</v>
      </c>
      <c r="N478" s="421">
        <v>8</v>
      </c>
      <c r="O478" s="421">
        <v>328</v>
      </c>
      <c r="P478" s="443">
        <v>0.38228438228438227</v>
      </c>
      <c r="Q478" s="422">
        <v>41</v>
      </c>
    </row>
    <row r="479" spans="1:17" ht="14.4" customHeight="1" x14ac:dyDescent="0.3">
      <c r="A479" s="417" t="s">
        <v>1157</v>
      </c>
      <c r="B479" s="418" t="s">
        <v>986</v>
      </c>
      <c r="C479" s="418" t="s">
        <v>987</v>
      </c>
      <c r="D479" s="418" t="s">
        <v>1006</v>
      </c>
      <c r="E479" s="418" t="s">
        <v>1007</v>
      </c>
      <c r="F479" s="421">
        <v>3</v>
      </c>
      <c r="G479" s="421">
        <v>1146</v>
      </c>
      <c r="H479" s="421">
        <v>1</v>
      </c>
      <c r="I479" s="421">
        <v>382</v>
      </c>
      <c r="J479" s="421"/>
      <c r="K479" s="421"/>
      <c r="L479" s="421"/>
      <c r="M479" s="421"/>
      <c r="N479" s="421"/>
      <c r="O479" s="421"/>
      <c r="P479" s="443"/>
      <c r="Q479" s="422"/>
    </row>
    <row r="480" spans="1:17" ht="14.4" customHeight="1" x14ac:dyDescent="0.3">
      <c r="A480" s="417" t="s">
        <v>1157</v>
      </c>
      <c r="B480" s="418" t="s">
        <v>986</v>
      </c>
      <c r="C480" s="418" t="s">
        <v>987</v>
      </c>
      <c r="D480" s="418" t="s">
        <v>1014</v>
      </c>
      <c r="E480" s="418" t="s">
        <v>1015</v>
      </c>
      <c r="F480" s="421">
        <v>1</v>
      </c>
      <c r="G480" s="421">
        <v>41</v>
      </c>
      <c r="H480" s="421">
        <v>1</v>
      </c>
      <c r="I480" s="421">
        <v>41</v>
      </c>
      <c r="J480" s="421"/>
      <c r="K480" s="421"/>
      <c r="L480" s="421"/>
      <c r="M480" s="421"/>
      <c r="N480" s="421"/>
      <c r="O480" s="421"/>
      <c r="P480" s="443"/>
      <c r="Q480" s="422"/>
    </row>
    <row r="481" spans="1:17" ht="14.4" customHeight="1" x14ac:dyDescent="0.3">
      <c r="A481" s="417" t="s">
        <v>1157</v>
      </c>
      <c r="B481" s="418" t="s">
        <v>986</v>
      </c>
      <c r="C481" s="418" t="s">
        <v>987</v>
      </c>
      <c r="D481" s="418" t="s">
        <v>1016</v>
      </c>
      <c r="E481" s="418" t="s">
        <v>1017</v>
      </c>
      <c r="F481" s="421">
        <v>2</v>
      </c>
      <c r="G481" s="421">
        <v>980</v>
      </c>
      <c r="H481" s="421">
        <v>1</v>
      </c>
      <c r="I481" s="421">
        <v>490</v>
      </c>
      <c r="J481" s="421"/>
      <c r="K481" s="421"/>
      <c r="L481" s="421"/>
      <c r="M481" s="421"/>
      <c r="N481" s="421"/>
      <c r="O481" s="421"/>
      <c r="P481" s="443"/>
      <c r="Q481" s="422"/>
    </row>
    <row r="482" spans="1:17" ht="14.4" customHeight="1" x14ac:dyDescent="0.3">
      <c r="A482" s="417" t="s">
        <v>1157</v>
      </c>
      <c r="B482" s="418" t="s">
        <v>986</v>
      </c>
      <c r="C482" s="418" t="s">
        <v>987</v>
      </c>
      <c r="D482" s="418" t="s">
        <v>1018</v>
      </c>
      <c r="E482" s="418" t="s">
        <v>1019</v>
      </c>
      <c r="F482" s="421">
        <v>3</v>
      </c>
      <c r="G482" s="421">
        <v>93</v>
      </c>
      <c r="H482" s="421">
        <v>1</v>
      </c>
      <c r="I482" s="421">
        <v>31</v>
      </c>
      <c r="J482" s="421">
        <v>5</v>
      </c>
      <c r="K482" s="421">
        <v>155</v>
      </c>
      <c r="L482" s="421">
        <v>1.6666666666666667</v>
      </c>
      <c r="M482" s="421">
        <v>31</v>
      </c>
      <c r="N482" s="421"/>
      <c r="O482" s="421"/>
      <c r="P482" s="443"/>
      <c r="Q482" s="422"/>
    </row>
    <row r="483" spans="1:17" ht="14.4" customHeight="1" x14ac:dyDescent="0.3">
      <c r="A483" s="417" t="s">
        <v>1157</v>
      </c>
      <c r="B483" s="418" t="s">
        <v>986</v>
      </c>
      <c r="C483" s="418" t="s">
        <v>987</v>
      </c>
      <c r="D483" s="418" t="s">
        <v>1020</v>
      </c>
      <c r="E483" s="418" t="s">
        <v>1021</v>
      </c>
      <c r="F483" s="421"/>
      <c r="G483" s="421"/>
      <c r="H483" s="421"/>
      <c r="I483" s="421"/>
      <c r="J483" s="421">
        <v>2</v>
      </c>
      <c r="K483" s="421">
        <v>414</v>
      </c>
      <c r="L483" s="421"/>
      <c r="M483" s="421">
        <v>207</v>
      </c>
      <c r="N483" s="421"/>
      <c r="O483" s="421"/>
      <c r="P483" s="443"/>
      <c r="Q483" s="422"/>
    </row>
    <row r="484" spans="1:17" ht="14.4" customHeight="1" x14ac:dyDescent="0.3">
      <c r="A484" s="417" t="s">
        <v>1157</v>
      </c>
      <c r="B484" s="418" t="s">
        <v>986</v>
      </c>
      <c r="C484" s="418" t="s">
        <v>987</v>
      </c>
      <c r="D484" s="418" t="s">
        <v>1022</v>
      </c>
      <c r="E484" s="418" t="s">
        <v>1023</v>
      </c>
      <c r="F484" s="421"/>
      <c r="G484" s="421"/>
      <c r="H484" s="421"/>
      <c r="I484" s="421"/>
      <c r="J484" s="421">
        <v>2</v>
      </c>
      <c r="K484" s="421">
        <v>760</v>
      </c>
      <c r="L484" s="421"/>
      <c r="M484" s="421">
        <v>380</v>
      </c>
      <c r="N484" s="421"/>
      <c r="O484" s="421"/>
      <c r="P484" s="443"/>
      <c r="Q484" s="422"/>
    </row>
    <row r="485" spans="1:17" ht="14.4" customHeight="1" x14ac:dyDescent="0.3">
      <c r="A485" s="417" t="s">
        <v>1157</v>
      </c>
      <c r="B485" s="418" t="s">
        <v>986</v>
      </c>
      <c r="C485" s="418" t="s">
        <v>987</v>
      </c>
      <c r="D485" s="418" t="s">
        <v>1032</v>
      </c>
      <c r="E485" s="418" t="s">
        <v>1033</v>
      </c>
      <c r="F485" s="421">
        <v>10</v>
      </c>
      <c r="G485" s="421">
        <v>160</v>
      </c>
      <c r="H485" s="421">
        <v>1</v>
      </c>
      <c r="I485" s="421">
        <v>16</v>
      </c>
      <c r="J485" s="421">
        <v>1</v>
      </c>
      <c r="K485" s="421">
        <v>16</v>
      </c>
      <c r="L485" s="421">
        <v>0.1</v>
      </c>
      <c r="M485" s="421">
        <v>16</v>
      </c>
      <c r="N485" s="421"/>
      <c r="O485" s="421"/>
      <c r="P485" s="443"/>
      <c r="Q485" s="422"/>
    </row>
    <row r="486" spans="1:17" ht="14.4" customHeight="1" x14ac:dyDescent="0.3">
      <c r="A486" s="417" t="s">
        <v>1157</v>
      </c>
      <c r="B486" s="418" t="s">
        <v>986</v>
      </c>
      <c r="C486" s="418" t="s">
        <v>987</v>
      </c>
      <c r="D486" s="418" t="s">
        <v>1034</v>
      </c>
      <c r="E486" s="418" t="s">
        <v>1035</v>
      </c>
      <c r="F486" s="421"/>
      <c r="G486" s="421"/>
      <c r="H486" s="421"/>
      <c r="I486" s="421"/>
      <c r="J486" s="421">
        <v>2</v>
      </c>
      <c r="K486" s="421">
        <v>272</v>
      </c>
      <c r="L486" s="421"/>
      <c r="M486" s="421">
        <v>136</v>
      </c>
      <c r="N486" s="421">
        <v>1</v>
      </c>
      <c r="O486" s="421">
        <v>139</v>
      </c>
      <c r="P486" s="443"/>
      <c r="Q486" s="422">
        <v>139</v>
      </c>
    </row>
    <row r="487" spans="1:17" ht="14.4" customHeight="1" x14ac:dyDescent="0.3">
      <c r="A487" s="417" t="s">
        <v>1157</v>
      </c>
      <c r="B487" s="418" t="s">
        <v>986</v>
      </c>
      <c r="C487" s="418" t="s">
        <v>987</v>
      </c>
      <c r="D487" s="418" t="s">
        <v>1036</v>
      </c>
      <c r="E487" s="418" t="s">
        <v>1037</v>
      </c>
      <c r="F487" s="421">
        <v>2</v>
      </c>
      <c r="G487" s="421">
        <v>204</v>
      </c>
      <c r="H487" s="421">
        <v>1</v>
      </c>
      <c r="I487" s="421">
        <v>102</v>
      </c>
      <c r="J487" s="421"/>
      <c r="K487" s="421"/>
      <c r="L487" s="421"/>
      <c r="M487" s="421"/>
      <c r="N487" s="421"/>
      <c r="O487" s="421"/>
      <c r="P487" s="443"/>
      <c r="Q487" s="422"/>
    </row>
    <row r="488" spans="1:17" ht="14.4" customHeight="1" x14ac:dyDescent="0.3">
      <c r="A488" s="417" t="s">
        <v>1157</v>
      </c>
      <c r="B488" s="418" t="s">
        <v>986</v>
      </c>
      <c r="C488" s="418" t="s">
        <v>987</v>
      </c>
      <c r="D488" s="418" t="s">
        <v>1040</v>
      </c>
      <c r="E488" s="418" t="s">
        <v>1041</v>
      </c>
      <c r="F488" s="421">
        <v>70</v>
      </c>
      <c r="G488" s="421">
        <v>7910</v>
      </c>
      <c r="H488" s="421">
        <v>1</v>
      </c>
      <c r="I488" s="421">
        <v>113</v>
      </c>
      <c r="J488" s="421">
        <v>91</v>
      </c>
      <c r="K488" s="421">
        <v>10556</v>
      </c>
      <c r="L488" s="421">
        <v>1.3345132743362831</v>
      </c>
      <c r="M488" s="421">
        <v>116</v>
      </c>
      <c r="N488" s="421">
        <v>35</v>
      </c>
      <c r="O488" s="421">
        <v>4095</v>
      </c>
      <c r="P488" s="443">
        <v>0.51769911504424782</v>
      </c>
      <c r="Q488" s="422">
        <v>117</v>
      </c>
    </row>
    <row r="489" spans="1:17" ht="14.4" customHeight="1" x14ac:dyDescent="0.3">
      <c r="A489" s="417" t="s">
        <v>1157</v>
      </c>
      <c r="B489" s="418" t="s">
        <v>986</v>
      </c>
      <c r="C489" s="418" t="s">
        <v>987</v>
      </c>
      <c r="D489" s="418" t="s">
        <v>1042</v>
      </c>
      <c r="E489" s="418" t="s">
        <v>1043</v>
      </c>
      <c r="F489" s="421">
        <v>28</v>
      </c>
      <c r="G489" s="421">
        <v>2352</v>
      </c>
      <c r="H489" s="421">
        <v>1</v>
      </c>
      <c r="I489" s="421">
        <v>84</v>
      </c>
      <c r="J489" s="421">
        <v>34</v>
      </c>
      <c r="K489" s="421">
        <v>2890</v>
      </c>
      <c r="L489" s="421">
        <v>1.2287414965986394</v>
      </c>
      <c r="M489" s="421">
        <v>85</v>
      </c>
      <c r="N489" s="421">
        <v>10</v>
      </c>
      <c r="O489" s="421">
        <v>910</v>
      </c>
      <c r="P489" s="443">
        <v>0.38690476190476192</v>
      </c>
      <c r="Q489" s="422">
        <v>91</v>
      </c>
    </row>
    <row r="490" spans="1:17" ht="14.4" customHeight="1" x14ac:dyDescent="0.3">
      <c r="A490" s="417" t="s">
        <v>1157</v>
      </c>
      <c r="B490" s="418" t="s">
        <v>986</v>
      </c>
      <c r="C490" s="418" t="s">
        <v>987</v>
      </c>
      <c r="D490" s="418" t="s">
        <v>1046</v>
      </c>
      <c r="E490" s="418" t="s">
        <v>1047</v>
      </c>
      <c r="F490" s="421">
        <v>3</v>
      </c>
      <c r="G490" s="421">
        <v>63</v>
      </c>
      <c r="H490" s="421">
        <v>1</v>
      </c>
      <c r="I490" s="421">
        <v>21</v>
      </c>
      <c r="J490" s="421">
        <v>6</v>
      </c>
      <c r="K490" s="421">
        <v>126</v>
      </c>
      <c r="L490" s="421">
        <v>2</v>
      </c>
      <c r="M490" s="421">
        <v>21</v>
      </c>
      <c r="N490" s="421">
        <v>2</v>
      </c>
      <c r="O490" s="421">
        <v>42</v>
      </c>
      <c r="P490" s="443">
        <v>0.66666666666666663</v>
      </c>
      <c r="Q490" s="422">
        <v>21</v>
      </c>
    </row>
    <row r="491" spans="1:17" ht="14.4" customHeight="1" x14ac:dyDescent="0.3">
      <c r="A491" s="417" t="s">
        <v>1157</v>
      </c>
      <c r="B491" s="418" t="s">
        <v>986</v>
      </c>
      <c r="C491" s="418" t="s">
        <v>987</v>
      </c>
      <c r="D491" s="418" t="s">
        <v>1048</v>
      </c>
      <c r="E491" s="418" t="s">
        <v>1049</v>
      </c>
      <c r="F491" s="421">
        <v>5</v>
      </c>
      <c r="G491" s="421">
        <v>2430</v>
      </c>
      <c r="H491" s="421">
        <v>1</v>
      </c>
      <c r="I491" s="421">
        <v>486</v>
      </c>
      <c r="J491" s="421"/>
      <c r="K491" s="421"/>
      <c r="L491" s="421"/>
      <c r="M491" s="421"/>
      <c r="N491" s="421"/>
      <c r="O491" s="421"/>
      <c r="P491" s="443"/>
      <c r="Q491" s="422"/>
    </row>
    <row r="492" spans="1:17" ht="14.4" customHeight="1" x14ac:dyDescent="0.3">
      <c r="A492" s="417" t="s">
        <v>1157</v>
      </c>
      <c r="B492" s="418" t="s">
        <v>986</v>
      </c>
      <c r="C492" s="418" t="s">
        <v>987</v>
      </c>
      <c r="D492" s="418" t="s">
        <v>1056</v>
      </c>
      <c r="E492" s="418" t="s">
        <v>1057</v>
      </c>
      <c r="F492" s="421">
        <v>19</v>
      </c>
      <c r="G492" s="421">
        <v>760</v>
      </c>
      <c r="H492" s="421">
        <v>1</v>
      </c>
      <c r="I492" s="421">
        <v>40</v>
      </c>
      <c r="J492" s="421">
        <v>10</v>
      </c>
      <c r="K492" s="421">
        <v>410</v>
      </c>
      <c r="L492" s="421">
        <v>0.53947368421052633</v>
      </c>
      <c r="M492" s="421">
        <v>41</v>
      </c>
      <c r="N492" s="421">
        <v>5</v>
      </c>
      <c r="O492" s="421">
        <v>205</v>
      </c>
      <c r="P492" s="443">
        <v>0.26973684210526316</v>
      </c>
      <c r="Q492" s="422">
        <v>41</v>
      </c>
    </row>
    <row r="493" spans="1:17" ht="14.4" customHeight="1" x14ac:dyDescent="0.3">
      <c r="A493" s="417" t="s">
        <v>1157</v>
      </c>
      <c r="B493" s="418" t="s">
        <v>986</v>
      </c>
      <c r="C493" s="418" t="s">
        <v>987</v>
      </c>
      <c r="D493" s="418" t="s">
        <v>1064</v>
      </c>
      <c r="E493" s="418" t="s">
        <v>1065</v>
      </c>
      <c r="F493" s="421"/>
      <c r="G493" s="421"/>
      <c r="H493" s="421"/>
      <c r="I493" s="421"/>
      <c r="J493" s="421">
        <v>1</v>
      </c>
      <c r="K493" s="421">
        <v>219</v>
      </c>
      <c r="L493" s="421"/>
      <c r="M493" s="421">
        <v>219</v>
      </c>
      <c r="N493" s="421"/>
      <c r="O493" s="421"/>
      <c r="P493" s="443"/>
      <c r="Q493" s="422"/>
    </row>
    <row r="494" spans="1:17" ht="14.4" customHeight="1" x14ac:dyDescent="0.3">
      <c r="A494" s="417" t="s">
        <v>1157</v>
      </c>
      <c r="B494" s="418" t="s">
        <v>986</v>
      </c>
      <c r="C494" s="418" t="s">
        <v>987</v>
      </c>
      <c r="D494" s="418" t="s">
        <v>1074</v>
      </c>
      <c r="E494" s="418" t="s">
        <v>1075</v>
      </c>
      <c r="F494" s="421">
        <v>2</v>
      </c>
      <c r="G494" s="421">
        <v>1012</v>
      </c>
      <c r="H494" s="421">
        <v>1</v>
      </c>
      <c r="I494" s="421">
        <v>506</v>
      </c>
      <c r="J494" s="421"/>
      <c r="K494" s="421"/>
      <c r="L494" s="421"/>
      <c r="M494" s="421"/>
      <c r="N494" s="421"/>
      <c r="O494" s="421"/>
      <c r="P494" s="443"/>
      <c r="Q494" s="422"/>
    </row>
    <row r="495" spans="1:17" ht="14.4" customHeight="1" x14ac:dyDescent="0.3">
      <c r="A495" s="417" t="s">
        <v>1158</v>
      </c>
      <c r="B495" s="418" t="s">
        <v>986</v>
      </c>
      <c r="C495" s="418" t="s">
        <v>987</v>
      </c>
      <c r="D495" s="418" t="s">
        <v>988</v>
      </c>
      <c r="E495" s="418" t="s">
        <v>989</v>
      </c>
      <c r="F495" s="421">
        <v>170</v>
      </c>
      <c r="G495" s="421">
        <v>27030</v>
      </c>
      <c r="H495" s="421">
        <v>1</v>
      </c>
      <c r="I495" s="421">
        <v>159</v>
      </c>
      <c r="J495" s="421">
        <v>278</v>
      </c>
      <c r="K495" s="421">
        <v>44758</v>
      </c>
      <c r="L495" s="421">
        <v>1.6558638549759526</v>
      </c>
      <c r="M495" s="421">
        <v>161</v>
      </c>
      <c r="N495" s="421">
        <v>236</v>
      </c>
      <c r="O495" s="421">
        <v>40828</v>
      </c>
      <c r="P495" s="443">
        <v>1.5104698483166852</v>
      </c>
      <c r="Q495" s="422">
        <v>173</v>
      </c>
    </row>
    <row r="496" spans="1:17" ht="14.4" customHeight="1" x14ac:dyDescent="0.3">
      <c r="A496" s="417" t="s">
        <v>1158</v>
      </c>
      <c r="B496" s="418" t="s">
        <v>986</v>
      </c>
      <c r="C496" s="418" t="s">
        <v>987</v>
      </c>
      <c r="D496" s="418" t="s">
        <v>1002</v>
      </c>
      <c r="E496" s="418" t="s">
        <v>1003</v>
      </c>
      <c r="F496" s="421">
        <v>20</v>
      </c>
      <c r="G496" s="421">
        <v>23300</v>
      </c>
      <c r="H496" s="421">
        <v>1</v>
      </c>
      <c r="I496" s="421">
        <v>1165</v>
      </c>
      <c r="J496" s="421">
        <v>5</v>
      </c>
      <c r="K496" s="421">
        <v>5845</v>
      </c>
      <c r="L496" s="421">
        <v>0.25085836909871245</v>
      </c>
      <c r="M496" s="421">
        <v>1169</v>
      </c>
      <c r="N496" s="421">
        <v>45</v>
      </c>
      <c r="O496" s="421">
        <v>52785</v>
      </c>
      <c r="P496" s="443">
        <v>2.2654506437768238</v>
      </c>
      <c r="Q496" s="422">
        <v>1173</v>
      </c>
    </row>
    <row r="497" spans="1:17" ht="14.4" customHeight="1" x14ac:dyDescent="0.3">
      <c r="A497" s="417" t="s">
        <v>1158</v>
      </c>
      <c r="B497" s="418" t="s">
        <v>986</v>
      </c>
      <c r="C497" s="418" t="s">
        <v>987</v>
      </c>
      <c r="D497" s="418" t="s">
        <v>1004</v>
      </c>
      <c r="E497" s="418" t="s">
        <v>1005</v>
      </c>
      <c r="F497" s="421">
        <v>857</v>
      </c>
      <c r="G497" s="421">
        <v>33423</v>
      </c>
      <c r="H497" s="421">
        <v>1</v>
      </c>
      <c r="I497" s="421">
        <v>39</v>
      </c>
      <c r="J497" s="421">
        <v>970</v>
      </c>
      <c r="K497" s="421">
        <v>38800</v>
      </c>
      <c r="L497" s="421">
        <v>1.1608772402237979</v>
      </c>
      <c r="M497" s="421">
        <v>40</v>
      </c>
      <c r="N497" s="421">
        <v>852</v>
      </c>
      <c r="O497" s="421">
        <v>34932</v>
      </c>
      <c r="P497" s="443">
        <v>1.0451485503994256</v>
      </c>
      <c r="Q497" s="422">
        <v>41</v>
      </c>
    </row>
    <row r="498" spans="1:17" ht="14.4" customHeight="1" x14ac:dyDescent="0.3">
      <c r="A498" s="417" t="s">
        <v>1158</v>
      </c>
      <c r="B498" s="418" t="s">
        <v>986</v>
      </c>
      <c r="C498" s="418" t="s">
        <v>987</v>
      </c>
      <c r="D498" s="418" t="s">
        <v>1006</v>
      </c>
      <c r="E498" s="418" t="s">
        <v>1007</v>
      </c>
      <c r="F498" s="421">
        <v>64</v>
      </c>
      <c r="G498" s="421">
        <v>24448</v>
      </c>
      <c r="H498" s="421">
        <v>1</v>
      </c>
      <c r="I498" s="421">
        <v>382</v>
      </c>
      <c r="J498" s="421">
        <v>47</v>
      </c>
      <c r="K498" s="421">
        <v>18001</v>
      </c>
      <c r="L498" s="421">
        <v>0.73629744764397909</v>
      </c>
      <c r="M498" s="421">
        <v>383</v>
      </c>
      <c r="N498" s="421">
        <v>75</v>
      </c>
      <c r="O498" s="421">
        <v>28800</v>
      </c>
      <c r="P498" s="443">
        <v>1.1780104712041886</v>
      </c>
      <c r="Q498" s="422">
        <v>384</v>
      </c>
    </row>
    <row r="499" spans="1:17" ht="14.4" customHeight="1" x14ac:dyDescent="0.3">
      <c r="A499" s="417" t="s">
        <v>1158</v>
      </c>
      <c r="B499" s="418" t="s">
        <v>986</v>
      </c>
      <c r="C499" s="418" t="s">
        <v>987</v>
      </c>
      <c r="D499" s="418" t="s">
        <v>1008</v>
      </c>
      <c r="E499" s="418" t="s">
        <v>1009</v>
      </c>
      <c r="F499" s="421">
        <v>1</v>
      </c>
      <c r="G499" s="421">
        <v>37</v>
      </c>
      <c r="H499" s="421">
        <v>1</v>
      </c>
      <c r="I499" s="421">
        <v>37</v>
      </c>
      <c r="J499" s="421"/>
      <c r="K499" s="421"/>
      <c r="L499" s="421"/>
      <c r="M499" s="421"/>
      <c r="N499" s="421"/>
      <c r="O499" s="421"/>
      <c r="P499" s="443"/>
      <c r="Q499" s="422"/>
    </row>
    <row r="500" spans="1:17" ht="14.4" customHeight="1" x14ac:dyDescent="0.3">
      <c r="A500" s="417" t="s">
        <v>1158</v>
      </c>
      <c r="B500" s="418" t="s">
        <v>986</v>
      </c>
      <c r="C500" s="418" t="s">
        <v>987</v>
      </c>
      <c r="D500" s="418" t="s">
        <v>1012</v>
      </c>
      <c r="E500" s="418" t="s">
        <v>1013</v>
      </c>
      <c r="F500" s="421">
        <v>106</v>
      </c>
      <c r="G500" s="421">
        <v>47064</v>
      </c>
      <c r="H500" s="421">
        <v>1</v>
      </c>
      <c r="I500" s="421">
        <v>444</v>
      </c>
      <c r="J500" s="421">
        <v>84</v>
      </c>
      <c r="K500" s="421">
        <v>37380</v>
      </c>
      <c r="L500" s="421">
        <v>0.79423763386027535</v>
      </c>
      <c r="M500" s="421">
        <v>445</v>
      </c>
      <c r="N500" s="421">
        <v>94</v>
      </c>
      <c r="O500" s="421">
        <v>41924</v>
      </c>
      <c r="P500" s="443">
        <v>0.89078701342852284</v>
      </c>
      <c r="Q500" s="422">
        <v>446</v>
      </c>
    </row>
    <row r="501" spans="1:17" ht="14.4" customHeight="1" x14ac:dyDescent="0.3">
      <c r="A501" s="417" t="s">
        <v>1158</v>
      </c>
      <c r="B501" s="418" t="s">
        <v>986</v>
      </c>
      <c r="C501" s="418" t="s">
        <v>987</v>
      </c>
      <c r="D501" s="418" t="s">
        <v>1014</v>
      </c>
      <c r="E501" s="418" t="s">
        <v>1015</v>
      </c>
      <c r="F501" s="421">
        <v>18</v>
      </c>
      <c r="G501" s="421">
        <v>738</v>
      </c>
      <c r="H501" s="421">
        <v>1</v>
      </c>
      <c r="I501" s="421">
        <v>41</v>
      </c>
      <c r="J501" s="421">
        <v>18</v>
      </c>
      <c r="K501" s="421">
        <v>738</v>
      </c>
      <c r="L501" s="421">
        <v>1</v>
      </c>
      <c r="M501" s="421">
        <v>41</v>
      </c>
      <c r="N501" s="421">
        <v>17</v>
      </c>
      <c r="O501" s="421">
        <v>714</v>
      </c>
      <c r="P501" s="443">
        <v>0.96747967479674801</v>
      </c>
      <c r="Q501" s="422">
        <v>42</v>
      </c>
    </row>
    <row r="502" spans="1:17" ht="14.4" customHeight="1" x14ac:dyDescent="0.3">
      <c r="A502" s="417" t="s">
        <v>1158</v>
      </c>
      <c r="B502" s="418" t="s">
        <v>986</v>
      </c>
      <c r="C502" s="418" t="s">
        <v>987</v>
      </c>
      <c r="D502" s="418" t="s">
        <v>1016</v>
      </c>
      <c r="E502" s="418" t="s">
        <v>1017</v>
      </c>
      <c r="F502" s="421">
        <v>41</v>
      </c>
      <c r="G502" s="421">
        <v>20090</v>
      </c>
      <c r="H502" s="421">
        <v>1</v>
      </c>
      <c r="I502" s="421">
        <v>490</v>
      </c>
      <c r="J502" s="421">
        <v>79</v>
      </c>
      <c r="K502" s="421">
        <v>38789</v>
      </c>
      <c r="L502" s="421">
        <v>1.9307615729218517</v>
      </c>
      <c r="M502" s="421">
        <v>491</v>
      </c>
      <c r="N502" s="421">
        <v>86</v>
      </c>
      <c r="O502" s="421">
        <v>42312</v>
      </c>
      <c r="P502" s="443">
        <v>2.1061224489795918</v>
      </c>
      <c r="Q502" s="422">
        <v>492</v>
      </c>
    </row>
    <row r="503" spans="1:17" ht="14.4" customHeight="1" x14ac:dyDescent="0.3">
      <c r="A503" s="417" t="s">
        <v>1158</v>
      </c>
      <c r="B503" s="418" t="s">
        <v>986</v>
      </c>
      <c r="C503" s="418" t="s">
        <v>987</v>
      </c>
      <c r="D503" s="418" t="s">
        <v>1018</v>
      </c>
      <c r="E503" s="418" t="s">
        <v>1019</v>
      </c>
      <c r="F503" s="421">
        <v>107</v>
      </c>
      <c r="G503" s="421">
        <v>3317</v>
      </c>
      <c r="H503" s="421">
        <v>1</v>
      </c>
      <c r="I503" s="421">
        <v>31</v>
      </c>
      <c r="J503" s="421">
        <v>129</v>
      </c>
      <c r="K503" s="421">
        <v>3999</v>
      </c>
      <c r="L503" s="421">
        <v>1.205607476635514</v>
      </c>
      <c r="M503" s="421">
        <v>31</v>
      </c>
      <c r="N503" s="421">
        <v>145</v>
      </c>
      <c r="O503" s="421">
        <v>4495</v>
      </c>
      <c r="P503" s="443">
        <v>1.3551401869158879</v>
      </c>
      <c r="Q503" s="422">
        <v>31</v>
      </c>
    </row>
    <row r="504" spans="1:17" ht="14.4" customHeight="1" x14ac:dyDescent="0.3">
      <c r="A504" s="417" t="s">
        <v>1158</v>
      </c>
      <c r="B504" s="418" t="s">
        <v>986</v>
      </c>
      <c r="C504" s="418" t="s">
        <v>987</v>
      </c>
      <c r="D504" s="418" t="s">
        <v>1020</v>
      </c>
      <c r="E504" s="418" t="s">
        <v>1021</v>
      </c>
      <c r="F504" s="421">
        <v>3</v>
      </c>
      <c r="G504" s="421">
        <v>615</v>
      </c>
      <c r="H504" s="421">
        <v>1</v>
      </c>
      <c r="I504" s="421">
        <v>205</v>
      </c>
      <c r="J504" s="421"/>
      <c r="K504" s="421"/>
      <c r="L504" s="421"/>
      <c r="M504" s="421"/>
      <c r="N504" s="421">
        <v>4</v>
      </c>
      <c r="O504" s="421">
        <v>832</v>
      </c>
      <c r="P504" s="443">
        <v>1.3528455284552845</v>
      </c>
      <c r="Q504" s="422">
        <v>208</v>
      </c>
    </row>
    <row r="505" spans="1:17" ht="14.4" customHeight="1" x14ac:dyDescent="0.3">
      <c r="A505" s="417" t="s">
        <v>1158</v>
      </c>
      <c r="B505" s="418" t="s">
        <v>986</v>
      </c>
      <c r="C505" s="418" t="s">
        <v>987</v>
      </c>
      <c r="D505" s="418" t="s">
        <v>1022</v>
      </c>
      <c r="E505" s="418" t="s">
        <v>1023</v>
      </c>
      <c r="F505" s="421">
        <v>4</v>
      </c>
      <c r="G505" s="421">
        <v>1508</v>
      </c>
      <c r="H505" s="421">
        <v>1</v>
      </c>
      <c r="I505" s="421">
        <v>377</v>
      </c>
      <c r="J505" s="421"/>
      <c r="K505" s="421"/>
      <c r="L505" s="421"/>
      <c r="M505" s="421"/>
      <c r="N505" s="421">
        <v>3</v>
      </c>
      <c r="O505" s="421">
        <v>1152</v>
      </c>
      <c r="P505" s="443">
        <v>0.76392572944297077</v>
      </c>
      <c r="Q505" s="422">
        <v>384</v>
      </c>
    </row>
    <row r="506" spans="1:17" ht="14.4" customHeight="1" x14ac:dyDescent="0.3">
      <c r="A506" s="417" t="s">
        <v>1158</v>
      </c>
      <c r="B506" s="418" t="s">
        <v>986</v>
      </c>
      <c r="C506" s="418" t="s">
        <v>987</v>
      </c>
      <c r="D506" s="418" t="s">
        <v>1024</v>
      </c>
      <c r="E506" s="418" t="s">
        <v>1025</v>
      </c>
      <c r="F506" s="421">
        <v>1</v>
      </c>
      <c r="G506" s="421">
        <v>231</v>
      </c>
      <c r="H506" s="421">
        <v>1</v>
      </c>
      <c r="I506" s="421">
        <v>231</v>
      </c>
      <c r="J506" s="421"/>
      <c r="K506" s="421"/>
      <c r="L506" s="421"/>
      <c r="M506" s="421"/>
      <c r="N506" s="421"/>
      <c r="O506" s="421"/>
      <c r="P506" s="443"/>
      <c r="Q506" s="422"/>
    </row>
    <row r="507" spans="1:17" ht="14.4" customHeight="1" x14ac:dyDescent="0.3">
      <c r="A507" s="417" t="s">
        <v>1158</v>
      </c>
      <c r="B507" s="418" t="s">
        <v>986</v>
      </c>
      <c r="C507" s="418" t="s">
        <v>987</v>
      </c>
      <c r="D507" s="418" t="s">
        <v>1032</v>
      </c>
      <c r="E507" s="418" t="s">
        <v>1033</v>
      </c>
      <c r="F507" s="421">
        <v>315</v>
      </c>
      <c r="G507" s="421">
        <v>5040</v>
      </c>
      <c r="H507" s="421">
        <v>1</v>
      </c>
      <c r="I507" s="421">
        <v>16</v>
      </c>
      <c r="J507" s="421">
        <v>244</v>
      </c>
      <c r="K507" s="421">
        <v>3904</v>
      </c>
      <c r="L507" s="421">
        <v>0.77460317460317463</v>
      </c>
      <c r="M507" s="421">
        <v>16</v>
      </c>
      <c r="N507" s="421">
        <v>352</v>
      </c>
      <c r="O507" s="421">
        <v>5984</v>
      </c>
      <c r="P507" s="443">
        <v>1.1873015873015873</v>
      </c>
      <c r="Q507" s="422">
        <v>17</v>
      </c>
    </row>
    <row r="508" spans="1:17" ht="14.4" customHeight="1" x14ac:dyDescent="0.3">
      <c r="A508" s="417" t="s">
        <v>1158</v>
      </c>
      <c r="B508" s="418" t="s">
        <v>986</v>
      </c>
      <c r="C508" s="418" t="s">
        <v>987</v>
      </c>
      <c r="D508" s="418" t="s">
        <v>1034</v>
      </c>
      <c r="E508" s="418" t="s">
        <v>1035</v>
      </c>
      <c r="F508" s="421">
        <v>722</v>
      </c>
      <c r="G508" s="421">
        <v>96026</v>
      </c>
      <c r="H508" s="421">
        <v>1</v>
      </c>
      <c r="I508" s="421">
        <v>133</v>
      </c>
      <c r="J508" s="421">
        <v>744</v>
      </c>
      <c r="K508" s="421">
        <v>101184</v>
      </c>
      <c r="L508" s="421">
        <v>1.0537146189573656</v>
      </c>
      <c r="M508" s="421">
        <v>136</v>
      </c>
      <c r="N508" s="421">
        <v>829</v>
      </c>
      <c r="O508" s="421">
        <v>115231</v>
      </c>
      <c r="P508" s="443">
        <v>1.19999791723075</v>
      </c>
      <c r="Q508" s="422">
        <v>139</v>
      </c>
    </row>
    <row r="509" spans="1:17" ht="14.4" customHeight="1" x14ac:dyDescent="0.3">
      <c r="A509" s="417" t="s">
        <v>1158</v>
      </c>
      <c r="B509" s="418" t="s">
        <v>986</v>
      </c>
      <c r="C509" s="418" t="s">
        <v>987</v>
      </c>
      <c r="D509" s="418" t="s">
        <v>1036</v>
      </c>
      <c r="E509" s="418" t="s">
        <v>1037</v>
      </c>
      <c r="F509" s="421">
        <v>147</v>
      </c>
      <c r="G509" s="421">
        <v>14994</v>
      </c>
      <c r="H509" s="421">
        <v>1</v>
      </c>
      <c r="I509" s="421">
        <v>102</v>
      </c>
      <c r="J509" s="421">
        <v>122</v>
      </c>
      <c r="K509" s="421">
        <v>12566</v>
      </c>
      <c r="L509" s="421">
        <v>0.83806856075763636</v>
      </c>
      <c r="M509" s="421">
        <v>103</v>
      </c>
      <c r="N509" s="421">
        <v>195</v>
      </c>
      <c r="O509" s="421">
        <v>20085</v>
      </c>
      <c r="P509" s="443">
        <v>1.3395358143257303</v>
      </c>
      <c r="Q509" s="422">
        <v>103</v>
      </c>
    </row>
    <row r="510" spans="1:17" ht="14.4" customHeight="1" x14ac:dyDescent="0.3">
      <c r="A510" s="417" t="s">
        <v>1158</v>
      </c>
      <c r="B510" s="418" t="s">
        <v>986</v>
      </c>
      <c r="C510" s="418" t="s">
        <v>987</v>
      </c>
      <c r="D510" s="418" t="s">
        <v>1040</v>
      </c>
      <c r="E510" s="418" t="s">
        <v>1041</v>
      </c>
      <c r="F510" s="421">
        <v>247</v>
      </c>
      <c r="G510" s="421">
        <v>27911</v>
      </c>
      <c r="H510" s="421">
        <v>1</v>
      </c>
      <c r="I510" s="421">
        <v>113</v>
      </c>
      <c r="J510" s="421">
        <v>372</v>
      </c>
      <c r="K510" s="421">
        <v>43152</v>
      </c>
      <c r="L510" s="421">
        <v>1.5460571100999605</v>
      </c>
      <c r="M510" s="421">
        <v>116</v>
      </c>
      <c r="N510" s="421">
        <v>479</v>
      </c>
      <c r="O510" s="421">
        <v>56043</v>
      </c>
      <c r="P510" s="443">
        <v>2.007918025151374</v>
      </c>
      <c r="Q510" s="422">
        <v>117</v>
      </c>
    </row>
    <row r="511" spans="1:17" ht="14.4" customHeight="1" x14ac:dyDescent="0.3">
      <c r="A511" s="417" t="s">
        <v>1158</v>
      </c>
      <c r="B511" s="418" t="s">
        <v>986</v>
      </c>
      <c r="C511" s="418" t="s">
        <v>987</v>
      </c>
      <c r="D511" s="418" t="s">
        <v>1042</v>
      </c>
      <c r="E511" s="418" t="s">
        <v>1043</v>
      </c>
      <c r="F511" s="421">
        <v>40</v>
      </c>
      <c r="G511" s="421">
        <v>3360</v>
      </c>
      <c r="H511" s="421">
        <v>1</v>
      </c>
      <c r="I511" s="421">
        <v>84</v>
      </c>
      <c r="J511" s="421">
        <v>28</v>
      </c>
      <c r="K511" s="421">
        <v>2380</v>
      </c>
      <c r="L511" s="421">
        <v>0.70833333333333337</v>
      </c>
      <c r="M511" s="421">
        <v>85</v>
      </c>
      <c r="N511" s="421">
        <v>25</v>
      </c>
      <c r="O511" s="421">
        <v>2275</v>
      </c>
      <c r="P511" s="443">
        <v>0.67708333333333337</v>
      </c>
      <c r="Q511" s="422">
        <v>91</v>
      </c>
    </row>
    <row r="512" spans="1:17" ht="14.4" customHeight="1" x14ac:dyDescent="0.3">
      <c r="A512" s="417" t="s">
        <v>1158</v>
      </c>
      <c r="B512" s="418" t="s">
        <v>986</v>
      </c>
      <c r="C512" s="418" t="s">
        <v>987</v>
      </c>
      <c r="D512" s="418" t="s">
        <v>1044</v>
      </c>
      <c r="E512" s="418" t="s">
        <v>1045</v>
      </c>
      <c r="F512" s="421">
        <v>2</v>
      </c>
      <c r="G512" s="421">
        <v>192</v>
      </c>
      <c r="H512" s="421">
        <v>1</v>
      </c>
      <c r="I512" s="421">
        <v>96</v>
      </c>
      <c r="J512" s="421">
        <v>1</v>
      </c>
      <c r="K512" s="421">
        <v>98</v>
      </c>
      <c r="L512" s="421">
        <v>0.51041666666666663</v>
      </c>
      <c r="M512" s="421">
        <v>98</v>
      </c>
      <c r="N512" s="421">
        <v>1</v>
      </c>
      <c r="O512" s="421">
        <v>99</v>
      </c>
      <c r="P512" s="443">
        <v>0.515625</v>
      </c>
      <c r="Q512" s="422">
        <v>99</v>
      </c>
    </row>
    <row r="513" spans="1:17" ht="14.4" customHeight="1" x14ac:dyDescent="0.3">
      <c r="A513" s="417" t="s">
        <v>1158</v>
      </c>
      <c r="B513" s="418" t="s">
        <v>986</v>
      </c>
      <c r="C513" s="418" t="s">
        <v>987</v>
      </c>
      <c r="D513" s="418" t="s">
        <v>1046</v>
      </c>
      <c r="E513" s="418" t="s">
        <v>1047</v>
      </c>
      <c r="F513" s="421">
        <v>21</v>
      </c>
      <c r="G513" s="421">
        <v>441</v>
      </c>
      <c r="H513" s="421">
        <v>1</v>
      </c>
      <c r="I513" s="421">
        <v>21</v>
      </c>
      <c r="J513" s="421">
        <v>84</v>
      </c>
      <c r="K513" s="421">
        <v>1764</v>
      </c>
      <c r="L513" s="421">
        <v>4</v>
      </c>
      <c r="M513" s="421">
        <v>21</v>
      </c>
      <c r="N513" s="421">
        <v>20</v>
      </c>
      <c r="O513" s="421">
        <v>420</v>
      </c>
      <c r="P513" s="443">
        <v>0.95238095238095233</v>
      </c>
      <c r="Q513" s="422">
        <v>21</v>
      </c>
    </row>
    <row r="514" spans="1:17" ht="14.4" customHeight="1" x14ac:dyDescent="0.3">
      <c r="A514" s="417" t="s">
        <v>1158</v>
      </c>
      <c r="B514" s="418" t="s">
        <v>986</v>
      </c>
      <c r="C514" s="418" t="s">
        <v>987</v>
      </c>
      <c r="D514" s="418" t="s">
        <v>1048</v>
      </c>
      <c r="E514" s="418" t="s">
        <v>1049</v>
      </c>
      <c r="F514" s="421">
        <v>321</v>
      </c>
      <c r="G514" s="421">
        <v>156006</v>
      </c>
      <c r="H514" s="421">
        <v>1</v>
      </c>
      <c r="I514" s="421">
        <v>486</v>
      </c>
      <c r="J514" s="421">
        <v>275</v>
      </c>
      <c r="K514" s="421">
        <v>133925</v>
      </c>
      <c r="L514" s="421">
        <v>0.85846057202928094</v>
      </c>
      <c r="M514" s="421">
        <v>487</v>
      </c>
      <c r="N514" s="421">
        <v>388</v>
      </c>
      <c r="O514" s="421">
        <v>189344</v>
      </c>
      <c r="P514" s="443">
        <v>1.2136969090932399</v>
      </c>
      <c r="Q514" s="422">
        <v>488</v>
      </c>
    </row>
    <row r="515" spans="1:17" ht="14.4" customHeight="1" x14ac:dyDescent="0.3">
      <c r="A515" s="417" t="s">
        <v>1158</v>
      </c>
      <c r="B515" s="418" t="s">
        <v>986</v>
      </c>
      <c r="C515" s="418" t="s">
        <v>987</v>
      </c>
      <c r="D515" s="418" t="s">
        <v>1056</v>
      </c>
      <c r="E515" s="418" t="s">
        <v>1057</v>
      </c>
      <c r="F515" s="421">
        <v>93</v>
      </c>
      <c r="G515" s="421">
        <v>3720</v>
      </c>
      <c r="H515" s="421">
        <v>1</v>
      </c>
      <c r="I515" s="421">
        <v>40</v>
      </c>
      <c r="J515" s="421">
        <v>67</v>
      </c>
      <c r="K515" s="421">
        <v>2747</v>
      </c>
      <c r="L515" s="421">
        <v>0.73844086021505373</v>
      </c>
      <c r="M515" s="421">
        <v>41</v>
      </c>
      <c r="N515" s="421">
        <v>54</v>
      </c>
      <c r="O515" s="421">
        <v>2214</v>
      </c>
      <c r="P515" s="443">
        <v>0.59516129032258069</v>
      </c>
      <c r="Q515" s="422">
        <v>41</v>
      </c>
    </row>
    <row r="516" spans="1:17" ht="14.4" customHeight="1" x14ac:dyDescent="0.3">
      <c r="A516" s="417" t="s">
        <v>1158</v>
      </c>
      <c r="B516" s="418" t="s">
        <v>986</v>
      </c>
      <c r="C516" s="418" t="s">
        <v>987</v>
      </c>
      <c r="D516" s="418" t="s">
        <v>1064</v>
      </c>
      <c r="E516" s="418" t="s">
        <v>1065</v>
      </c>
      <c r="F516" s="421">
        <v>2</v>
      </c>
      <c r="G516" s="421">
        <v>430</v>
      </c>
      <c r="H516" s="421">
        <v>1</v>
      </c>
      <c r="I516" s="421">
        <v>215</v>
      </c>
      <c r="J516" s="421">
        <v>1</v>
      </c>
      <c r="K516" s="421">
        <v>219</v>
      </c>
      <c r="L516" s="421">
        <v>0.50930232558139532</v>
      </c>
      <c r="M516" s="421">
        <v>219</v>
      </c>
      <c r="N516" s="421">
        <v>4</v>
      </c>
      <c r="O516" s="421">
        <v>892</v>
      </c>
      <c r="P516" s="443">
        <v>2.074418604651163</v>
      </c>
      <c r="Q516" s="422">
        <v>223</v>
      </c>
    </row>
    <row r="517" spans="1:17" ht="14.4" customHeight="1" x14ac:dyDescent="0.3">
      <c r="A517" s="417" t="s">
        <v>1158</v>
      </c>
      <c r="B517" s="418" t="s">
        <v>986</v>
      </c>
      <c r="C517" s="418" t="s">
        <v>987</v>
      </c>
      <c r="D517" s="418" t="s">
        <v>1066</v>
      </c>
      <c r="E517" s="418" t="s">
        <v>1067</v>
      </c>
      <c r="F517" s="421">
        <v>7</v>
      </c>
      <c r="G517" s="421">
        <v>5327</v>
      </c>
      <c r="H517" s="421">
        <v>1</v>
      </c>
      <c r="I517" s="421">
        <v>761</v>
      </c>
      <c r="J517" s="421"/>
      <c r="K517" s="421"/>
      <c r="L517" s="421"/>
      <c r="M517" s="421"/>
      <c r="N517" s="421">
        <v>8</v>
      </c>
      <c r="O517" s="421">
        <v>6104</v>
      </c>
      <c r="P517" s="443">
        <v>1.1458607095926412</v>
      </c>
      <c r="Q517" s="422">
        <v>763</v>
      </c>
    </row>
    <row r="518" spans="1:17" ht="14.4" customHeight="1" x14ac:dyDescent="0.3">
      <c r="A518" s="417" t="s">
        <v>1158</v>
      </c>
      <c r="B518" s="418" t="s">
        <v>986</v>
      </c>
      <c r="C518" s="418" t="s">
        <v>987</v>
      </c>
      <c r="D518" s="418" t="s">
        <v>1068</v>
      </c>
      <c r="E518" s="418" t="s">
        <v>1069</v>
      </c>
      <c r="F518" s="421">
        <v>3</v>
      </c>
      <c r="G518" s="421">
        <v>6087</v>
      </c>
      <c r="H518" s="421">
        <v>1</v>
      </c>
      <c r="I518" s="421">
        <v>2029</v>
      </c>
      <c r="J518" s="421">
        <v>1</v>
      </c>
      <c r="K518" s="421">
        <v>2072</v>
      </c>
      <c r="L518" s="421">
        <v>0.34039756858879577</v>
      </c>
      <c r="M518" s="421">
        <v>2072</v>
      </c>
      <c r="N518" s="421">
        <v>3</v>
      </c>
      <c r="O518" s="421">
        <v>6336</v>
      </c>
      <c r="P518" s="443">
        <v>1.0409068506653525</v>
      </c>
      <c r="Q518" s="422">
        <v>2112</v>
      </c>
    </row>
    <row r="519" spans="1:17" ht="14.4" customHeight="1" x14ac:dyDescent="0.3">
      <c r="A519" s="417" t="s">
        <v>1158</v>
      </c>
      <c r="B519" s="418" t="s">
        <v>986</v>
      </c>
      <c r="C519" s="418" t="s">
        <v>987</v>
      </c>
      <c r="D519" s="418" t="s">
        <v>1070</v>
      </c>
      <c r="E519" s="418" t="s">
        <v>1071</v>
      </c>
      <c r="F519" s="421">
        <v>43</v>
      </c>
      <c r="G519" s="421">
        <v>25972</v>
      </c>
      <c r="H519" s="421">
        <v>1</v>
      </c>
      <c r="I519" s="421">
        <v>604</v>
      </c>
      <c r="J519" s="421">
        <v>58</v>
      </c>
      <c r="K519" s="421">
        <v>35264</v>
      </c>
      <c r="L519" s="421">
        <v>1.357769906052672</v>
      </c>
      <c r="M519" s="421">
        <v>608</v>
      </c>
      <c r="N519" s="421">
        <v>30</v>
      </c>
      <c r="O519" s="421">
        <v>18420</v>
      </c>
      <c r="P519" s="443">
        <v>0.70922531957492685</v>
      </c>
      <c r="Q519" s="422">
        <v>614</v>
      </c>
    </row>
    <row r="520" spans="1:17" ht="14.4" customHeight="1" x14ac:dyDescent="0.3">
      <c r="A520" s="417" t="s">
        <v>1158</v>
      </c>
      <c r="B520" s="418" t="s">
        <v>986</v>
      </c>
      <c r="C520" s="418" t="s">
        <v>987</v>
      </c>
      <c r="D520" s="418" t="s">
        <v>1074</v>
      </c>
      <c r="E520" s="418" t="s">
        <v>1075</v>
      </c>
      <c r="F520" s="421">
        <v>61</v>
      </c>
      <c r="G520" s="421">
        <v>30866</v>
      </c>
      <c r="H520" s="421">
        <v>1</v>
      </c>
      <c r="I520" s="421">
        <v>506</v>
      </c>
      <c r="J520" s="421">
        <v>4</v>
      </c>
      <c r="K520" s="421">
        <v>2036</v>
      </c>
      <c r="L520" s="421">
        <v>6.5962547787209225E-2</v>
      </c>
      <c r="M520" s="421">
        <v>509</v>
      </c>
      <c r="N520" s="421">
        <v>8</v>
      </c>
      <c r="O520" s="421">
        <v>4096</v>
      </c>
      <c r="P520" s="443">
        <v>0.13270265016523036</v>
      </c>
      <c r="Q520" s="422">
        <v>512</v>
      </c>
    </row>
    <row r="521" spans="1:17" ht="14.4" customHeight="1" x14ac:dyDescent="0.3">
      <c r="A521" s="417" t="s">
        <v>1158</v>
      </c>
      <c r="B521" s="418" t="s">
        <v>986</v>
      </c>
      <c r="C521" s="418" t="s">
        <v>987</v>
      </c>
      <c r="D521" s="418" t="s">
        <v>1082</v>
      </c>
      <c r="E521" s="418" t="s">
        <v>1083</v>
      </c>
      <c r="F521" s="421">
        <v>1</v>
      </c>
      <c r="G521" s="421">
        <v>245</v>
      </c>
      <c r="H521" s="421">
        <v>1</v>
      </c>
      <c r="I521" s="421">
        <v>245</v>
      </c>
      <c r="J521" s="421"/>
      <c r="K521" s="421"/>
      <c r="L521" s="421"/>
      <c r="M521" s="421"/>
      <c r="N521" s="421"/>
      <c r="O521" s="421"/>
      <c r="P521" s="443"/>
      <c r="Q521" s="422"/>
    </row>
    <row r="522" spans="1:17" ht="14.4" customHeight="1" x14ac:dyDescent="0.3">
      <c r="A522" s="417" t="s">
        <v>1158</v>
      </c>
      <c r="B522" s="418" t="s">
        <v>986</v>
      </c>
      <c r="C522" s="418" t="s">
        <v>987</v>
      </c>
      <c r="D522" s="418" t="s">
        <v>1088</v>
      </c>
      <c r="E522" s="418" t="s">
        <v>1089</v>
      </c>
      <c r="F522" s="421">
        <v>32</v>
      </c>
      <c r="G522" s="421">
        <v>4864</v>
      </c>
      <c r="H522" s="421">
        <v>1</v>
      </c>
      <c r="I522" s="421">
        <v>152</v>
      </c>
      <c r="J522" s="421">
        <v>32</v>
      </c>
      <c r="K522" s="421">
        <v>4864</v>
      </c>
      <c r="L522" s="421">
        <v>1</v>
      </c>
      <c r="M522" s="421">
        <v>152</v>
      </c>
      <c r="N522" s="421"/>
      <c r="O522" s="421"/>
      <c r="P522" s="443"/>
      <c r="Q522" s="422"/>
    </row>
    <row r="523" spans="1:17" ht="14.4" customHeight="1" x14ac:dyDescent="0.3">
      <c r="A523" s="417" t="s">
        <v>1158</v>
      </c>
      <c r="B523" s="418" t="s">
        <v>986</v>
      </c>
      <c r="C523" s="418" t="s">
        <v>987</v>
      </c>
      <c r="D523" s="418" t="s">
        <v>1090</v>
      </c>
      <c r="E523" s="418" t="s">
        <v>1091</v>
      </c>
      <c r="F523" s="421"/>
      <c r="G523" s="421"/>
      <c r="H523" s="421"/>
      <c r="I523" s="421"/>
      <c r="J523" s="421"/>
      <c r="K523" s="421"/>
      <c r="L523" s="421"/>
      <c r="M523" s="421"/>
      <c r="N523" s="421">
        <v>2</v>
      </c>
      <c r="O523" s="421">
        <v>54</v>
      </c>
      <c r="P523" s="443"/>
      <c r="Q523" s="422">
        <v>27</v>
      </c>
    </row>
    <row r="524" spans="1:17" ht="14.4" customHeight="1" x14ac:dyDescent="0.3">
      <c r="A524" s="417" t="s">
        <v>1158</v>
      </c>
      <c r="B524" s="418" t="s">
        <v>986</v>
      </c>
      <c r="C524" s="418" t="s">
        <v>987</v>
      </c>
      <c r="D524" s="418" t="s">
        <v>1131</v>
      </c>
      <c r="E524" s="418" t="s">
        <v>1132</v>
      </c>
      <c r="F524" s="421">
        <v>1</v>
      </c>
      <c r="G524" s="421">
        <v>327</v>
      </c>
      <c r="H524" s="421">
        <v>1</v>
      </c>
      <c r="I524" s="421">
        <v>327</v>
      </c>
      <c r="J524" s="421">
        <v>1</v>
      </c>
      <c r="K524" s="421">
        <v>328</v>
      </c>
      <c r="L524" s="421">
        <v>1.0030581039755351</v>
      </c>
      <c r="M524" s="421">
        <v>328</v>
      </c>
      <c r="N524" s="421"/>
      <c r="O524" s="421"/>
      <c r="P524" s="443"/>
      <c r="Q524" s="422"/>
    </row>
    <row r="525" spans="1:17" ht="14.4" customHeight="1" x14ac:dyDescent="0.3">
      <c r="A525" s="417" t="s">
        <v>1159</v>
      </c>
      <c r="B525" s="418" t="s">
        <v>986</v>
      </c>
      <c r="C525" s="418" t="s">
        <v>987</v>
      </c>
      <c r="D525" s="418" t="s">
        <v>988</v>
      </c>
      <c r="E525" s="418" t="s">
        <v>989</v>
      </c>
      <c r="F525" s="421">
        <v>152</v>
      </c>
      <c r="G525" s="421">
        <v>24168</v>
      </c>
      <c r="H525" s="421">
        <v>1</v>
      </c>
      <c r="I525" s="421">
        <v>159</v>
      </c>
      <c r="J525" s="421">
        <v>140</v>
      </c>
      <c r="K525" s="421">
        <v>22540</v>
      </c>
      <c r="L525" s="421">
        <v>0.93263819927176428</v>
      </c>
      <c r="M525" s="421">
        <v>161</v>
      </c>
      <c r="N525" s="421">
        <v>149</v>
      </c>
      <c r="O525" s="421">
        <v>25777</v>
      </c>
      <c r="P525" s="443">
        <v>1.0665756372062232</v>
      </c>
      <c r="Q525" s="422">
        <v>173</v>
      </c>
    </row>
    <row r="526" spans="1:17" ht="14.4" customHeight="1" x14ac:dyDescent="0.3">
      <c r="A526" s="417" t="s">
        <v>1159</v>
      </c>
      <c r="B526" s="418" t="s">
        <v>986</v>
      </c>
      <c r="C526" s="418" t="s">
        <v>987</v>
      </c>
      <c r="D526" s="418" t="s">
        <v>1002</v>
      </c>
      <c r="E526" s="418" t="s">
        <v>1003</v>
      </c>
      <c r="F526" s="421"/>
      <c r="G526" s="421"/>
      <c r="H526" s="421"/>
      <c r="I526" s="421"/>
      <c r="J526" s="421">
        <v>2</v>
      </c>
      <c r="K526" s="421">
        <v>2338</v>
      </c>
      <c r="L526" s="421"/>
      <c r="M526" s="421">
        <v>1169</v>
      </c>
      <c r="N526" s="421"/>
      <c r="O526" s="421"/>
      <c r="P526" s="443"/>
      <c r="Q526" s="422"/>
    </row>
    <row r="527" spans="1:17" ht="14.4" customHeight="1" x14ac:dyDescent="0.3">
      <c r="A527" s="417" t="s">
        <v>1159</v>
      </c>
      <c r="B527" s="418" t="s">
        <v>986</v>
      </c>
      <c r="C527" s="418" t="s">
        <v>987</v>
      </c>
      <c r="D527" s="418" t="s">
        <v>1004</v>
      </c>
      <c r="E527" s="418" t="s">
        <v>1005</v>
      </c>
      <c r="F527" s="421">
        <v>15</v>
      </c>
      <c r="G527" s="421">
        <v>585</v>
      </c>
      <c r="H527" s="421">
        <v>1</v>
      </c>
      <c r="I527" s="421">
        <v>39</v>
      </c>
      <c r="J527" s="421">
        <v>13</v>
      </c>
      <c r="K527" s="421">
        <v>520</v>
      </c>
      <c r="L527" s="421">
        <v>0.88888888888888884</v>
      </c>
      <c r="M527" s="421">
        <v>40</v>
      </c>
      <c r="N527" s="421">
        <v>7</v>
      </c>
      <c r="O527" s="421">
        <v>287</v>
      </c>
      <c r="P527" s="443">
        <v>0.49059829059829058</v>
      </c>
      <c r="Q527" s="422">
        <v>41</v>
      </c>
    </row>
    <row r="528" spans="1:17" ht="14.4" customHeight="1" x14ac:dyDescent="0.3">
      <c r="A528" s="417" t="s">
        <v>1159</v>
      </c>
      <c r="B528" s="418" t="s">
        <v>986</v>
      </c>
      <c r="C528" s="418" t="s">
        <v>987</v>
      </c>
      <c r="D528" s="418" t="s">
        <v>1006</v>
      </c>
      <c r="E528" s="418" t="s">
        <v>1007</v>
      </c>
      <c r="F528" s="421">
        <v>3</v>
      </c>
      <c r="G528" s="421">
        <v>1146</v>
      </c>
      <c r="H528" s="421">
        <v>1</v>
      </c>
      <c r="I528" s="421">
        <v>382</v>
      </c>
      <c r="J528" s="421">
        <v>3</v>
      </c>
      <c r="K528" s="421">
        <v>1149</v>
      </c>
      <c r="L528" s="421">
        <v>1.0026178010471205</v>
      </c>
      <c r="M528" s="421">
        <v>383</v>
      </c>
      <c r="N528" s="421">
        <v>3</v>
      </c>
      <c r="O528" s="421">
        <v>1152</v>
      </c>
      <c r="P528" s="443">
        <v>1.0052356020942408</v>
      </c>
      <c r="Q528" s="422">
        <v>384</v>
      </c>
    </row>
    <row r="529" spans="1:17" ht="14.4" customHeight="1" x14ac:dyDescent="0.3">
      <c r="A529" s="417" t="s">
        <v>1159</v>
      </c>
      <c r="B529" s="418" t="s">
        <v>986</v>
      </c>
      <c r="C529" s="418" t="s">
        <v>987</v>
      </c>
      <c r="D529" s="418" t="s">
        <v>1012</v>
      </c>
      <c r="E529" s="418" t="s">
        <v>1013</v>
      </c>
      <c r="F529" s="421"/>
      <c r="G529" s="421"/>
      <c r="H529" s="421"/>
      <c r="I529" s="421"/>
      <c r="J529" s="421">
        <v>3</v>
      </c>
      <c r="K529" s="421">
        <v>1335</v>
      </c>
      <c r="L529" s="421"/>
      <c r="M529" s="421">
        <v>445</v>
      </c>
      <c r="N529" s="421"/>
      <c r="O529" s="421"/>
      <c r="P529" s="443"/>
      <c r="Q529" s="422"/>
    </row>
    <row r="530" spans="1:17" ht="14.4" customHeight="1" x14ac:dyDescent="0.3">
      <c r="A530" s="417" t="s">
        <v>1159</v>
      </c>
      <c r="B530" s="418" t="s">
        <v>986</v>
      </c>
      <c r="C530" s="418" t="s">
        <v>987</v>
      </c>
      <c r="D530" s="418" t="s">
        <v>1014</v>
      </c>
      <c r="E530" s="418" t="s">
        <v>1015</v>
      </c>
      <c r="F530" s="421">
        <v>76</v>
      </c>
      <c r="G530" s="421">
        <v>3116</v>
      </c>
      <c r="H530" s="421">
        <v>1</v>
      </c>
      <c r="I530" s="421">
        <v>41</v>
      </c>
      <c r="J530" s="421">
        <v>25</v>
      </c>
      <c r="K530" s="421">
        <v>1025</v>
      </c>
      <c r="L530" s="421">
        <v>0.32894736842105265</v>
      </c>
      <c r="M530" s="421">
        <v>41</v>
      </c>
      <c r="N530" s="421">
        <v>21</v>
      </c>
      <c r="O530" s="421">
        <v>882</v>
      </c>
      <c r="P530" s="443">
        <v>0.28305519897304238</v>
      </c>
      <c r="Q530" s="422">
        <v>42</v>
      </c>
    </row>
    <row r="531" spans="1:17" ht="14.4" customHeight="1" x14ac:dyDescent="0.3">
      <c r="A531" s="417" t="s">
        <v>1159</v>
      </c>
      <c r="B531" s="418" t="s">
        <v>986</v>
      </c>
      <c r="C531" s="418" t="s">
        <v>987</v>
      </c>
      <c r="D531" s="418" t="s">
        <v>1016</v>
      </c>
      <c r="E531" s="418" t="s">
        <v>1017</v>
      </c>
      <c r="F531" s="421">
        <v>8</v>
      </c>
      <c r="G531" s="421">
        <v>3920</v>
      </c>
      <c r="H531" s="421">
        <v>1</v>
      </c>
      <c r="I531" s="421">
        <v>490</v>
      </c>
      <c r="J531" s="421">
        <v>9</v>
      </c>
      <c r="K531" s="421">
        <v>4419</v>
      </c>
      <c r="L531" s="421">
        <v>1.127295918367347</v>
      </c>
      <c r="M531" s="421">
        <v>491</v>
      </c>
      <c r="N531" s="421">
        <v>8</v>
      </c>
      <c r="O531" s="421">
        <v>3936</v>
      </c>
      <c r="P531" s="443">
        <v>1.0040816326530613</v>
      </c>
      <c r="Q531" s="422">
        <v>492</v>
      </c>
    </row>
    <row r="532" spans="1:17" ht="14.4" customHeight="1" x14ac:dyDescent="0.3">
      <c r="A532" s="417" t="s">
        <v>1159</v>
      </c>
      <c r="B532" s="418" t="s">
        <v>986</v>
      </c>
      <c r="C532" s="418" t="s">
        <v>987</v>
      </c>
      <c r="D532" s="418" t="s">
        <v>1018</v>
      </c>
      <c r="E532" s="418" t="s">
        <v>1019</v>
      </c>
      <c r="F532" s="421"/>
      <c r="G532" s="421"/>
      <c r="H532" s="421"/>
      <c r="I532" s="421"/>
      <c r="J532" s="421">
        <v>4</v>
      </c>
      <c r="K532" s="421">
        <v>124</v>
      </c>
      <c r="L532" s="421"/>
      <c r="M532" s="421">
        <v>31</v>
      </c>
      <c r="N532" s="421">
        <v>4</v>
      </c>
      <c r="O532" s="421">
        <v>124</v>
      </c>
      <c r="P532" s="443"/>
      <c r="Q532" s="422">
        <v>31</v>
      </c>
    </row>
    <row r="533" spans="1:17" ht="14.4" customHeight="1" x14ac:dyDescent="0.3">
      <c r="A533" s="417" t="s">
        <v>1159</v>
      </c>
      <c r="B533" s="418" t="s">
        <v>986</v>
      </c>
      <c r="C533" s="418" t="s">
        <v>987</v>
      </c>
      <c r="D533" s="418" t="s">
        <v>1032</v>
      </c>
      <c r="E533" s="418" t="s">
        <v>1033</v>
      </c>
      <c r="F533" s="421">
        <v>96</v>
      </c>
      <c r="G533" s="421">
        <v>1536</v>
      </c>
      <c r="H533" s="421">
        <v>1</v>
      </c>
      <c r="I533" s="421">
        <v>16</v>
      </c>
      <c r="J533" s="421">
        <v>55</v>
      </c>
      <c r="K533" s="421">
        <v>880</v>
      </c>
      <c r="L533" s="421">
        <v>0.57291666666666663</v>
      </c>
      <c r="M533" s="421">
        <v>16</v>
      </c>
      <c r="N533" s="421">
        <v>39</v>
      </c>
      <c r="O533" s="421">
        <v>663</v>
      </c>
      <c r="P533" s="443">
        <v>0.431640625</v>
      </c>
      <c r="Q533" s="422">
        <v>17</v>
      </c>
    </row>
    <row r="534" spans="1:17" ht="14.4" customHeight="1" x14ac:dyDescent="0.3">
      <c r="A534" s="417" t="s">
        <v>1159</v>
      </c>
      <c r="B534" s="418" t="s">
        <v>986</v>
      </c>
      <c r="C534" s="418" t="s">
        <v>987</v>
      </c>
      <c r="D534" s="418" t="s">
        <v>1034</v>
      </c>
      <c r="E534" s="418" t="s">
        <v>1035</v>
      </c>
      <c r="F534" s="421"/>
      <c r="G534" s="421"/>
      <c r="H534" s="421"/>
      <c r="I534" s="421"/>
      <c r="J534" s="421">
        <v>2</v>
      </c>
      <c r="K534" s="421">
        <v>272</v>
      </c>
      <c r="L534" s="421"/>
      <c r="M534" s="421">
        <v>136</v>
      </c>
      <c r="N534" s="421"/>
      <c r="O534" s="421"/>
      <c r="P534" s="443"/>
      <c r="Q534" s="422"/>
    </row>
    <row r="535" spans="1:17" ht="14.4" customHeight="1" x14ac:dyDescent="0.3">
      <c r="A535" s="417" t="s">
        <v>1159</v>
      </c>
      <c r="B535" s="418" t="s">
        <v>986</v>
      </c>
      <c r="C535" s="418" t="s">
        <v>987</v>
      </c>
      <c r="D535" s="418" t="s">
        <v>1036</v>
      </c>
      <c r="E535" s="418" t="s">
        <v>1037</v>
      </c>
      <c r="F535" s="421">
        <v>6</v>
      </c>
      <c r="G535" s="421">
        <v>612</v>
      </c>
      <c r="H535" s="421">
        <v>1</v>
      </c>
      <c r="I535" s="421">
        <v>102</v>
      </c>
      <c r="J535" s="421">
        <v>11</v>
      </c>
      <c r="K535" s="421">
        <v>1133</v>
      </c>
      <c r="L535" s="421">
        <v>1.8513071895424837</v>
      </c>
      <c r="M535" s="421">
        <v>103</v>
      </c>
      <c r="N535" s="421"/>
      <c r="O535" s="421"/>
      <c r="P535" s="443"/>
      <c r="Q535" s="422"/>
    </row>
    <row r="536" spans="1:17" ht="14.4" customHeight="1" x14ac:dyDescent="0.3">
      <c r="A536" s="417" t="s">
        <v>1159</v>
      </c>
      <c r="B536" s="418" t="s">
        <v>986</v>
      </c>
      <c r="C536" s="418" t="s">
        <v>987</v>
      </c>
      <c r="D536" s="418" t="s">
        <v>1040</v>
      </c>
      <c r="E536" s="418" t="s">
        <v>1041</v>
      </c>
      <c r="F536" s="421">
        <v>84</v>
      </c>
      <c r="G536" s="421">
        <v>9492</v>
      </c>
      <c r="H536" s="421">
        <v>1</v>
      </c>
      <c r="I536" s="421">
        <v>113</v>
      </c>
      <c r="J536" s="421">
        <v>123</v>
      </c>
      <c r="K536" s="421">
        <v>14268</v>
      </c>
      <c r="L536" s="421">
        <v>1.5031605562579013</v>
      </c>
      <c r="M536" s="421">
        <v>116</v>
      </c>
      <c r="N536" s="421">
        <v>88</v>
      </c>
      <c r="O536" s="421">
        <v>10296</v>
      </c>
      <c r="P536" s="443">
        <v>1.0847029077117574</v>
      </c>
      <c r="Q536" s="422">
        <v>117</v>
      </c>
    </row>
    <row r="537" spans="1:17" ht="14.4" customHeight="1" x14ac:dyDescent="0.3">
      <c r="A537" s="417" t="s">
        <v>1159</v>
      </c>
      <c r="B537" s="418" t="s">
        <v>986</v>
      </c>
      <c r="C537" s="418" t="s">
        <v>987</v>
      </c>
      <c r="D537" s="418" t="s">
        <v>1042</v>
      </c>
      <c r="E537" s="418" t="s">
        <v>1043</v>
      </c>
      <c r="F537" s="421">
        <v>29</v>
      </c>
      <c r="G537" s="421">
        <v>2436</v>
      </c>
      <c r="H537" s="421">
        <v>1</v>
      </c>
      <c r="I537" s="421">
        <v>84</v>
      </c>
      <c r="J537" s="421">
        <v>38</v>
      </c>
      <c r="K537" s="421">
        <v>3230</v>
      </c>
      <c r="L537" s="421">
        <v>1.325944170771757</v>
      </c>
      <c r="M537" s="421">
        <v>85</v>
      </c>
      <c r="N537" s="421">
        <v>27</v>
      </c>
      <c r="O537" s="421">
        <v>2457</v>
      </c>
      <c r="P537" s="443">
        <v>1.0086206896551724</v>
      </c>
      <c r="Q537" s="422">
        <v>91</v>
      </c>
    </row>
    <row r="538" spans="1:17" ht="14.4" customHeight="1" x14ac:dyDescent="0.3">
      <c r="A538" s="417" t="s">
        <v>1159</v>
      </c>
      <c r="B538" s="418" t="s">
        <v>986</v>
      </c>
      <c r="C538" s="418" t="s">
        <v>987</v>
      </c>
      <c r="D538" s="418" t="s">
        <v>1044</v>
      </c>
      <c r="E538" s="418" t="s">
        <v>1045</v>
      </c>
      <c r="F538" s="421"/>
      <c r="G538" s="421"/>
      <c r="H538" s="421"/>
      <c r="I538" s="421"/>
      <c r="J538" s="421">
        <v>2</v>
      </c>
      <c r="K538" s="421">
        <v>196</v>
      </c>
      <c r="L538" s="421"/>
      <c r="M538" s="421">
        <v>98</v>
      </c>
      <c r="N538" s="421">
        <v>1</v>
      </c>
      <c r="O538" s="421">
        <v>99</v>
      </c>
      <c r="P538" s="443"/>
      <c r="Q538" s="422">
        <v>99</v>
      </c>
    </row>
    <row r="539" spans="1:17" ht="14.4" customHeight="1" x14ac:dyDescent="0.3">
      <c r="A539" s="417" t="s">
        <v>1159</v>
      </c>
      <c r="B539" s="418" t="s">
        <v>986</v>
      </c>
      <c r="C539" s="418" t="s">
        <v>987</v>
      </c>
      <c r="D539" s="418" t="s">
        <v>1046</v>
      </c>
      <c r="E539" s="418" t="s">
        <v>1047</v>
      </c>
      <c r="F539" s="421"/>
      <c r="G539" s="421"/>
      <c r="H539" s="421"/>
      <c r="I539" s="421"/>
      <c r="J539" s="421">
        <v>14</v>
      </c>
      <c r="K539" s="421">
        <v>294</v>
      </c>
      <c r="L539" s="421"/>
      <c r="M539" s="421">
        <v>21</v>
      </c>
      <c r="N539" s="421">
        <v>11</v>
      </c>
      <c r="O539" s="421">
        <v>231</v>
      </c>
      <c r="P539" s="443"/>
      <c r="Q539" s="422">
        <v>21</v>
      </c>
    </row>
    <row r="540" spans="1:17" ht="14.4" customHeight="1" x14ac:dyDescent="0.3">
      <c r="A540" s="417" t="s">
        <v>1159</v>
      </c>
      <c r="B540" s="418" t="s">
        <v>986</v>
      </c>
      <c r="C540" s="418" t="s">
        <v>987</v>
      </c>
      <c r="D540" s="418" t="s">
        <v>1048</v>
      </c>
      <c r="E540" s="418" t="s">
        <v>1049</v>
      </c>
      <c r="F540" s="421">
        <v>2</v>
      </c>
      <c r="G540" s="421">
        <v>972</v>
      </c>
      <c r="H540" s="421">
        <v>1</v>
      </c>
      <c r="I540" s="421">
        <v>486</v>
      </c>
      <c r="J540" s="421">
        <v>46</v>
      </c>
      <c r="K540" s="421">
        <v>22402</v>
      </c>
      <c r="L540" s="421">
        <v>23.047325102880659</v>
      </c>
      <c r="M540" s="421">
        <v>487</v>
      </c>
      <c r="N540" s="421">
        <v>12</v>
      </c>
      <c r="O540" s="421">
        <v>5856</v>
      </c>
      <c r="P540" s="443">
        <v>6.0246913580246915</v>
      </c>
      <c r="Q540" s="422">
        <v>488</v>
      </c>
    </row>
    <row r="541" spans="1:17" ht="14.4" customHeight="1" x14ac:dyDescent="0.3">
      <c r="A541" s="417" t="s">
        <v>1159</v>
      </c>
      <c r="B541" s="418" t="s">
        <v>986</v>
      </c>
      <c r="C541" s="418" t="s">
        <v>987</v>
      </c>
      <c r="D541" s="418" t="s">
        <v>1056</v>
      </c>
      <c r="E541" s="418" t="s">
        <v>1057</v>
      </c>
      <c r="F541" s="421">
        <v>8</v>
      </c>
      <c r="G541" s="421">
        <v>320</v>
      </c>
      <c r="H541" s="421">
        <v>1</v>
      </c>
      <c r="I541" s="421">
        <v>40</v>
      </c>
      <c r="J541" s="421">
        <v>27</v>
      </c>
      <c r="K541" s="421">
        <v>1107</v>
      </c>
      <c r="L541" s="421">
        <v>3.4593750000000001</v>
      </c>
      <c r="M541" s="421">
        <v>41</v>
      </c>
      <c r="N541" s="421">
        <v>14</v>
      </c>
      <c r="O541" s="421">
        <v>574</v>
      </c>
      <c r="P541" s="443">
        <v>1.79375</v>
      </c>
      <c r="Q541" s="422">
        <v>41</v>
      </c>
    </row>
    <row r="542" spans="1:17" ht="14.4" customHeight="1" x14ac:dyDescent="0.3">
      <c r="A542" s="417" t="s">
        <v>1159</v>
      </c>
      <c r="B542" s="418" t="s">
        <v>986</v>
      </c>
      <c r="C542" s="418" t="s">
        <v>987</v>
      </c>
      <c r="D542" s="418" t="s">
        <v>1070</v>
      </c>
      <c r="E542" s="418" t="s">
        <v>1071</v>
      </c>
      <c r="F542" s="421">
        <v>1</v>
      </c>
      <c r="G542" s="421">
        <v>604</v>
      </c>
      <c r="H542" s="421">
        <v>1</v>
      </c>
      <c r="I542" s="421">
        <v>604</v>
      </c>
      <c r="J542" s="421">
        <v>4</v>
      </c>
      <c r="K542" s="421">
        <v>2432</v>
      </c>
      <c r="L542" s="421">
        <v>4.0264900662251657</v>
      </c>
      <c r="M542" s="421">
        <v>608</v>
      </c>
      <c r="N542" s="421">
        <v>4</v>
      </c>
      <c r="O542" s="421">
        <v>2456</v>
      </c>
      <c r="P542" s="443">
        <v>4.0662251655629138</v>
      </c>
      <c r="Q542" s="422">
        <v>614</v>
      </c>
    </row>
    <row r="543" spans="1:17" ht="14.4" customHeight="1" x14ac:dyDescent="0.3">
      <c r="A543" s="417" t="s">
        <v>1159</v>
      </c>
      <c r="B543" s="418" t="s">
        <v>986</v>
      </c>
      <c r="C543" s="418" t="s">
        <v>987</v>
      </c>
      <c r="D543" s="418" t="s">
        <v>1072</v>
      </c>
      <c r="E543" s="418" t="s">
        <v>1073</v>
      </c>
      <c r="F543" s="421"/>
      <c r="G543" s="421"/>
      <c r="H543" s="421"/>
      <c r="I543" s="421"/>
      <c r="J543" s="421">
        <v>1</v>
      </c>
      <c r="K543" s="421">
        <v>962</v>
      </c>
      <c r="L543" s="421"/>
      <c r="M543" s="421">
        <v>962</v>
      </c>
      <c r="N543" s="421">
        <v>1</v>
      </c>
      <c r="O543" s="421">
        <v>963</v>
      </c>
      <c r="P543" s="443"/>
      <c r="Q543" s="422">
        <v>963</v>
      </c>
    </row>
    <row r="544" spans="1:17" ht="14.4" customHeight="1" x14ac:dyDescent="0.3">
      <c r="A544" s="417" t="s">
        <v>1159</v>
      </c>
      <c r="B544" s="418" t="s">
        <v>986</v>
      </c>
      <c r="C544" s="418" t="s">
        <v>987</v>
      </c>
      <c r="D544" s="418" t="s">
        <v>1074</v>
      </c>
      <c r="E544" s="418" t="s">
        <v>1075</v>
      </c>
      <c r="F544" s="421">
        <v>4</v>
      </c>
      <c r="G544" s="421">
        <v>2024</v>
      </c>
      <c r="H544" s="421">
        <v>1</v>
      </c>
      <c r="I544" s="421">
        <v>506</v>
      </c>
      <c r="J544" s="421"/>
      <c r="K544" s="421"/>
      <c r="L544" s="421"/>
      <c r="M544" s="421"/>
      <c r="N544" s="421"/>
      <c r="O544" s="421"/>
      <c r="P544" s="443"/>
      <c r="Q544" s="422"/>
    </row>
    <row r="545" spans="1:17" ht="14.4" customHeight="1" x14ac:dyDescent="0.3">
      <c r="A545" s="417" t="s">
        <v>1160</v>
      </c>
      <c r="B545" s="418" t="s">
        <v>986</v>
      </c>
      <c r="C545" s="418" t="s">
        <v>987</v>
      </c>
      <c r="D545" s="418" t="s">
        <v>988</v>
      </c>
      <c r="E545" s="418" t="s">
        <v>989</v>
      </c>
      <c r="F545" s="421">
        <v>309</v>
      </c>
      <c r="G545" s="421">
        <v>49131</v>
      </c>
      <c r="H545" s="421">
        <v>1</v>
      </c>
      <c r="I545" s="421">
        <v>159</v>
      </c>
      <c r="J545" s="421">
        <v>315</v>
      </c>
      <c r="K545" s="421">
        <v>50715</v>
      </c>
      <c r="L545" s="421">
        <v>1.0322403370580693</v>
      </c>
      <c r="M545" s="421">
        <v>161</v>
      </c>
      <c r="N545" s="421">
        <v>335</v>
      </c>
      <c r="O545" s="421">
        <v>57955</v>
      </c>
      <c r="P545" s="443">
        <v>1.1796014736113656</v>
      </c>
      <c r="Q545" s="422">
        <v>173</v>
      </c>
    </row>
    <row r="546" spans="1:17" ht="14.4" customHeight="1" x14ac:dyDescent="0.3">
      <c r="A546" s="417" t="s">
        <v>1160</v>
      </c>
      <c r="B546" s="418" t="s">
        <v>986</v>
      </c>
      <c r="C546" s="418" t="s">
        <v>987</v>
      </c>
      <c r="D546" s="418" t="s">
        <v>1002</v>
      </c>
      <c r="E546" s="418" t="s">
        <v>1003</v>
      </c>
      <c r="F546" s="421"/>
      <c r="G546" s="421"/>
      <c r="H546" s="421"/>
      <c r="I546" s="421"/>
      <c r="J546" s="421">
        <v>2</v>
      </c>
      <c r="K546" s="421">
        <v>2338</v>
      </c>
      <c r="L546" s="421"/>
      <c r="M546" s="421">
        <v>1169</v>
      </c>
      <c r="N546" s="421">
        <v>5</v>
      </c>
      <c r="O546" s="421">
        <v>5865</v>
      </c>
      <c r="P546" s="443"/>
      <c r="Q546" s="422">
        <v>1173</v>
      </c>
    </row>
    <row r="547" spans="1:17" ht="14.4" customHeight="1" x14ac:dyDescent="0.3">
      <c r="A547" s="417" t="s">
        <v>1160</v>
      </c>
      <c r="B547" s="418" t="s">
        <v>986</v>
      </c>
      <c r="C547" s="418" t="s">
        <v>987</v>
      </c>
      <c r="D547" s="418" t="s">
        <v>1004</v>
      </c>
      <c r="E547" s="418" t="s">
        <v>1005</v>
      </c>
      <c r="F547" s="421">
        <v>67</v>
      </c>
      <c r="G547" s="421">
        <v>2613</v>
      </c>
      <c r="H547" s="421">
        <v>1</v>
      </c>
      <c r="I547" s="421">
        <v>39</v>
      </c>
      <c r="J547" s="421">
        <v>31</v>
      </c>
      <c r="K547" s="421">
        <v>1240</v>
      </c>
      <c r="L547" s="421">
        <v>0.47455032529659397</v>
      </c>
      <c r="M547" s="421">
        <v>40</v>
      </c>
      <c r="N547" s="421">
        <v>25</v>
      </c>
      <c r="O547" s="421">
        <v>1025</v>
      </c>
      <c r="P547" s="443">
        <v>0.39226942212016841</v>
      </c>
      <c r="Q547" s="422">
        <v>41</v>
      </c>
    </row>
    <row r="548" spans="1:17" ht="14.4" customHeight="1" x14ac:dyDescent="0.3">
      <c r="A548" s="417" t="s">
        <v>1160</v>
      </c>
      <c r="B548" s="418" t="s">
        <v>986</v>
      </c>
      <c r="C548" s="418" t="s">
        <v>987</v>
      </c>
      <c r="D548" s="418" t="s">
        <v>1006</v>
      </c>
      <c r="E548" s="418" t="s">
        <v>1007</v>
      </c>
      <c r="F548" s="421">
        <v>6</v>
      </c>
      <c r="G548" s="421">
        <v>2292</v>
      </c>
      <c r="H548" s="421">
        <v>1</v>
      </c>
      <c r="I548" s="421">
        <v>382</v>
      </c>
      <c r="J548" s="421">
        <v>1</v>
      </c>
      <c r="K548" s="421">
        <v>383</v>
      </c>
      <c r="L548" s="421">
        <v>0.16710296684118672</v>
      </c>
      <c r="M548" s="421">
        <v>383</v>
      </c>
      <c r="N548" s="421">
        <v>1</v>
      </c>
      <c r="O548" s="421">
        <v>384</v>
      </c>
      <c r="P548" s="443">
        <v>0.16753926701570682</v>
      </c>
      <c r="Q548" s="422">
        <v>384</v>
      </c>
    </row>
    <row r="549" spans="1:17" ht="14.4" customHeight="1" x14ac:dyDescent="0.3">
      <c r="A549" s="417" t="s">
        <v>1160</v>
      </c>
      <c r="B549" s="418" t="s">
        <v>986</v>
      </c>
      <c r="C549" s="418" t="s">
        <v>987</v>
      </c>
      <c r="D549" s="418" t="s">
        <v>1008</v>
      </c>
      <c r="E549" s="418" t="s">
        <v>1009</v>
      </c>
      <c r="F549" s="421">
        <v>11</v>
      </c>
      <c r="G549" s="421">
        <v>407</v>
      </c>
      <c r="H549" s="421">
        <v>1</v>
      </c>
      <c r="I549" s="421">
        <v>37</v>
      </c>
      <c r="J549" s="421">
        <v>6</v>
      </c>
      <c r="K549" s="421">
        <v>222</v>
      </c>
      <c r="L549" s="421">
        <v>0.54545454545454541</v>
      </c>
      <c r="M549" s="421">
        <v>37</v>
      </c>
      <c r="N549" s="421">
        <v>9</v>
      </c>
      <c r="O549" s="421">
        <v>333</v>
      </c>
      <c r="P549" s="443">
        <v>0.81818181818181823</v>
      </c>
      <c r="Q549" s="422">
        <v>37</v>
      </c>
    </row>
    <row r="550" spans="1:17" ht="14.4" customHeight="1" x14ac:dyDescent="0.3">
      <c r="A550" s="417" t="s">
        <v>1160</v>
      </c>
      <c r="B550" s="418" t="s">
        <v>986</v>
      </c>
      <c r="C550" s="418" t="s">
        <v>987</v>
      </c>
      <c r="D550" s="418" t="s">
        <v>1012</v>
      </c>
      <c r="E550" s="418" t="s">
        <v>1013</v>
      </c>
      <c r="F550" s="421">
        <v>12</v>
      </c>
      <c r="G550" s="421">
        <v>5328</v>
      </c>
      <c r="H550" s="421">
        <v>1</v>
      </c>
      <c r="I550" s="421">
        <v>444</v>
      </c>
      <c r="J550" s="421">
        <v>6</v>
      </c>
      <c r="K550" s="421">
        <v>2670</v>
      </c>
      <c r="L550" s="421">
        <v>0.50112612612612617</v>
      </c>
      <c r="M550" s="421">
        <v>445</v>
      </c>
      <c r="N550" s="421">
        <v>3</v>
      </c>
      <c r="O550" s="421">
        <v>1338</v>
      </c>
      <c r="P550" s="443">
        <v>0.25112612612612611</v>
      </c>
      <c r="Q550" s="422">
        <v>446</v>
      </c>
    </row>
    <row r="551" spans="1:17" ht="14.4" customHeight="1" x14ac:dyDescent="0.3">
      <c r="A551" s="417" t="s">
        <v>1160</v>
      </c>
      <c r="B551" s="418" t="s">
        <v>986</v>
      </c>
      <c r="C551" s="418" t="s">
        <v>987</v>
      </c>
      <c r="D551" s="418" t="s">
        <v>1014</v>
      </c>
      <c r="E551" s="418" t="s">
        <v>1015</v>
      </c>
      <c r="F551" s="421">
        <v>2</v>
      </c>
      <c r="G551" s="421">
        <v>82</v>
      </c>
      <c r="H551" s="421">
        <v>1</v>
      </c>
      <c r="I551" s="421">
        <v>41</v>
      </c>
      <c r="J551" s="421">
        <v>1</v>
      </c>
      <c r="K551" s="421">
        <v>41</v>
      </c>
      <c r="L551" s="421">
        <v>0.5</v>
      </c>
      <c r="M551" s="421">
        <v>41</v>
      </c>
      <c r="N551" s="421">
        <v>1</v>
      </c>
      <c r="O551" s="421">
        <v>42</v>
      </c>
      <c r="P551" s="443">
        <v>0.51219512195121952</v>
      </c>
      <c r="Q551" s="422">
        <v>42</v>
      </c>
    </row>
    <row r="552" spans="1:17" ht="14.4" customHeight="1" x14ac:dyDescent="0.3">
      <c r="A552" s="417" t="s">
        <v>1160</v>
      </c>
      <c r="B552" s="418" t="s">
        <v>986</v>
      </c>
      <c r="C552" s="418" t="s">
        <v>987</v>
      </c>
      <c r="D552" s="418" t="s">
        <v>1016</v>
      </c>
      <c r="E552" s="418" t="s">
        <v>1017</v>
      </c>
      <c r="F552" s="421">
        <v>7</v>
      </c>
      <c r="G552" s="421">
        <v>3430</v>
      </c>
      <c r="H552" s="421">
        <v>1</v>
      </c>
      <c r="I552" s="421">
        <v>490</v>
      </c>
      <c r="J552" s="421">
        <v>1</v>
      </c>
      <c r="K552" s="421">
        <v>491</v>
      </c>
      <c r="L552" s="421">
        <v>0.14314868804664724</v>
      </c>
      <c r="M552" s="421">
        <v>491</v>
      </c>
      <c r="N552" s="421">
        <v>4</v>
      </c>
      <c r="O552" s="421">
        <v>1968</v>
      </c>
      <c r="P552" s="443">
        <v>0.57376093294460639</v>
      </c>
      <c r="Q552" s="422">
        <v>492</v>
      </c>
    </row>
    <row r="553" spans="1:17" ht="14.4" customHeight="1" x14ac:dyDescent="0.3">
      <c r="A553" s="417" t="s">
        <v>1160</v>
      </c>
      <c r="B553" s="418" t="s">
        <v>986</v>
      </c>
      <c r="C553" s="418" t="s">
        <v>987</v>
      </c>
      <c r="D553" s="418" t="s">
        <v>1018</v>
      </c>
      <c r="E553" s="418" t="s">
        <v>1019</v>
      </c>
      <c r="F553" s="421">
        <v>7</v>
      </c>
      <c r="G553" s="421">
        <v>217</v>
      </c>
      <c r="H553" s="421">
        <v>1</v>
      </c>
      <c r="I553" s="421">
        <v>31</v>
      </c>
      <c r="J553" s="421">
        <v>9</v>
      </c>
      <c r="K553" s="421">
        <v>279</v>
      </c>
      <c r="L553" s="421">
        <v>1.2857142857142858</v>
      </c>
      <c r="M553" s="421">
        <v>31</v>
      </c>
      <c r="N553" s="421">
        <v>3</v>
      </c>
      <c r="O553" s="421">
        <v>93</v>
      </c>
      <c r="P553" s="443">
        <v>0.42857142857142855</v>
      </c>
      <c r="Q553" s="422">
        <v>31</v>
      </c>
    </row>
    <row r="554" spans="1:17" ht="14.4" customHeight="1" x14ac:dyDescent="0.3">
      <c r="A554" s="417" t="s">
        <v>1160</v>
      </c>
      <c r="B554" s="418" t="s">
        <v>986</v>
      </c>
      <c r="C554" s="418" t="s">
        <v>987</v>
      </c>
      <c r="D554" s="418" t="s">
        <v>1020</v>
      </c>
      <c r="E554" s="418" t="s">
        <v>1021</v>
      </c>
      <c r="F554" s="421"/>
      <c r="G554" s="421"/>
      <c r="H554" s="421"/>
      <c r="I554" s="421"/>
      <c r="J554" s="421"/>
      <c r="K554" s="421"/>
      <c r="L554" s="421"/>
      <c r="M554" s="421"/>
      <c r="N554" s="421">
        <v>1</v>
      </c>
      <c r="O554" s="421">
        <v>208</v>
      </c>
      <c r="P554" s="443"/>
      <c r="Q554" s="422">
        <v>208</v>
      </c>
    </row>
    <row r="555" spans="1:17" ht="14.4" customHeight="1" x14ac:dyDescent="0.3">
      <c r="A555" s="417" t="s">
        <v>1160</v>
      </c>
      <c r="B555" s="418" t="s">
        <v>986</v>
      </c>
      <c r="C555" s="418" t="s">
        <v>987</v>
      </c>
      <c r="D555" s="418" t="s">
        <v>1022</v>
      </c>
      <c r="E555" s="418" t="s">
        <v>1023</v>
      </c>
      <c r="F555" s="421"/>
      <c r="G555" s="421"/>
      <c r="H555" s="421"/>
      <c r="I555" s="421"/>
      <c r="J555" s="421">
        <v>3</v>
      </c>
      <c r="K555" s="421">
        <v>1140</v>
      </c>
      <c r="L555" s="421"/>
      <c r="M555" s="421">
        <v>380</v>
      </c>
      <c r="N555" s="421">
        <v>1</v>
      </c>
      <c r="O555" s="421">
        <v>384</v>
      </c>
      <c r="P555" s="443"/>
      <c r="Q555" s="422">
        <v>384</v>
      </c>
    </row>
    <row r="556" spans="1:17" ht="14.4" customHeight="1" x14ac:dyDescent="0.3">
      <c r="A556" s="417" t="s">
        <v>1160</v>
      </c>
      <c r="B556" s="418" t="s">
        <v>986</v>
      </c>
      <c r="C556" s="418" t="s">
        <v>987</v>
      </c>
      <c r="D556" s="418" t="s">
        <v>1032</v>
      </c>
      <c r="E556" s="418" t="s">
        <v>1033</v>
      </c>
      <c r="F556" s="421">
        <v>26</v>
      </c>
      <c r="G556" s="421">
        <v>416</v>
      </c>
      <c r="H556" s="421">
        <v>1</v>
      </c>
      <c r="I556" s="421">
        <v>16</v>
      </c>
      <c r="J556" s="421">
        <v>21</v>
      </c>
      <c r="K556" s="421">
        <v>336</v>
      </c>
      <c r="L556" s="421">
        <v>0.80769230769230771</v>
      </c>
      <c r="M556" s="421">
        <v>16</v>
      </c>
      <c r="N556" s="421">
        <v>16</v>
      </c>
      <c r="O556" s="421">
        <v>272</v>
      </c>
      <c r="P556" s="443">
        <v>0.65384615384615385</v>
      </c>
      <c r="Q556" s="422">
        <v>17</v>
      </c>
    </row>
    <row r="557" spans="1:17" ht="14.4" customHeight="1" x14ac:dyDescent="0.3">
      <c r="A557" s="417" t="s">
        <v>1160</v>
      </c>
      <c r="B557" s="418" t="s">
        <v>986</v>
      </c>
      <c r="C557" s="418" t="s">
        <v>987</v>
      </c>
      <c r="D557" s="418" t="s">
        <v>1034</v>
      </c>
      <c r="E557" s="418" t="s">
        <v>1035</v>
      </c>
      <c r="F557" s="421">
        <v>2</v>
      </c>
      <c r="G557" s="421">
        <v>266</v>
      </c>
      <c r="H557" s="421">
        <v>1</v>
      </c>
      <c r="I557" s="421">
        <v>133</v>
      </c>
      <c r="J557" s="421"/>
      <c r="K557" s="421"/>
      <c r="L557" s="421"/>
      <c r="M557" s="421"/>
      <c r="N557" s="421"/>
      <c r="O557" s="421"/>
      <c r="P557" s="443"/>
      <c r="Q557" s="422"/>
    </row>
    <row r="558" spans="1:17" ht="14.4" customHeight="1" x14ac:dyDescent="0.3">
      <c r="A558" s="417" t="s">
        <v>1160</v>
      </c>
      <c r="B558" s="418" t="s">
        <v>986</v>
      </c>
      <c r="C558" s="418" t="s">
        <v>987</v>
      </c>
      <c r="D558" s="418" t="s">
        <v>1036</v>
      </c>
      <c r="E558" s="418" t="s">
        <v>1037</v>
      </c>
      <c r="F558" s="421">
        <v>15</v>
      </c>
      <c r="G558" s="421">
        <v>1530</v>
      </c>
      <c r="H558" s="421">
        <v>1</v>
      </c>
      <c r="I558" s="421">
        <v>102</v>
      </c>
      <c r="J558" s="421">
        <v>40</v>
      </c>
      <c r="K558" s="421">
        <v>4120</v>
      </c>
      <c r="L558" s="421">
        <v>2.6928104575163401</v>
      </c>
      <c r="M558" s="421">
        <v>103</v>
      </c>
      <c r="N558" s="421">
        <v>3</v>
      </c>
      <c r="O558" s="421">
        <v>309</v>
      </c>
      <c r="P558" s="443">
        <v>0.20196078431372549</v>
      </c>
      <c r="Q558" s="422">
        <v>103</v>
      </c>
    </row>
    <row r="559" spans="1:17" ht="14.4" customHeight="1" x14ac:dyDescent="0.3">
      <c r="A559" s="417" t="s">
        <v>1160</v>
      </c>
      <c r="B559" s="418" t="s">
        <v>986</v>
      </c>
      <c r="C559" s="418" t="s">
        <v>987</v>
      </c>
      <c r="D559" s="418" t="s">
        <v>1040</v>
      </c>
      <c r="E559" s="418" t="s">
        <v>1041</v>
      </c>
      <c r="F559" s="421">
        <v>184</v>
      </c>
      <c r="G559" s="421">
        <v>20792</v>
      </c>
      <c r="H559" s="421">
        <v>1</v>
      </c>
      <c r="I559" s="421">
        <v>113</v>
      </c>
      <c r="J559" s="421">
        <v>243</v>
      </c>
      <c r="K559" s="421">
        <v>28188</v>
      </c>
      <c r="L559" s="421">
        <v>1.3557137360523279</v>
      </c>
      <c r="M559" s="421">
        <v>116</v>
      </c>
      <c r="N559" s="421">
        <v>208</v>
      </c>
      <c r="O559" s="421">
        <v>24336</v>
      </c>
      <c r="P559" s="443">
        <v>1.1704501731435168</v>
      </c>
      <c r="Q559" s="422">
        <v>117</v>
      </c>
    </row>
    <row r="560" spans="1:17" ht="14.4" customHeight="1" x14ac:dyDescent="0.3">
      <c r="A560" s="417" t="s">
        <v>1160</v>
      </c>
      <c r="B560" s="418" t="s">
        <v>986</v>
      </c>
      <c r="C560" s="418" t="s">
        <v>987</v>
      </c>
      <c r="D560" s="418" t="s">
        <v>1042</v>
      </c>
      <c r="E560" s="418" t="s">
        <v>1043</v>
      </c>
      <c r="F560" s="421">
        <v>119</v>
      </c>
      <c r="G560" s="421">
        <v>9996</v>
      </c>
      <c r="H560" s="421">
        <v>1</v>
      </c>
      <c r="I560" s="421">
        <v>84</v>
      </c>
      <c r="J560" s="421">
        <v>141</v>
      </c>
      <c r="K560" s="421">
        <v>11985</v>
      </c>
      <c r="L560" s="421">
        <v>1.1989795918367347</v>
      </c>
      <c r="M560" s="421">
        <v>85</v>
      </c>
      <c r="N560" s="421">
        <v>141</v>
      </c>
      <c r="O560" s="421">
        <v>12831</v>
      </c>
      <c r="P560" s="443">
        <v>1.2836134453781514</v>
      </c>
      <c r="Q560" s="422">
        <v>91</v>
      </c>
    </row>
    <row r="561" spans="1:17" ht="14.4" customHeight="1" x14ac:dyDescent="0.3">
      <c r="A561" s="417" t="s">
        <v>1160</v>
      </c>
      <c r="B561" s="418" t="s">
        <v>986</v>
      </c>
      <c r="C561" s="418" t="s">
        <v>987</v>
      </c>
      <c r="D561" s="418" t="s">
        <v>1044</v>
      </c>
      <c r="E561" s="418" t="s">
        <v>1045</v>
      </c>
      <c r="F561" s="421"/>
      <c r="G561" s="421"/>
      <c r="H561" s="421"/>
      <c r="I561" s="421"/>
      <c r="J561" s="421">
        <v>3</v>
      </c>
      <c r="K561" s="421">
        <v>294</v>
      </c>
      <c r="L561" s="421"/>
      <c r="M561" s="421">
        <v>98</v>
      </c>
      <c r="N561" s="421"/>
      <c r="O561" s="421"/>
      <c r="P561" s="443"/>
      <c r="Q561" s="422"/>
    </row>
    <row r="562" spans="1:17" ht="14.4" customHeight="1" x14ac:dyDescent="0.3">
      <c r="A562" s="417" t="s">
        <v>1160</v>
      </c>
      <c r="B562" s="418" t="s">
        <v>986</v>
      </c>
      <c r="C562" s="418" t="s">
        <v>987</v>
      </c>
      <c r="D562" s="418" t="s">
        <v>1046</v>
      </c>
      <c r="E562" s="418" t="s">
        <v>1047</v>
      </c>
      <c r="F562" s="421">
        <v>12</v>
      </c>
      <c r="G562" s="421">
        <v>252</v>
      </c>
      <c r="H562" s="421">
        <v>1</v>
      </c>
      <c r="I562" s="421">
        <v>21</v>
      </c>
      <c r="J562" s="421">
        <v>67</v>
      </c>
      <c r="K562" s="421">
        <v>1407</v>
      </c>
      <c r="L562" s="421">
        <v>5.583333333333333</v>
      </c>
      <c r="M562" s="421">
        <v>21</v>
      </c>
      <c r="N562" s="421">
        <v>24</v>
      </c>
      <c r="O562" s="421">
        <v>504</v>
      </c>
      <c r="P562" s="443">
        <v>2</v>
      </c>
      <c r="Q562" s="422">
        <v>21</v>
      </c>
    </row>
    <row r="563" spans="1:17" ht="14.4" customHeight="1" x14ac:dyDescent="0.3">
      <c r="A563" s="417" t="s">
        <v>1160</v>
      </c>
      <c r="B563" s="418" t="s">
        <v>986</v>
      </c>
      <c r="C563" s="418" t="s">
        <v>987</v>
      </c>
      <c r="D563" s="418" t="s">
        <v>1048</v>
      </c>
      <c r="E563" s="418" t="s">
        <v>1049</v>
      </c>
      <c r="F563" s="421">
        <v>11</v>
      </c>
      <c r="G563" s="421">
        <v>5346</v>
      </c>
      <c r="H563" s="421">
        <v>1</v>
      </c>
      <c r="I563" s="421">
        <v>486</v>
      </c>
      <c r="J563" s="421">
        <v>28</v>
      </c>
      <c r="K563" s="421">
        <v>13636</v>
      </c>
      <c r="L563" s="421">
        <v>2.550692106247662</v>
      </c>
      <c r="M563" s="421">
        <v>487</v>
      </c>
      <c r="N563" s="421">
        <v>22</v>
      </c>
      <c r="O563" s="421">
        <v>10736</v>
      </c>
      <c r="P563" s="443">
        <v>2.0082304526748973</v>
      </c>
      <c r="Q563" s="422">
        <v>488</v>
      </c>
    </row>
    <row r="564" spans="1:17" ht="14.4" customHeight="1" x14ac:dyDescent="0.3">
      <c r="A564" s="417" t="s">
        <v>1160</v>
      </c>
      <c r="B564" s="418" t="s">
        <v>986</v>
      </c>
      <c r="C564" s="418" t="s">
        <v>987</v>
      </c>
      <c r="D564" s="418" t="s">
        <v>1056</v>
      </c>
      <c r="E564" s="418" t="s">
        <v>1057</v>
      </c>
      <c r="F564" s="421">
        <v>30</v>
      </c>
      <c r="G564" s="421">
        <v>1200</v>
      </c>
      <c r="H564" s="421">
        <v>1</v>
      </c>
      <c r="I564" s="421">
        <v>40</v>
      </c>
      <c r="J564" s="421">
        <v>55</v>
      </c>
      <c r="K564" s="421">
        <v>2255</v>
      </c>
      <c r="L564" s="421">
        <v>1.8791666666666667</v>
      </c>
      <c r="M564" s="421">
        <v>41</v>
      </c>
      <c r="N564" s="421">
        <v>23</v>
      </c>
      <c r="O564" s="421">
        <v>943</v>
      </c>
      <c r="P564" s="443">
        <v>0.78583333333333338</v>
      </c>
      <c r="Q564" s="422">
        <v>41</v>
      </c>
    </row>
    <row r="565" spans="1:17" ht="14.4" customHeight="1" x14ac:dyDescent="0.3">
      <c r="A565" s="417" t="s">
        <v>1160</v>
      </c>
      <c r="B565" s="418" t="s">
        <v>986</v>
      </c>
      <c r="C565" s="418" t="s">
        <v>987</v>
      </c>
      <c r="D565" s="418" t="s">
        <v>1064</v>
      </c>
      <c r="E565" s="418" t="s">
        <v>1065</v>
      </c>
      <c r="F565" s="421"/>
      <c r="G565" s="421"/>
      <c r="H565" s="421"/>
      <c r="I565" s="421"/>
      <c r="J565" s="421">
        <v>3</v>
      </c>
      <c r="K565" s="421">
        <v>657</v>
      </c>
      <c r="L565" s="421"/>
      <c r="M565" s="421">
        <v>219</v>
      </c>
      <c r="N565" s="421"/>
      <c r="O565" s="421"/>
      <c r="P565" s="443"/>
      <c r="Q565" s="422"/>
    </row>
    <row r="566" spans="1:17" ht="14.4" customHeight="1" x14ac:dyDescent="0.3">
      <c r="A566" s="417" t="s">
        <v>1160</v>
      </c>
      <c r="B566" s="418" t="s">
        <v>986</v>
      </c>
      <c r="C566" s="418" t="s">
        <v>987</v>
      </c>
      <c r="D566" s="418" t="s">
        <v>1068</v>
      </c>
      <c r="E566" s="418" t="s">
        <v>1069</v>
      </c>
      <c r="F566" s="421"/>
      <c r="G566" s="421"/>
      <c r="H566" s="421"/>
      <c r="I566" s="421"/>
      <c r="J566" s="421">
        <v>1</v>
      </c>
      <c r="K566" s="421">
        <v>2072</v>
      </c>
      <c r="L566" s="421"/>
      <c r="M566" s="421">
        <v>2072</v>
      </c>
      <c r="N566" s="421"/>
      <c r="O566" s="421"/>
      <c r="P566" s="443"/>
      <c r="Q566" s="422"/>
    </row>
    <row r="567" spans="1:17" ht="14.4" customHeight="1" x14ac:dyDescent="0.3">
      <c r="A567" s="417" t="s">
        <v>1160</v>
      </c>
      <c r="B567" s="418" t="s">
        <v>986</v>
      </c>
      <c r="C567" s="418" t="s">
        <v>987</v>
      </c>
      <c r="D567" s="418" t="s">
        <v>1070</v>
      </c>
      <c r="E567" s="418" t="s">
        <v>1071</v>
      </c>
      <c r="F567" s="421">
        <v>4</v>
      </c>
      <c r="G567" s="421">
        <v>2416</v>
      </c>
      <c r="H567" s="421">
        <v>1</v>
      </c>
      <c r="I567" s="421">
        <v>604</v>
      </c>
      <c r="J567" s="421"/>
      <c r="K567" s="421"/>
      <c r="L567" s="421"/>
      <c r="M567" s="421"/>
      <c r="N567" s="421">
        <v>4</v>
      </c>
      <c r="O567" s="421">
        <v>2456</v>
      </c>
      <c r="P567" s="443">
        <v>1.0165562913907285</v>
      </c>
      <c r="Q567" s="422">
        <v>614</v>
      </c>
    </row>
    <row r="568" spans="1:17" ht="14.4" customHeight="1" x14ac:dyDescent="0.3">
      <c r="A568" s="417" t="s">
        <v>1160</v>
      </c>
      <c r="B568" s="418" t="s">
        <v>986</v>
      </c>
      <c r="C568" s="418" t="s">
        <v>987</v>
      </c>
      <c r="D568" s="418" t="s">
        <v>1074</v>
      </c>
      <c r="E568" s="418" t="s">
        <v>1075</v>
      </c>
      <c r="F568" s="421">
        <v>10</v>
      </c>
      <c r="G568" s="421">
        <v>5060</v>
      </c>
      <c r="H568" s="421">
        <v>1</v>
      </c>
      <c r="I568" s="421">
        <v>506</v>
      </c>
      <c r="J568" s="421"/>
      <c r="K568" s="421"/>
      <c r="L568" s="421"/>
      <c r="M568" s="421"/>
      <c r="N568" s="421"/>
      <c r="O568" s="421"/>
      <c r="P568" s="443"/>
      <c r="Q568" s="422"/>
    </row>
    <row r="569" spans="1:17" ht="14.4" customHeight="1" thickBot="1" x14ac:dyDescent="0.35">
      <c r="A569" s="423" t="s">
        <v>1160</v>
      </c>
      <c r="B569" s="424" t="s">
        <v>986</v>
      </c>
      <c r="C569" s="424" t="s">
        <v>987</v>
      </c>
      <c r="D569" s="424" t="s">
        <v>1131</v>
      </c>
      <c r="E569" s="424" t="s">
        <v>1132</v>
      </c>
      <c r="F569" s="427"/>
      <c r="G569" s="427"/>
      <c r="H569" s="427"/>
      <c r="I569" s="427"/>
      <c r="J569" s="427"/>
      <c r="K569" s="427"/>
      <c r="L569" s="427"/>
      <c r="M569" s="427"/>
      <c r="N569" s="427">
        <v>2</v>
      </c>
      <c r="O569" s="427">
        <v>658</v>
      </c>
      <c r="P569" s="435"/>
      <c r="Q569" s="428">
        <v>329</v>
      </c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H23"/>
  <sheetViews>
    <sheetView showGridLines="0" showRowColHeaders="0" zoomScaleNormal="100" workbookViewId="0">
      <selection sqref="A1:H1"/>
    </sheetView>
  </sheetViews>
  <sheetFormatPr defaultRowHeight="14.4" customHeight="1" x14ac:dyDescent="0.3"/>
  <cols>
    <col min="1" max="1" width="34.21875" style="116" bestFit="1" customWidth="1"/>
    <col min="2" max="3" width="9.5546875" style="116" customWidth="1"/>
    <col min="4" max="4" width="2.21875" style="116" customWidth="1"/>
    <col min="5" max="8" width="9.5546875" style="116" customWidth="1"/>
    <col min="9" max="16384" width="8.88671875" style="116"/>
  </cols>
  <sheetData>
    <row r="1" spans="1:8" ht="18.600000000000001" customHeight="1" thickBot="1" x14ac:dyDescent="0.4">
      <c r="A1" s="292" t="s">
        <v>122</v>
      </c>
      <c r="B1" s="292"/>
      <c r="C1" s="292"/>
      <c r="D1" s="292"/>
      <c r="E1" s="292"/>
      <c r="F1" s="292"/>
      <c r="G1" s="293"/>
      <c r="H1" s="293"/>
    </row>
    <row r="2" spans="1:8" ht="14.4" customHeight="1" thickBot="1" x14ac:dyDescent="0.35">
      <c r="A2" s="214" t="s">
        <v>229</v>
      </c>
      <c r="B2" s="97"/>
      <c r="C2" s="97"/>
      <c r="D2" s="97"/>
      <c r="E2" s="97"/>
      <c r="F2" s="97"/>
    </row>
    <row r="3" spans="1:8" ht="14.4" customHeight="1" x14ac:dyDescent="0.3">
      <c r="A3" s="294"/>
      <c r="B3" s="93">
        <v>2014</v>
      </c>
      <c r="C3" s="40">
        <v>2015</v>
      </c>
      <c r="D3" s="7"/>
      <c r="E3" s="298">
        <v>2016</v>
      </c>
      <c r="F3" s="299"/>
      <c r="G3" s="299"/>
      <c r="H3" s="300"/>
    </row>
    <row r="4" spans="1:8" ht="14.4" customHeight="1" thickBot="1" x14ac:dyDescent="0.35">
      <c r="A4" s="295"/>
      <c r="B4" s="296" t="s">
        <v>60</v>
      </c>
      <c r="C4" s="297"/>
      <c r="D4" s="7"/>
      <c r="E4" s="114" t="s">
        <v>60</v>
      </c>
      <c r="F4" s="95" t="s">
        <v>61</v>
      </c>
      <c r="G4" s="95" t="s">
        <v>55</v>
      </c>
      <c r="H4" s="96" t="s">
        <v>62</v>
      </c>
    </row>
    <row r="5" spans="1:8" ht="14.4" customHeight="1" x14ac:dyDescent="0.3">
      <c r="A5" s="98" t="str">
        <f>HYPERLINK("#'Léky Žádanky'!A1","Léky (Kč)")</f>
        <v>Léky (Kč)</v>
      </c>
      <c r="B5" s="27">
        <v>8.1258099999999995</v>
      </c>
      <c r="C5" s="29">
        <v>7.6592199999999995</v>
      </c>
      <c r="D5" s="8"/>
      <c r="E5" s="103">
        <v>4.9420199999999994</v>
      </c>
      <c r="F5" s="28">
        <v>9.9906360873079993</v>
      </c>
      <c r="G5" s="102">
        <f>E5-F5</f>
        <v>-5.0486160873079999</v>
      </c>
      <c r="H5" s="108">
        <f>IF(F5&lt;0.00000001,"",E5/F5)</f>
        <v>0.49466520017462057</v>
      </c>
    </row>
    <row r="6" spans="1:8" ht="14.4" customHeight="1" x14ac:dyDescent="0.3">
      <c r="A6" s="98" t="str">
        <f>HYPERLINK("#'Materiál Žádanky'!A1","Materiál - SZM (Kč)")</f>
        <v>Materiál - SZM (Kč)</v>
      </c>
      <c r="B6" s="10">
        <v>2735.7594300000001</v>
      </c>
      <c r="C6" s="31">
        <v>3081.8248400000002</v>
      </c>
      <c r="D6" s="8"/>
      <c r="E6" s="104">
        <v>3473.85086</v>
      </c>
      <c r="F6" s="30">
        <v>3158.8342040836501</v>
      </c>
      <c r="G6" s="105">
        <f>E6-F6</f>
        <v>315.01665591634992</v>
      </c>
      <c r="H6" s="109">
        <f>IF(F6&lt;0.00000001,"",E6/F6)</f>
        <v>1.0997256062091216</v>
      </c>
    </row>
    <row r="7" spans="1:8" ht="14.4" customHeight="1" x14ac:dyDescent="0.3">
      <c r="A7" s="98" t="str">
        <f>HYPERLINK("#'Osobní náklady'!A1","Osobní náklady (Kč) *")</f>
        <v>Osobní náklady (Kč) *</v>
      </c>
      <c r="B7" s="10">
        <v>2747.5133900000101</v>
      </c>
      <c r="C7" s="31">
        <v>2928.1391199999998</v>
      </c>
      <c r="D7" s="8"/>
      <c r="E7" s="104">
        <v>3082.26062</v>
      </c>
      <c r="F7" s="30">
        <v>3032.50083592585</v>
      </c>
      <c r="G7" s="105">
        <f>E7-F7</f>
        <v>49.759784074150048</v>
      </c>
      <c r="H7" s="109">
        <f>IF(F7&lt;0.00000001,"",E7/F7)</f>
        <v>1.0164088278178356</v>
      </c>
    </row>
    <row r="8" spans="1:8" ht="14.4" customHeight="1" thickBot="1" x14ac:dyDescent="0.35">
      <c r="A8" s="1" t="s">
        <v>63</v>
      </c>
      <c r="B8" s="11">
        <v>155.23100999999997</v>
      </c>
      <c r="C8" s="33">
        <v>424.11847000000989</v>
      </c>
      <c r="D8" s="8"/>
      <c r="E8" s="106">
        <v>472.86444000000029</v>
      </c>
      <c r="F8" s="32">
        <v>436.13891191817584</v>
      </c>
      <c r="G8" s="107">
        <f>E8-F8</f>
        <v>36.72552808182445</v>
      </c>
      <c r="H8" s="110">
        <f>IF(F8&lt;0.00000001,"",E8/F8)</f>
        <v>1.0842060340828166</v>
      </c>
    </row>
    <row r="9" spans="1:8" ht="14.4" customHeight="1" thickBot="1" x14ac:dyDescent="0.35">
      <c r="A9" s="2" t="s">
        <v>64</v>
      </c>
      <c r="B9" s="3">
        <v>5646.6296400000101</v>
      </c>
      <c r="C9" s="35">
        <v>6441.7416500000108</v>
      </c>
      <c r="D9" s="8"/>
      <c r="E9" s="3">
        <v>7033.9179400000003</v>
      </c>
      <c r="F9" s="34">
        <v>6637.4645880149837</v>
      </c>
      <c r="G9" s="34">
        <f>E9-F9</f>
        <v>396.45335198501652</v>
      </c>
      <c r="H9" s="111">
        <f>IF(F9&lt;0.00000001,"",E9/F9)</f>
        <v>1.059729637232397</v>
      </c>
    </row>
    <row r="10" spans="1:8" ht="14.4" customHeight="1" thickBot="1" x14ac:dyDescent="0.35">
      <c r="A10" s="12"/>
      <c r="B10" s="12"/>
      <c r="C10" s="94"/>
      <c r="D10" s="8"/>
      <c r="E10" s="12"/>
      <c r="F10" s="13"/>
    </row>
    <row r="11" spans="1:8" ht="14.4" customHeight="1" x14ac:dyDescent="0.3">
      <c r="A11" s="119" t="str">
        <f>HYPERLINK("#'ZV Vykáz.-A'!A1","Ambulance *")</f>
        <v>Ambulance *</v>
      </c>
      <c r="B11" s="9">
        <f>IF(ISERROR(VLOOKUP("Celkem:",'ZV Vykáz.-A'!A:F,2,0)),0,VLOOKUP("Celkem:",'ZV Vykáz.-A'!A:F,2,0)/1000)</f>
        <v>5034.5169999999998</v>
      </c>
      <c r="C11" s="29">
        <f>IF(ISERROR(VLOOKUP("Celkem:",'ZV Vykáz.-A'!A:F,4,0)),0,VLOOKUP("Celkem:",'ZV Vykáz.-A'!A:F,4,0)/1000)</f>
        <v>5262.549</v>
      </c>
      <c r="D11" s="8"/>
      <c r="E11" s="103">
        <f>IF(ISERROR(VLOOKUP("Celkem:",'ZV Vykáz.-A'!A:F,6,0)),0,VLOOKUP("Celkem:",'ZV Vykáz.-A'!A:F,6,0)/1000)</f>
        <v>6433.0320000000002</v>
      </c>
      <c r="F11" s="28">
        <f>B11</f>
        <v>5034.5169999999998</v>
      </c>
      <c r="G11" s="102">
        <f>E11-F11</f>
        <v>1398.5150000000003</v>
      </c>
      <c r="H11" s="108">
        <f>IF(F11&lt;0.00000001,"",E11/F11)</f>
        <v>1.2777853367065799</v>
      </c>
    </row>
    <row r="12" spans="1:8" ht="14.4" customHeight="1" thickBot="1" x14ac:dyDescent="0.35">
      <c r="A12" s="120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106">
        <f>IF(ISERROR(VLOOKUP("Celkem",#REF!,4,0)),0,VLOOKUP("Celkem",#REF!,4,0)*30)</f>
        <v>0</v>
      </c>
      <c r="F12" s="32">
        <f>B12</f>
        <v>0</v>
      </c>
      <c r="G12" s="107">
        <f>E12-F12</f>
        <v>0</v>
      </c>
      <c r="H12" s="110" t="str">
        <f>IF(F12&lt;0.00000001,"",E12/F12)</f>
        <v/>
      </c>
    </row>
    <row r="13" spans="1:8" ht="14.4" customHeight="1" thickBot="1" x14ac:dyDescent="0.35">
      <c r="A13" s="4" t="s">
        <v>67</v>
      </c>
      <c r="B13" s="5">
        <f>SUM(B11:B12)</f>
        <v>5034.5169999999998</v>
      </c>
      <c r="C13" s="37">
        <f>SUM(C11:C12)</f>
        <v>5262.549</v>
      </c>
      <c r="D13" s="8"/>
      <c r="E13" s="5">
        <f>SUM(E11:E12)</f>
        <v>6433.0320000000002</v>
      </c>
      <c r="F13" s="36">
        <f>SUM(F11:F12)</f>
        <v>5034.5169999999998</v>
      </c>
      <c r="G13" s="36">
        <f>E13-F13</f>
        <v>1398.5150000000003</v>
      </c>
      <c r="H13" s="112">
        <f>IF(F13&lt;0.00000001,"",E13/F13)</f>
        <v>1.2777853367065799</v>
      </c>
    </row>
    <row r="14" spans="1:8" ht="14.4" customHeight="1" thickBot="1" x14ac:dyDescent="0.35">
      <c r="A14" s="12"/>
      <c r="B14" s="12"/>
      <c r="C14" s="94"/>
      <c r="D14" s="8"/>
      <c r="E14" s="12"/>
      <c r="F14" s="13"/>
    </row>
    <row r="15" spans="1:8" ht="14.4" customHeight="1" thickBot="1" x14ac:dyDescent="0.35">
      <c r="A15" s="121" t="str">
        <f>HYPERLINK("#'HI Graf'!A1","Hospodářský index (Výnosy / Náklady) *")</f>
        <v>Hospodářský index (Výnosy / Náklady) *</v>
      </c>
      <c r="B15" s="6">
        <f>IF(B9=0,"",B13/B9)</f>
        <v>0.89159681455573392</v>
      </c>
      <c r="C15" s="39">
        <f>IF(C9=0,"",C13/C9)</f>
        <v>0.81694505708716081</v>
      </c>
      <c r="D15" s="8"/>
      <c r="E15" s="6">
        <f>IF(E9=0,"",E13/E9)</f>
        <v>0.91457308073173227</v>
      </c>
      <c r="F15" s="38">
        <f>IF(F9=0,"",F13/F9)</f>
        <v>0.75850001657118216</v>
      </c>
      <c r="G15" s="38">
        <f>IF(ISERROR(F15-E15),"",E15-F15)</f>
        <v>0.15607306416055011</v>
      </c>
      <c r="H15" s="113">
        <f>IF(ISERROR(F15-E15),"",IF(F15&lt;0.00000001,"",E15/F15))</f>
        <v>1.2057654063952197</v>
      </c>
    </row>
    <row r="17" spans="1:8" ht="14.4" customHeight="1" x14ac:dyDescent="0.3">
      <c r="A17" s="99" t="s">
        <v>139</v>
      </c>
    </row>
    <row r="18" spans="1:8" ht="14.4" customHeight="1" x14ac:dyDescent="0.3">
      <c r="A18" s="255" t="s">
        <v>172</v>
      </c>
      <c r="B18" s="256"/>
      <c r="C18" s="256"/>
      <c r="D18" s="256"/>
      <c r="E18" s="256"/>
      <c r="F18" s="256"/>
      <c r="G18" s="256"/>
      <c r="H18" s="256"/>
    </row>
    <row r="19" spans="1:8" x14ac:dyDescent="0.3">
      <c r="A19" s="254" t="s">
        <v>171</v>
      </c>
      <c r="B19" s="256"/>
      <c r="C19" s="256"/>
      <c r="D19" s="256"/>
      <c r="E19" s="256"/>
      <c r="F19" s="256"/>
      <c r="G19" s="256"/>
      <c r="H19" s="256"/>
    </row>
    <row r="20" spans="1:8" ht="14.4" customHeight="1" x14ac:dyDescent="0.3">
      <c r="A20" s="100" t="s">
        <v>198</v>
      </c>
    </row>
    <row r="21" spans="1:8" ht="14.4" customHeight="1" x14ac:dyDescent="0.3">
      <c r="A21" s="100" t="s">
        <v>140</v>
      </c>
    </row>
    <row r="22" spans="1:8" ht="14.4" customHeight="1" x14ac:dyDescent="0.3">
      <c r="A22" s="101" t="s">
        <v>228</v>
      </c>
    </row>
    <row r="23" spans="1:8" ht="14.4" customHeight="1" x14ac:dyDescent="0.3">
      <c r="A23" s="101" t="s">
        <v>141</v>
      </c>
    </row>
  </sheetData>
  <mergeCells count="4">
    <mergeCell ref="A3:A4"/>
    <mergeCell ref="B4:C4"/>
    <mergeCell ref="E3:H3"/>
    <mergeCell ref="A1:H1"/>
  </mergeCells>
  <conditionalFormatting sqref="F11:F12">
    <cfRule type="dataBar" priority="5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6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45" priority="4" operator="greaterThan">
      <formula>0</formula>
    </cfRule>
  </conditionalFormatting>
  <conditionalFormatting sqref="G11:G13 G15">
    <cfRule type="cellIs" dxfId="44" priority="3" operator="lessThan">
      <formula>0</formula>
    </cfRule>
  </conditionalFormatting>
  <conditionalFormatting sqref="H5:H9">
    <cfRule type="cellIs" dxfId="43" priority="2" operator="greaterThan">
      <formula>1</formula>
    </cfRule>
  </conditionalFormatting>
  <conditionalFormatting sqref="H11:H13 H15">
    <cfRule type="cellIs" dxfId="42" priority="1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16"/>
    <col min="2" max="13" width="8.88671875" style="116" customWidth="1"/>
    <col min="14" max="16384" width="8.88671875" style="116"/>
  </cols>
  <sheetData>
    <row r="1" spans="1:13" ht="18.600000000000001" customHeight="1" thickBot="1" x14ac:dyDescent="0.4">
      <c r="A1" s="292" t="s">
        <v>91</v>
      </c>
      <c r="B1" s="292"/>
      <c r="C1" s="292"/>
      <c r="D1" s="292"/>
      <c r="E1" s="292"/>
      <c r="F1" s="292"/>
      <c r="G1" s="292"/>
      <c r="H1" s="292"/>
      <c r="I1" s="292"/>
      <c r="J1" s="292"/>
      <c r="K1" s="292"/>
      <c r="L1" s="292"/>
      <c r="M1" s="292"/>
    </row>
    <row r="2" spans="1:13" ht="14.4" customHeight="1" x14ac:dyDescent="0.3">
      <c r="A2" s="214" t="s">
        <v>229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</row>
    <row r="3" spans="1:13" ht="14.4" customHeight="1" x14ac:dyDescent="0.3">
      <c r="A3" s="182"/>
      <c r="B3" s="183" t="s">
        <v>69</v>
      </c>
      <c r="C3" s="184" t="s">
        <v>70</v>
      </c>
      <c r="D3" s="184" t="s">
        <v>71</v>
      </c>
      <c r="E3" s="183" t="s">
        <v>72</v>
      </c>
      <c r="F3" s="184" t="s">
        <v>73</v>
      </c>
      <c r="G3" s="184" t="s">
        <v>74</v>
      </c>
      <c r="H3" s="184" t="s">
        <v>75</v>
      </c>
      <c r="I3" s="184" t="s">
        <v>76</v>
      </c>
      <c r="J3" s="184" t="s">
        <v>77</v>
      </c>
      <c r="K3" s="184" t="s">
        <v>78</v>
      </c>
      <c r="L3" s="184" t="s">
        <v>79</v>
      </c>
      <c r="M3" s="184" t="s">
        <v>80</v>
      </c>
    </row>
    <row r="4" spans="1:13" ht="14.4" customHeight="1" x14ac:dyDescent="0.3">
      <c r="A4" s="182" t="s">
        <v>68</v>
      </c>
      <c r="B4" s="185">
        <f>(B10+B8)/B6</f>
        <v>0.91655928559518107</v>
      </c>
      <c r="C4" s="185">
        <f t="shared" ref="C4:M4" si="0">(C10+C8)/C6</f>
        <v>0.91457308073173227</v>
      </c>
      <c r="D4" s="185">
        <f t="shared" si="0"/>
        <v>0.91457308073173227</v>
      </c>
      <c r="E4" s="185">
        <f t="shared" si="0"/>
        <v>0.91457308073173227</v>
      </c>
      <c r="F4" s="185">
        <f t="shared" si="0"/>
        <v>0.91457308073173227</v>
      </c>
      <c r="G4" s="185">
        <f t="shared" si="0"/>
        <v>0.91457308073173227</v>
      </c>
      <c r="H4" s="185">
        <f t="shared" si="0"/>
        <v>0.91457308073173227</v>
      </c>
      <c r="I4" s="185">
        <f t="shared" si="0"/>
        <v>0.91457308073173227</v>
      </c>
      <c r="J4" s="185">
        <f t="shared" si="0"/>
        <v>0.91457308073173227</v>
      </c>
      <c r="K4" s="185">
        <f t="shared" si="0"/>
        <v>0.91457308073173227</v>
      </c>
      <c r="L4" s="185">
        <f t="shared" si="0"/>
        <v>0.91457308073173227</v>
      </c>
      <c r="M4" s="185">
        <f t="shared" si="0"/>
        <v>0.91457308073173227</v>
      </c>
    </row>
    <row r="5" spans="1:13" ht="14.4" customHeight="1" x14ac:dyDescent="0.3">
      <c r="A5" s="186" t="s">
        <v>40</v>
      </c>
      <c r="B5" s="185">
        <f>IF(ISERROR(VLOOKUP($A5,'Man Tab'!$A:$Q,COLUMN()+2,0)),0,VLOOKUP($A5,'Man Tab'!$A:$Q,COLUMN()+2,0))</f>
        <v>3535.3065000000001</v>
      </c>
      <c r="C5" s="185">
        <f>IF(ISERROR(VLOOKUP($A5,'Man Tab'!$A:$Q,COLUMN()+2,0)),0,VLOOKUP($A5,'Man Tab'!$A:$Q,COLUMN()+2,0))</f>
        <v>3498.6114400000001</v>
      </c>
      <c r="D5" s="185">
        <f>IF(ISERROR(VLOOKUP($A5,'Man Tab'!$A:$Q,COLUMN()+2,0)),0,VLOOKUP($A5,'Man Tab'!$A:$Q,COLUMN()+2,0))</f>
        <v>0</v>
      </c>
      <c r="E5" s="185">
        <f>IF(ISERROR(VLOOKUP($A5,'Man Tab'!$A:$Q,COLUMN()+2,0)),0,VLOOKUP($A5,'Man Tab'!$A:$Q,COLUMN()+2,0))</f>
        <v>0</v>
      </c>
      <c r="F5" s="185">
        <f>IF(ISERROR(VLOOKUP($A5,'Man Tab'!$A:$Q,COLUMN()+2,0)),0,VLOOKUP($A5,'Man Tab'!$A:$Q,COLUMN()+2,0))</f>
        <v>0</v>
      </c>
      <c r="G5" s="185">
        <f>IF(ISERROR(VLOOKUP($A5,'Man Tab'!$A:$Q,COLUMN()+2,0)),0,VLOOKUP($A5,'Man Tab'!$A:$Q,COLUMN()+2,0))</f>
        <v>0</v>
      </c>
      <c r="H5" s="185">
        <f>IF(ISERROR(VLOOKUP($A5,'Man Tab'!$A:$Q,COLUMN()+2,0)),0,VLOOKUP($A5,'Man Tab'!$A:$Q,COLUMN()+2,0))</f>
        <v>0</v>
      </c>
      <c r="I5" s="185">
        <f>IF(ISERROR(VLOOKUP($A5,'Man Tab'!$A:$Q,COLUMN()+2,0)),0,VLOOKUP($A5,'Man Tab'!$A:$Q,COLUMN()+2,0))</f>
        <v>0</v>
      </c>
      <c r="J5" s="185">
        <f>IF(ISERROR(VLOOKUP($A5,'Man Tab'!$A:$Q,COLUMN()+2,0)),0,VLOOKUP($A5,'Man Tab'!$A:$Q,COLUMN()+2,0))</f>
        <v>0</v>
      </c>
      <c r="K5" s="185">
        <f>IF(ISERROR(VLOOKUP($A5,'Man Tab'!$A:$Q,COLUMN()+2,0)),0,VLOOKUP($A5,'Man Tab'!$A:$Q,COLUMN()+2,0))</f>
        <v>0</v>
      </c>
      <c r="L5" s="185">
        <f>IF(ISERROR(VLOOKUP($A5,'Man Tab'!$A:$Q,COLUMN()+2,0)),0,VLOOKUP($A5,'Man Tab'!$A:$Q,COLUMN()+2,0))</f>
        <v>0</v>
      </c>
      <c r="M5" s="185">
        <f>IF(ISERROR(VLOOKUP($A5,'Man Tab'!$A:$Q,COLUMN()+2,0)),0,VLOOKUP($A5,'Man Tab'!$A:$Q,COLUMN()+2,0))</f>
        <v>0</v>
      </c>
    </row>
    <row r="6" spans="1:13" ht="14.4" customHeight="1" x14ac:dyDescent="0.3">
      <c r="A6" s="186" t="s">
        <v>64</v>
      </c>
      <c r="B6" s="187">
        <f>B5</f>
        <v>3535.3065000000001</v>
      </c>
      <c r="C6" s="187">
        <f t="shared" ref="C6:M6" si="1">C5+B6</f>
        <v>7033.9179400000003</v>
      </c>
      <c r="D6" s="187">
        <f t="shared" si="1"/>
        <v>7033.9179400000003</v>
      </c>
      <c r="E6" s="187">
        <f t="shared" si="1"/>
        <v>7033.9179400000003</v>
      </c>
      <c r="F6" s="187">
        <f t="shared" si="1"/>
        <v>7033.9179400000003</v>
      </c>
      <c r="G6" s="187">
        <f t="shared" si="1"/>
        <v>7033.9179400000003</v>
      </c>
      <c r="H6" s="187">
        <f t="shared" si="1"/>
        <v>7033.9179400000003</v>
      </c>
      <c r="I6" s="187">
        <f t="shared" si="1"/>
        <v>7033.9179400000003</v>
      </c>
      <c r="J6" s="187">
        <f t="shared" si="1"/>
        <v>7033.9179400000003</v>
      </c>
      <c r="K6" s="187">
        <f t="shared" si="1"/>
        <v>7033.9179400000003</v>
      </c>
      <c r="L6" s="187">
        <f t="shared" si="1"/>
        <v>7033.9179400000003</v>
      </c>
      <c r="M6" s="187">
        <f t="shared" si="1"/>
        <v>7033.9179400000003</v>
      </c>
    </row>
    <row r="7" spans="1:13" ht="14.4" customHeight="1" x14ac:dyDescent="0.3">
      <c r="A7" s="186" t="s">
        <v>89</v>
      </c>
      <c r="B7" s="186"/>
      <c r="C7" s="186"/>
      <c r="D7" s="186"/>
      <c r="E7" s="186"/>
      <c r="F7" s="186"/>
      <c r="G7" s="186"/>
      <c r="H7" s="186"/>
      <c r="I7" s="186"/>
      <c r="J7" s="186"/>
      <c r="K7" s="186"/>
      <c r="L7" s="186"/>
      <c r="M7" s="186"/>
    </row>
    <row r="8" spans="1:13" ht="14.4" customHeight="1" x14ac:dyDescent="0.3">
      <c r="A8" s="186" t="s">
        <v>65</v>
      </c>
      <c r="B8" s="187">
        <f>B7*30</f>
        <v>0</v>
      </c>
      <c r="C8" s="187">
        <f t="shared" ref="C8:M8" si="2">C7*30</f>
        <v>0</v>
      </c>
      <c r="D8" s="187">
        <f t="shared" si="2"/>
        <v>0</v>
      </c>
      <c r="E8" s="187">
        <f t="shared" si="2"/>
        <v>0</v>
      </c>
      <c r="F8" s="187">
        <f t="shared" si="2"/>
        <v>0</v>
      </c>
      <c r="G8" s="187">
        <f t="shared" si="2"/>
        <v>0</v>
      </c>
      <c r="H8" s="187">
        <f t="shared" si="2"/>
        <v>0</v>
      </c>
      <c r="I8" s="187">
        <f t="shared" si="2"/>
        <v>0</v>
      </c>
      <c r="J8" s="187">
        <f t="shared" si="2"/>
        <v>0</v>
      </c>
      <c r="K8" s="187">
        <f t="shared" si="2"/>
        <v>0</v>
      </c>
      <c r="L8" s="187">
        <f t="shared" si="2"/>
        <v>0</v>
      </c>
      <c r="M8" s="187">
        <f t="shared" si="2"/>
        <v>0</v>
      </c>
    </row>
    <row r="9" spans="1:13" ht="14.4" customHeight="1" x14ac:dyDescent="0.3">
      <c r="A9" s="186" t="s">
        <v>90</v>
      </c>
      <c r="B9" s="186">
        <v>3240318</v>
      </c>
      <c r="C9" s="186">
        <v>3192714</v>
      </c>
      <c r="D9" s="186">
        <v>0</v>
      </c>
      <c r="E9" s="186">
        <v>0</v>
      </c>
      <c r="F9" s="186">
        <v>0</v>
      </c>
      <c r="G9" s="186">
        <v>0</v>
      </c>
      <c r="H9" s="186">
        <v>0</v>
      </c>
      <c r="I9" s="186">
        <v>0</v>
      </c>
      <c r="J9" s="186">
        <v>0</v>
      </c>
      <c r="K9" s="186">
        <v>0</v>
      </c>
      <c r="L9" s="186">
        <v>0</v>
      </c>
      <c r="M9" s="186">
        <v>0</v>
      </c>
    </row>
    <row r="10" spans="1:13" ht="14.4" customHeight="1" x14ac:dyDescent="0.3">
      <c r="A10" s="186" t="s">
        <v>66</v>
      </c>
      <c r="B10" s="187">
        <f>B9/1000</f>
        <v>3240.3180000000002</v>
      </c>
      <c r="C10" s="187">
        <f t="shared" ref="C10:M10" si="3">C9/1000+B10</f>
        <v>6433.0320000000002</v>
      </c>
      <c r="D10" s="187">
        <f t="shared" si="3"/>
        <v>6433.0320000000002</v>
      </c>
      <c r="E10" s="187">
        <f t="shared" si="3"/>
        <v>6433.0320000000002</v>
      </c>
      <c r="F10" s="187">
        <f t="shared" si="3"/>
        <v>6433.0320000000002</v>
      </c>
      <c r="G10" s="187">
        <f t="shared" si="3"/>
        <v>6433.0320000000002</v>
      </c>
      <c r="H10" s="187">
        <f t="shared" si="3"/>
        <v>6433.0320000000002</v>
      </c>
      <c r="I10" s="187">
        <f t="shared" si="3"/>
        <v>6433.0320000000002</v>
      </c>
      <c r="J10" s="187">
        <f t="shared" si="3"/>
        <v>6433.0320000000002</v>
      </c>
      <c r="K10" s="187">
        <f t="shared" si="3"/>
        <v>6433.0320000000002</v>
      </c>
      <c r="L10" s="187">
        <f t="shared" si="3"/>
        <v>6433.0320000000002</v>
      </c>
      <c r="M10" s="187">
        <f t="shared" si="3"/>
        <v>6433.0320000000002</v>
      </c>
    </row>
    <row r="11" spans="1:13" ht="14.4" customHeight="1" x14ac:dyDescent="0.3">
      <c r="A11" s="182"/>
      <c r="B11" s="182" t="s">
        <v>81</v>
      </c>
      <c r="C11" s="182">
        <f ca="1">IF(MONTH(TODAY())=1,12,MONTH(TODAY())-1)</f>
        <v>2</v>
      </c>
      <c r="D11" s="182"/>
      <c r="E11" s="182"/>
      <c r="F11" s="182"/>
      <c r="G11" s="182"/>
      <c r="H11" s="182"/>
      <c r="I11" s="182"/>
      <c r="J11" s="182"/>
      <c r="K11" s="182"/>
      <c r="L11" s="182"/>
      <c r="M11" s="182"/>
    </row>
    <row r="12" spans="1:13" ht="14.4" customHeight="1" x14ac:dyDescent="0.3">
      <c r="A12" s="182">
        <v>0</v>
      </c>
      <c r="B12" s="185">
        <f>IF(ISERROR(HI!F15),#REF!,HI!F15)</f>
        <v>0.75850001657118216</v>
      </c>
      <c r="C12" s="182"/>
      <c r="D12" s="182"/>
      <c r="E12" s="182"/>
      <c r="F12" s="182"/>
      <c r="G12" s="182"/>
      <c r="H12" s="182"/>
      <c r="I12" s="182"/>
      <c r="J12" s="182"/>
      <c r="K12" s="182"/>
      <c r="L12" s="182"/>
      <c r="M12" s="182"/>
    </row>
    <row r="13" spans="1:13" ht="14.4" customHeight="1" x14ac:dyDescent="0.3">
      <c r="A13" s="182">
        <v>1</v>
      </c>
      <c r="B13" s="185">
        <f>IF(ISERROR(HI!F15),#REF!,HI!F15)</f>
        <v>0.75850001657118216</v>
      </c>
      <c r="C13" s="182"/>
      <c r="D13" s="182"/>
      <c r="E13" s="182"/>
      <c r="F13" s="182"/>
      <c r="G13" s="182"/>
      <c r="H13" s="182"/>
      <c r="I13" s="182"/>
      <c r="J13" s="182"/>
      <c r="K13" s="182"/>
      <c r="L13" s="182"/>
      <c r="M13" s="182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16" bestFit="1" customWidth="1"/>
    <col min="2" max="2" width="12.77734375" style="116" bestFit="1" customWidth="1"/>
    <col min="3" max="3" width="13.6640625" style="116" bestFit="1" customWidth="1"/>
    <col min="4" max="15" width="7.77734375" style="116" bestFit="1" customWidth="1"/>
    <col min="16" max="16" width="8.88671875" style="116" customWidth="1"/>
    <col min="17" max="17" width="6.6640625" style="116" bestFit="1" customWidth="1"/>
    <col min="18" max="16384" width="8.88671875" style="116"/>
  </cols>
  <sheetData>
    <row r="1" spans="1:17" s="188" customFormat="1" ht="18.600000000000001" customHeight="1" thickBot="1" x14ac:dyDescent="0.4">
      <c r="A1" s="301" t="s">
        <v>231</v>
      </c>
      <c r="B1" s="301"/>
      <c r="C1" s="301"/>
      <c r="D1" s="301"/>
      <c r="E1" s="301"/>
      <c r="F1" s="301"/>
      <c r="G1" s="301"/>
      <c r="H1" s="292"/>
      <c r="I1" s="292"/>
      <c r="J1" s="292"/>
      <c r="K1" s="292"/>
      <c r="L1" s="292"/>
      <c r="M1" s="292"/>
      <c r="N1" s="292"/>
      <c r="O1" s="292"/>
      <c r="P1" s="292"/>
      <c r="Q1" s="292"/>
    </row>
    <row r="2" spans="1:17" s="188" customFormat="1" ht="14.4" customHeight="1" thickBot="1" x14ac:dyDescent="0.3">
      <c r="A2" s="214" t="s">
        <v>229</v>
      </c>
      <c r="B2" s="189"/>
      <c r="C2" s="189"/>
      <c r="D2" s="189"/>
      <c r="E2" s="189"/>
      <c r="F2" s="189"/>
      <c r="G2" s="189"/>
      <c r="H2" s="189"/>
      <c r="I2" s="189"/>
      <c r="J2" s="189"/>
      <c r="K2" s="189"/>
      <c r="L2" s="189"/>
      <c r="M2" s="189"/>
      <c r="N2" s="189"/>
      <c r="O2" s="189"/>
      <c r="P2" s="189"/>
      <c r="Q2" s="189"/>
    </row>
    <row r="3" spans="1:17" ht="14.4" customHeight="1" x14ac:dyDescent="0.3">
      <c r="A3" s="68"/>
      <c r="B3" s="302" t="s">
        <v>16</v>
      </c>
      <c r="C3" s="303"/>
      <c r="D3" s="303"/>
      <c r="E3" s="303"/>
      <c r="F3" s="303"/>
      <c r="G3" s="303"/>
      <c r="H3" s="303"/>
      <c r="I3" s="303"/>
      <c r="J3" s="303"/>
      <c r="K3" s="303"/>
      <c r="L3" s="303"/>
      <c r="M3" s="303"/>
      <c r="N3" s="303"/>
      <c r="O3" s="303"/>
      <c r="P3" s="124"/>
      <c r="Q3" s="126"/>
    </row>
    <row r="4" spans="1:17" ht="14.4" customHeight="1" x14ac:dyDescent="0.3">
      <c r="A4" s="69"/>
      <c r="B4" s="20">
        <v>2016</v>
      </c>
      <c r="C4" s="125" t="s">
        <v>17</v>
      </c>
      <c r="D4" s="115" t="s">
        <v>208</v>
      </c>
      <c r="E4" s="115" t="s">
        <v>209</v>
      </c>
      <c r="F4" s="115" t="s">
        <v>210</v>
      </c>
      <c r="G4" s="115" t="s">
        <v>211</v>
      </c>
      <c r="H4" s="115" t="s">
        <v>212</v>
      </c>
      <c r="I4" s="115" t="s">
        <v>213</v>
      </c>
      <c r="J4" s="115" t="s">
        <v>214</v>
      </c>
      <c r="K4" s="115" t="s">
        <v>215</v>
      </c>
      <c r="L4" s="115" t="s">
        <v>216</v>
      </c>
      <c r="M4" s="115" t="s">
        <v>217</v>
      </c>
      <c r="N4" s="115" t="s">
        <v>218</v>
      </c>
      <c r="O4" s="115" t="s">
        <v>219</v>
      </c>
      <c r="P4" s="304" t="s">
        <v>3</v>
      </c>
      <c r="Q4" s="305"/>
    </row>
    <row r="5" spans="1:17" ht="14.4" customHeight="1" thickBot="1" x14ac:dyDescent="0.35">
      <c r="A5" s="70"/>
      <c r="B5" s="21" t="s">
        <v>18</v>
      </c>
      <c r="C5" s="22" t="s">
        <v>18</v>
      </c>
      <c r="D5" s="22" t="s">
        <v>19</v>
      </c>
      <c r="E5" s="22" t="s">
        <v>19</v>
      </c>
      <c r="F5" s="22" t="s">
        <v>19</v>
      </c>
      <c r="G5" s="22" t="s">
        <v>19</v>
      </c>
      <c r="H5" s="22" t="s">
        <v>19</v>
      </c>
      <c r="I5" s="22" t="s">
        <v>19</v>
      </c>
      <c r="J5" s="22" t="s">
        <v>19</v>
      </c>
      <c r="K5" s="22" t="s">
        <v>19</v>
      </c>
      <c r="L5" s="22" t="s">
        <v>19</v>
      </c>
      <c r="M5" s="22" t="s">
        <v>19</v>
      </c>
      <c r="N5" s="22" t="s">
        <v>19</v>
      </c>
      <c r="O5" s="22" t="s">
        <v>19</v>
      </c>
      <c r="P5" s="22" t="s">
        <v>19</v>
      </c>
      <c r="Q5" s="23" t="s">
        <v>20</v>
      </c>
    </row>
    <row r="6" spans="1:17" ht="14.4" customHeight="1" x14ac:dyDescent="0.3">
      <c r="A6" s="14" t="s">
        <v>21</v>
      </c>
      <c r="B6" s="48">
        <v>0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0</v>
      </c>
      <c r="O6" s="49">
        <v>0</v>
      </c>
      <c r="P6" s="50">
        <v>0</v>
      </c>
      <c r="Q6" s="80" t="s">
        <v>230</v>
      </c>
    </row>
    <row r="7" spans="1:17" ht="14.4" customHeight="1" x14ac:dyDescent="0.3">
      <c r="A7" s="15" t="s">
        <v>22</v>
      </c>
      <c r="B7" s="51">
        <v>59.943816523848</v>
      </c>
      <c r="C7" s="52">
        <v>4.9953180436539997</v>
      </c>
      <c r="D7" s="52">
        <v>2.9134699999999998</v>
      </c>
      <c r="E7" s="52">
        <v>2.0285500000000001</v>
      </c>
      <c r="F7" s="52">
        <v>0</v>
      </c>
      <c r="G7" s="52">
        <v>0</v>
      </c>
      <c r="H7" s="52">
        <v>0</v>
      </c>
      <c r="I7" s="52">
        <v>0</v>
      </c>
      <c r="J7" s="52">
        <v>0</v>
      </c>
      <c r="K7" s="52">
        <v>0</v>
      </c>
      <c r="L7" s="52">
        <v>0</v>
      </c>
      <c r="M7" s="52">
        <v>0</v>
      </c>
      <c r="N7" s="52">
        <v>0</v>
      </c>
      <c r="O7" s="52">
        <v>0</v>
      </c>
      <c r="P7" s="53">
        <v>4.9420200000000003</v>
      </c>
      <c r="Q7" s="81">
        <v>0.49466520017400001</v>
      </c>
    </row>
    <row r="8" spans="1:17" ht="14.4" customHeight="1" x14ac:dyDescent="0.3">
      <c r="A8" s="15" t="s">
        <v>23</v>
      </c>
      <c r="B8" s="51">
        <v>0</v>
      </c>
      <c r="C8" s="52">
        <v>0</v>
      </c>
      <c r="D8" s="52">
        <v>0</v>
      </c>
      <c r="E8" s="52">
        <v>0</v>
      </c>
      <c r="F8" s="52">
        <v>0</v>
      </c>
      <c r="G8" s="52">
        <v>0</v>
      </c>
      <c r="H8" s="52">
        <v>0</v>
      </c>
      <c r="I8" s="52">
        <v>0</v>
      </c>
      <c r="J8" s="52">
        <v>0</v>
      </c>
      <c r="K8" s="52">
        <v>0</v>
      </c>
      <c r="L8" s="52">
        <v>0</v>
      </c>
      <c r="M8" s="52">
        <v>0</v>
      </c>
      <c r="N8" s="52">
        <v>0</v>
      </c>
      <c r="O8" s="52">
        <v>0</v>
      </c>
      <c r="P8" s="53">
        <v>0</v>
      </c>
      <c r="Q8" s="81" t="s">
        <v>230</v>
      </c>
    </row>
    <row r="9" spans="1:17" ht="14.4" customHeight="1" x14ac:dyDescent="0.3">
      <c r="A9" s="15" t="s">
        <v>24</v>
      </c>
      <c r="B9" s="51">
        <v>18953.0052245019</v>
      </c>
      <c r="C9" s="52">
        <v>1579.41710204183</v>
      </c>
      <c r="D9" s="52">
        <v>1700.2692</v>
      </c>
      <c r="E9" s="52">
        <v>1773.5816600000001</v>
      </c>
      <c r="F9" s="52">
        <v>0</v>
      </c>
      <c r="G9" s="52">
        <v>0</v>
      </c>
      <c r="H9" s="52">
        <v>0</v>
      </c>
      <c r="I9" s="52">
        <v>0</v>
      </c>
      <c r="J9" s="52">
        <v>0</v>
      </c>
      <c r="K9" s="52">
        <v>0</v>
      </c>
      <c r="L9" s="52">
        <v>0</v>
      </c>
      <c r="M9" s="52">
        <v>0</v>
      </c>
      <c r="N9" s="52">
        <v>0</v>
      </c>
      <c r="O9" s="52">
        <v>0</v>
      </c>
      <c r="P9" s="53">
        <v>3473.85086</v>
      </c>
      <c r="Q9" s="81">
        <v>1.099725606209</v>
      </c>
    </row>
    <row r="10" spans="1:17" ht="14.4" customHeight="1" x14ac:dyDescent="0.3">
      <c r="A10" s="15" t="s">
        <v>25</v>
      </c>
      <c r="B10" s="51">
        <v>0</v>
      </c>
      <c r="C10" s="52">
        <v>0</v>
      </c>
      <c r="D10" s="52">
        <v>0</v>
      </c>
      <c r="E10" s="52">
        <v>0</v>
      </c>
      <c r="F10" s="52">
        <v>0</v>
      </c>
      <c r="G10" s="52">
        <v>0</v>
      </c>
      <c r="H10" s="52">
        <v>0</v>
      </c>
      <c r="I10" s="52">
        <v>0</v>
      </c>
      <c r="J10" s="52">
        <v>0</v>
      </c>
      <c r="K10" s="52">
        <v>0</v>
      </c>
      <c r="L10" s="52">
        <v>0</v>
      </c>
      <c r="M10" s="52">
        <v>0</v>
      </c>
      <c r="N10" s="52">
        <v>0</v>
      </c>
      <c r="O10" s="52">
        <v>0</v>
      </c>
      <c r="P10" s="53">
        <v>0</v>
      </c>
      <c r="Q10" s="81" t="s">
        <v>230</v>
      </c>
    </row>
    <row r="11" spans="1:17" ht="14.4" customHeight="1" x14ac:dyDescent="0.3">
      <c r="A11" s="15" t="s">
        <v>26</v>
      </c>
      <c r="B11" s="51">
        <v>210.770183964729</v>
      </c>
      <c r="C11" s="52">
        <v>17.56418199706</v>
      </c>
      <c r="D11" s="52">
        <v>9.5602499999999999</v>
      </c>
      <c r="E11" s="52">
        <v>63.069209999999998</v>
      </c>
      <c r="F11" s="52">
        <v>0</v>
      </c>
      <c r="G11" s="52">
        <v>0</v>
      </c>
      <c r="H11" s="52">
        <v>0</v>
      </c>
      <c r="I11" s="52">
        <v>0</v>
      </c>
      <c r="J11" s="52">
        <v>0</v>
      </c>
      <c r="K11" s="52">
        <v>0</v>
      </c>
      <c r="L11" s="52">
        <v>0</v>
      </c>
      <c r="M11" s="52">
        <v>0</v>
      </c>
      <c r="N11" s="52">
        <v>0</v>
      </c>
      <c r="O11" s="52">
        <v>0</v>
      </c>
      <c r="P11" s="53">
        <v>72.629459999999995</v>
      </c>
      <c r="Q11" s="81">
        <v>2.067544620414</v>
      </c>
    </row>
    <row r="12" spans="1:17" ht="14.4" customHeight="1" x14ac:dyDescent="0.3">
      <c r="A12" s="15" t="s">
        <v>27</v>
      </c>
      <c r="B12" s="51">
        <v>1.0275206441789999</v>
      </c>
      <c r="C12" s="52">
        <v>8.5626720347999993E-2</v>
      </c>
      <c r="D12" s="52">
        <v>0</v>
      </c>
      <c r="E12" s="52">
        <v>0</v>
      </c>
      <c r="F12" s="52">
        <v>0</v>
      </c>
      <c r="G12" s="52">
        <v>0</v>
      </c>
      <c r="H12" s="52">
        <v>0</v>
      </c>
      <c r="I12" s="52">
        <v>0</v>
      </c>
      <c r="J12" s="52">
        <v>0</v>
      </c>
      <c r="K12" s="52">
        <v>0</v>
      </c>
      <c r="L12" s="52">
        <v>0</v>
      </c>
      <c r="M12" s="52">
        <v>0</v>
      </c>
      <c r="N12" s="52">
        <v>0</v>
      </c>
      <c r="O12" s="52">
        <v>0</v>
      </c>
      <c r="P12" s="53">
        <v>0</v>
      </c>
      <c r="Q12" s="81">
        <v>0</v>
      </c>
    </row>
    <row r="13" spans="1:17" ht="14.4" customHeight="1" x14ac:dyDescent="0.3">
      <c r="A13" s="15" t="s">
        <v>28</v>
      </c>
      <c r="B13" s="51">
        <v>3.7779387340859998</v>
      </c>
      <c r="C13" s="52">
        <v>0.31482822783999997</v>
      </c>
      <c r="D13" s="52">
        <v>0.65700000000000003</v>
      </c>
      <c r="E13" s="52">
        <v>1.40205</v>
      </c>
      <c r="F13" s="52">
        <v>0</v>
      </c>
      <c r="G13" s="52">
        <v>0</v>
      </c>
      <c r="H13" s="52">
        <v>0</v>
      </c>
      <c r="I13" s="52">
        <v>0</v>
      </c>
      <c r="J13" s="52">
        <v>0</v>
      </c>
      <c r="K13" s="52">
        <v>0</v>
      </c>
      <c r="L13" s="52">
        <v>0</v>
      </c>
      <c r="M13" s="52">
        <v>0</v>
      </c>
      <c r="N13" s="52">
        <v>0</v>
      </c>
      <c r="O13" s="52">
        <v>0</v>
      </c>
      <c r="P13" s="53">
        <v>2.05905</v>
      </c>
      <c r="Q13" s="81">
        <v>3.2701165555</v>
      </c>
    </row>
    <row r="14" spans="1:17" ht="14.4" customHeight="1" x14ac:dyDescent="0.3">
      <c r="A14" s="15" t="s">
        <v>29</v>
      </c>
      <c r="B14" s="51">
        <v>0</v>
      </c>
      <c r="C14" s="52">
        <v>0</v>
      </c>
      <c r="D14" s="52">
        <v>0</v>
      </c>
      <c r="E14" s="52">
        <v>0</v>
      </c>
      <c r="F14" s="52">
        <v>0</v>
      </c>
      <c r="G14" s="52">
        <v>0</v>
      </c>
      <c r="H14" s="52">
        <v>0</v>
      </c>
      <c r="I14" s="52">
        <v>0</v>
      </c>
      <c r="J14" s="52">
        <v>0</v>
      </c>
      <c r="K14" s="52">
        <v>0</v>
      </c>
      <c r="L14" s="52">
        <v>0</v>
      </c>
      <c r="M14" s="52">
        <v>0</v>
      </c>
      <c r="N14" s="52">
        <v>0</v>
      </c>
      <c r="O14" s="52">
        <v>0</v>
      </c>
      <c r="P14" s="53">
        <v>0</v>
      </c>
      <c r="Q14" s="81" t="s">
        <v>230</v>
      </c>
    </row>
    <row r="15" spans="1:17" ht="14.4" customHeight="1" x14ac:dyDescent="0.3">
      <c r="A15" s="15" t="s">
        <v>30</v>
      </c>
      <c r="B15" s="51">
        <v>0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3">
        <v>0</v>
      </c>
      <c r="Q15" s="81" t="s">
        <v>230</v>
      </c>
    </row>
    <row r="16" spans="1:17" ht="14.4" customHeight="1" x14ac:dyDescent="0.3">
      <c r="A16" s="15" t="s">
        <v>31</v>
      </c>
      <c r="B16" s="51">
        <v>0</v>
      </c>
      <c r="C16" s="52">
        <v>0</v>
      </c>
      <c r="D16" s="52">
        <v>0</v>
      </c>
      <c r="E16" s="52">
        <v>0</v>
      </c>
      <c r="F16" s="52">
        <v>0</v>
      </c>
      <c r="G16" s="52">
        <v>0</v>
      </c>
      <c r="H16" s="52">
        <v>0</v>
      </c>
      <c r="I16" s="52">
        <v>0</v>
      </c>
      <c r="J16" s="52">
        <v>0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53">
        <v>0</v>
      </c>
      <c r="Q16" s="81" t="s">
        <v>230</v>
      </c>
    </row>
    <row r="17" spans="1:17" ht="14.4" customHeight="1" x14ac:dyDescent="0.3">
      <c r="A17" s="15" t="s">
        <v>32</v>
      </c>
      <c r="B17" s="51">
        <v>36.362718081305999</v>
      </c>
      <c r="C17" s="52">
        <v>3.0302265067750001</v>
      </c>
      <c r="D17" s="52">
        <v>4.6796699999999998</v>
      </c>
      <c r="E17" s="52">
        <v>0</v>
      </c>
      <c r="F17" s="52">
        <v>0</v>
      </c>
      <c r="G17" s="52">
        <v>0</v>
      </c>
      <c r="H17" s="52">
        <v>0</v>
      </c>
      <c r="I17" s="52">
        <v>0</v>
      </c>
      <c r="J17" s="52">
        <v>0</v>
      </c>
      <c r="K17" s="52">
        <v>0</v>
      </c>
      <c r="L17" s="52">
        <v>0</v>
      </c>
      <c r="M17" s="52">
        <v>0</v>
      </c>
      <c r="N17" s="52">
        <v>0</v>
      </c>
      <c r="O17" s="52">
        <v>0</v>
      </c>
      <c r="P17" s="53">
        <v>4.6796699999999998</v>
      </c>
      <c r="Q17" s="81">
        <v>0.77216504930100005</v>
      </c>
    </row>
    <row r="18" spans="1:17" ht="14.4" customHeight="1" x14ac:dyDescent="0.3">
      <c r="A18" s="15" t="s">
        <v>33</v>
      </c>
      <c r="B18" s="51">
        <v>5.5668039311140003</v>
      </c>
      <c r="C18" s="52">
        <v>0.46390032759200001</v>
      </c>
      <c r="D18" s="52">
        <v>0</v>
      </c>
      <c r="E18" s="52">
        <v>0.48099999999999998</v>
      </c>
      <c r="F18" s="52">
        <v>0</v>
      </c>
      <c r="G18" s="52">
        <v>0</v>
      </c>
      <c r="H18" s="52">
        <v>0</v>
      </c>
      <c r="I18" s="52">
        <v>0</v>
      </c>
      <c r="J18" s="52">
        <v>0</v>
      </c>
      <c r="K18" s="52">
        <v>0</v>
      </c>
      <c r="L18" s="52">
        <v>0</v>
      </c>
      <c r="M18" s="52">
        <v>0</v>
      </c>
      <c r="N18" s="52">
        <v>0</v>
      </c>
      <c r="O18" s="52">
        <v>0</v>
      </c>
      <c r="P18" s="53">
        <v>0.48099999999999998</v>
      </c>
      <c r="Q18" s="81">
        <v>0.51843033016999995</v>
      </c>
    </row>
    <row r="19" spans="1:17" ht="14.4" customHeight="1" x14ac:dyDescent="0.3">
      <c r="A19" s="15" t="s">
        <v>34</v>
      </c>
      <c r="B19" s="51">
        <v>542.68650498872103</v>
      </c>
      <c r="C19" s="52">
        <v>45.223875415725999</v>
      </c>
      <c r="D19" s="52">
        <v>46.867370000000001</v>
      </c>
      <c r="E19" s="52">
        <v>-0.341229999999</v>
      </c>
      <c r="F19" s="52">
        <v>0</v>
      </c>
      <c r="G19" s="52">
        <v>0</v>
      </c>
      <c r="H19" s="52">
        <v>0</v>
      </c>
      <c r="I19" s="52">
        <v>0</v>
      </c>
      <c r="J19" s="52">
        <v>0</v>
      </c>
      <c r="K19" s="52">
        <v>0</v>
      </c>
      <c r="L19" s="52">
        <v>0</v>
      </c>
      <c r="M19" s="52">
        <v>0</v>
      </c>
      <c r="N19" s="52">
        <v>0</v>
      </c>
      <c r="O19" s="52">
        <v>0</v>
      </c>
      <c r="P19" s="53">
        <v>46.526139999999998</v>
      </c>
      <c r="Q19" s="81">
        <v>0.51439797642600005</v>
      </c>
    </row>
    <row r="20" spans="1:17" ht="14.4" customHeight="1" x14ac:dyDescent="0.3">
      <c r="A20" s="15" t="s">
        <v>35</v>
      </c>
      <c r="B20" s="51">
        <v>18195.0050155551</v>
      </c>
      <c r="C20" s="52">
        <v>1516.25041796293</v>
      </c>
      <c r="D20" s="52">
        <v>1580.3928699999999</v>
      </c>
      <c r="E20" s="52">
        <v>1501.8677499999999</v>
      </c>
      <c r="F20" s="52">
        <v>0</v>
      </c>
      <c r="G20" s="52">
        <v>0</v>
      </c>
      <c r="H20" s="52">
        <v>0</v>
      </c>
      <c r="I20" s="52">
        <v>0</v>
      </c>
      <c r="J20" s="52">
        <v>0</v>
      </c>
      <c r="K20" s="52">
        <v>0</v>
      </c>
      <c r="L20" s="52">
        <v>0</v>
      </c>
      <c r="M20" s="52">
        <v>0</v>
      </c>
      <c r="N20" s="52">
        <v>0</v>
      </c>
      <c r="O20" s="52">
        <v>0</v>
      </c>
      <c r="P20" s="53">
        <v>3082.26062</v>
      </c>
      <c r="Q20" s="81">
        <v>1.016408827817</v>
      </c>
    </row>
    <row r="21" spans="1:17" ht="14.4" customHeight="1" x14ac:dyDescent="0.3">
      <c r="A21" s="16" t="s">
        <v>36</v>
      </c>
      <c r="B21" s="51">
        <v>1775.0044279793501</v>
      </c>
      <c r="C21" s="52">
        <v>147.91703566494601</v>
      </c>
      <c r="D21" s="52">
        <v>148.60499999999999</v>
      </c>
      <c r="E21" s="52">
        <v>156.02199999999999</v>
      </c>
      <c r="F21" s="52">
        <v>0</v>
      </c>
      <c r="G21" s="52">
        <v>0</v>
      </c>
      <c r="H21" s="52">
        <v>0</v>
      </c>
      <c r="I21" s="52">
        <v>0</v>
      </c>
      <c r="J21" s="52">
        <v>0</v>
      </c>
      <c r="K21" s="52">
        <v>0</v>
      </c>
      <c r="L21" s="52">
        <v>0</v>
      </c>
      <c r="M21" s="52">
        <v>0</v>
      </c>
      <c r="N21" s="52">
        <v>0</v>
      </c>
      <c r="O21" s="52">
        <v>0</v>
      </c>
      <c r="P21" s="53">
        <v>304.62700000000001</v>
      </c>
      <c r="Q21" s="81">
        <v>1.0297225016389999</v>
      </c>
    </row>
    <row r="22" spans="1:17" ht="14.4" customHeight="1" x14ac:dyDescent="0.3">
      <c r="A22" s="15" t="s">
        <v>37</v>
      </c>
      <c r="B22" s="51">
        <v>0</v>
      </c>
      <c r="C22" s="52">
        <v>0</v>
      </c>
      <c r="D22" s="52">
        <v>41.361669999999997</v>
      </c>
      <c r="E22" s="52">
        <v>0</v>
      </c>
      <c r="F22" s="52">
        <v>0</v>
      </c>
      <c r="G22" s="52">
        <v>0</v>
      </c>
      <c r="H22" s="52">
        <v>0</v>
      </c>
      <c r="I22" s="52">
        <v>0</v>
      </c>
      <c r="J22" s="52">
        <v>0</v>
      </c>
      <c r="K22" s="52">
        <v>0</v>
      </c>
      <c r="L22" s="52">
        <v>0</v>
      </c>
      <c r="M22" s="52">
        <v>0</v>
      </c>
      <c r="N22" s="52">
        <v>0</v>
      </c>
      <c r="O22" s="52">
        <v>0</v>
      </c>
      <c r="P22" s="53">
        <v>41.361669999999997</v>
      </c>
      <c r="Q22" s="81" t="s">
        <v>230</v>
      </c>
    </row>
    <row r="23" spans="1:17" ht="14.4" customHeight="1" x14ac:dyDescent="0.3">
      <c r="A23" s="16" t="s">
        <v>38</v>
      </c>
      <c r="B23" s="51">
        <v>0</v>
      </c>
      <c r="C23" s="52">
        <v>0</v>
      </c>
      <c r="D23" s="52">
        <v>0</v>
      </c>
      <c r="E23" s="52">
        <v>0</v>
      </c>
      <c r="F23" s="52">
        <v>0</v>
      </c>
      <c r="G23" s="52">
        <v>0</v>
      </c>
      <c r="H23" s="52">
        <v>0</v>
      </c>
      <c r="I23" s="52">
        <v>0</v>
      </c>
      <c r="J23" s="52">
        <v>0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P23" s="53">
        <v>0</v>
      </c>
      <c r="Q23" s="81" t="s">
        <v>230</v>
      </c>
    </row>
    <row r="24" spans="1:17" ht="14.4" customHeight="1" x14ac:dyDescent="0.3">
      <c r="A24" s="16" t="s">
        <v>39</v>
      </c>
      <c r="B24" s="51">
        <v>41.637373185584998</v>
      </c>
      <c r="C24" s="52">
        <v>3.4697810987979998</v>
      </c>
      <c r="D24" s="52">
        <v>-9.0949470177292804E-13</v>
      </c>
      <c r="E24" s="52">
        <v>0.50044999999999995</v>
      </c>
      <c r="F24" s="52">
        <v>0</v>
      </c>
      <c r="G24" s="52">
        <v>0</v>
      </c>
      <c r="H24" s="52">
        <v>0</v>
      </c>
      <c r="I24" s="52">
        <v>0</v>
      </c>
      <c r="J24" s="52">
        <v>0</v>
      </c>
      <c r="K24" s="52">
        <v>0</v>
      </c>
      <c r="L24" s="52">
        <v>0</v>
      </c>
      <c r="M24" s="52">
        <v>0</v>
      </c>
      <c r="N24" s="52">
        <v>0</v>
      </c>
      <c r="O24" s="52">
        <v>0</v>
      </c>
      <c r="P24" s="53">
        <v>0.50044999999899997</v>
      </c>
      <c r="Q24" s="81">
        <v>7.2115500336000005E-2</v>
      </c>
    </row>
    <row r="25" spans="1:17" ht="14.4" customHeight="1" x14ac:dyDescent="0.3">
      <c r="A25" s="17" t="s">
        <v>40</v>
      </c>
      <c r="B25" s="54">
        <v>39824.787528089997</v>
      </c>
      <c r="C25" s="55">
        <v>3318.7322940075001</v>
      </c>
      <c r="D25" s="55">
        <v>3535.3065000000001</v>
      </c>
      <c r="E25" s="55">
        <v>3498.6114400000001</v>
      </c>
      <c r="F25" s="55">
        <v>0</v>
      </c>
      <c r="G25" s="55">
        <v>0</v>
      </c>
      <c r="H25" s="55">
        <v>0</v>
      </c>
      <c r="I25" s="55">
        <v>0</v>
      </c>
      <c r="J25" s="55">
        <v>0</v>
      </c>
      <c r="K25" s="55">
        <v>0</v>
      </c>
      <c r="L25" s="55">
        <v>0</v>
      </c>
      <c r="M25" s="55">
        <v>0</v>
      </c>
      <c r="N25" s="55">
        <v>0</v>
      </c>
      <c r="O25" s="55">
        <v>0</v>
      </c>
      <c r="P25" s="56">
        <v>7033.9179400000003</v>
      </c>
      <c r="Q25" s="82">
        <v>1.059729637232</v>
      </c>
    </row>
    <row r="26" spans="1:17" ht="14.4" customHeight="1" x14ac:dyDescent="0.3">
      <c r="A26" s="15" t="s">
        <v>41</v>
      </c>
      <c r="B26" s="51">
        <v>0</v>
      </c>
      <c r="C26" s="52">
        <v>0</v>
      </c>
      <c r="D26" s="52">
        <v>236.10416000000001</v>
      </c>
      <c r="E26" s="52">
        <v>206.57416000000001</v>
      </c>
      <c r="F26" s="52">
        <v>0</v>
      </c>
      <c r="G26" s="52">
        <v>0</v>
      </c>
      <c r="H26" s="52">
        <v>0</v>
      </c>
      <c r="I26" s="52">
        <v>0</v>
      </c>
      <c r="J26" s="52">
        <v>0</v>
      </c>
      <c r="K26" s="52">
        <v>0</v>
      </c>
      <c r="L26" s="52">
        <v>0</v>
      </c>
      <c r="M26" s="52">
        <v>0</v>
      </c>
      <c r="N26" s="52">
        <v>0</v>
      </c>
      <c r="O26" s="52">
        <v>0</v>
      </c>
      <c r="P26" s="53">
        <v>442.67831999999999</v>
      </c>
      <c r="Q26" s="81" t="s">
        <v>230</v>
      </c>
    </row>
    <row r="27" spans="1:17" ht="14.4" customHeight="1" x14ac:dyDescent="0.3">
      <c r="A27" s="18" t="s">
        <v>42</v>
      </c>
      <c r="B27" s="54">
        <v>39824.787528089997</v>
      </c>
      <c r="C27" s="55">
        <v>3318.7322940075001</v>
      </c>
      <c r="D27" s="55">
        <v>3771.41066</v>
      </c>
      <c r="E27" s="55">
        <v>3705.1855999999998</v>
      </c>
      <c r="F27" s="55">
        <v>0</v>
      </c>
      <c r="G27" s="55">
        <v>0</v>
      </c>
      <c r="H27" s="55">
        <v>0</v>
      </c>
      <c r="I27" s="55">
        <v>0</v>
      </c>
      <c r="J27" s="55">
        <v>0</v>
      </c>
      <c r="K27" s="55">
        <v>0</v>
      </c>
      <c r="L27" s="55">
        <v>0</v>
      </c>
      <c r="M27" s="55">
        <v>0</v>
      </c>
      <c r="N27" s="55">
        <v>0</v>
      </c>
      <c r="O27" s="55">
        <v>0</v>
      </c>
      <c r="P27" s="56">
        <v>7476.5962600000003</v>
      </c>
      <c r="Q27" s="82">
        <v>1.126423525256</v>
      </c>
    </row>
    <row r="28" spans="1:17" ht="14.4" customHeight="1" x14ac:dyDescent="0.3">
      <c r="A28" s="16" t="s">
        <v>43</v>
      </c>
      <c r="B28" s="51">
        <v>508.01466284533302</v>
      </c>
      <c r="C28" s="52">
        <v>42.334555237110997</v>
      </c>
      <c r="D28" s="52">
        <v>20.2212</v>
      </c>
      <c r="E28" s="52">
        <v>27.0458</v>
      </c>
      <c r="F28" s="52">
        <v>0</v>
      </c>
      <c r="G28" s="52">
        <v>0</v>
      </c>
      <c r="H28" s="52">
        <v>0</v>
      </c>
      <c r="I28" s="52">
        <v>0</v>
      </c>
      <c r="J28" s="52">
        <v>0</v>
      </c>
      <c r="K28" s="52">
        <v>0</v>
      </c>
      <c r="L28" s="52">
        <v>0</v>
      </c>
      <c r="M28" s="52">
        <v>0</v>
      </c>
      <c r="N28" s="52">
        <v>0</v>
      </c>
      <c r="O28" s="52">
        <v>0</v>
      </c>
      <c r="P28" s="53">
        <v>47.267000000000003</v>
      </c>
      <c r="Q28" s="81">
        <v>0.55825554012800005</v>
      </c>
    </row>
    <row r="29" spans="1:17" ht="14.4" customHeight="1" x14ac:dyDescent="0.3">
      <c r="A29" s="16" t="s">
        <v>44</v>
      </c>
      <c r="B29" s="51">
        <v>0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3">
        <v>0</v>
      </c>
      <c r="Q29" s="81" t="s">
        <v>230</v>
      </c>
    </row>
    <row r="30" spans="1:17" ht="14.4" customHeight="1" x14ac:dyDescent="0.3">
      <c r="A30" s="16" t="s">
        <v>45</v>
      </c>
      <c r="B30" s="51">
        <v>0</v>
      </c>
      <c r="C30" s="52">
        <v>0</v>
      </c>
      <c r="D30" s="52">
        <v>0</v>
      </c>
      <c r="E30" s="52">
        <v>0</v>
      </c>
      <c r="F30" s="52">
        <v>0</v>
      </c>
      <c r="G30" s="52">
        <v>0</v>
      </c>
      <c r="H30" s="52">
        <v>0</v>
      </c>
      <c r="I30" s="52">
        <v>0</v>
      </c>
      <c r="J30" s="52">
        <v>0</v>
      </c>
      <c r="K30" s="52">
        <v>0</v>
      </c>
      <c r="L30" s="52">
        <v>0</v>
      </c>
      <c r="M30" s="52">
        <v>0</v>
      </c>
      <c r="N30" s="52">
        <v>0</v>
      </c>
      <c r="O30" s="52">
        <v>0</v>
      </c>
      <c r="P30" s="53">
        <v>0</v>
      </c>
      <c r="Q30" s="81">
        <v>10</v>
      </c>
    </row>
    <row r="31" spans="1:17" ht="14.4" customHeight="1" thickBot="1" x14ac:dyDescent="0.35">
      <c r="A31" s="19" t="s">
        <v>46</v>
      </c>
      <c r="B31" s="57">
        <v>0</v>
      </c>
      <c r="C31" s="58">
        <v>0</v>
      </c>
      <c r="D31" s="58">
        <v>0</v>
      </c>
      <c r="E31" s="58">
        <v>0</v>
      </c>
      <c r="F31" s="58">
        <v>0</v>
      </c>
      <c r="G31" s="58">
        <v>0</v>
      </c>
      <c r="H31" s="58">
        <v>0</v>
      </c>
      <c r="I31" s="58">
        <v>0</v>
      </c>
      <c r="J31" s="58">
        <v>0</v>
      </c>
      <c r="K31" s="58">
        <v>0</v>
      </c>
      <c r="L31" s="58">
        <v>0</v>
      </c>
      <c r="M31" s="58">
        <v>0</v>
      </c>
      <c r="N31" s="58">
        <v>0</v>
      </c>
      <c r="O31" s="58">
        <v>0</v>
      </c>
      <c r="P31" s="59">
        <v>0</v>
      </c>
      <c r="Q31" s="83" t="s">
        <v>230</v>
      </c>
    </row>
    <row r="32" spans="1:17" ht="14.4" customHeight="1" x14ac:dyDescent="0.3">
      <c r="B32" s="117"/>
      <c r="C32" s="117"/>
      <c r="D32" s="117"/>
      <c r="E32" s="117"/>
      <c r="F32" s="117"/>
      <c r="G32" s="117"/>
      <c r="H32" s="117"/>
      <c r="I32" s="117"/>
      <c r="J32" s="117"/>
      <c r="K32" s="117"/>
      <c r="L32" s="117"/>
      <c r="M32" s="117"/>
      <c r="N32" s="117"/>
      <c r="O32" s="117"/>
      <c r="P32" s="117"/>
      <c r="Q32" s="117"/>
    </row>
    <row r="33" spans="1:17" ht="14.4" customHeight="1" x14ac:dyDescent="0.3">
      <c r="A33" s="99" t="s">
        <v>139</v>
      </c>
      <c r="B33" s="118"/>
      <c r="C33" s="118"/>
      <c r="D33" s="118"/>
      <c r="E33" s="118"/>
      <c r="F33" s="118"/>
      <c r="G33" s="118"/>
      <c r="H33" s="118"/>
      <c r="I33" s="118"/>
      <c r="J33" s="118"/>
      <c r="K33" s="118"/>
      <c r="L33" s="118"/>
      <c r="M33" s="118"/>
      <c r="N33" s="118"/>
      <c r="O33" s="118"/>
      <c r="P33" s="118"/>
      <c r="Q33" s="118"/>
    </row>
    <row r="34" spans="1:17" ht="14.4" customHeight="1" x14ac:dyDescent="0.3">
      <c r="A34" s="122" t="s">
        <v>220</v>
      </c>
      <c r="B34" s="118"/>
      <c r="C34" s="118"/>
      <c r="D34" s="118"/>
      <c r="E34" s="118"/>
      <c r="F34" s="118"/>
      <c r="G34" s="118"/>
      <c r="H34" s="118"/>
      <c r="I34" s="118"/>
      <c r="J34" s="118"/>
      <c r="K34" s="118"/>
      <c r="L34" s="118"/>
      <c r="M34" s="118"/>
      <c r="N34" s="118"/>
      <c r="O34" s="118"/>
      <c r="P34" s="118"/>
      <c r="Q34" s="118"/>
    </row>
    <row r="35" spans="1:17" ht="14.4" customHeight="1" x14ac:dyDescent="0.3">
      <c r="A35" s="123" t="s">
        <v>47</v>
      </c>
      <c r="B35" s="118"/>
      <c r="C35" s="118"/>
      <c r="D35" s="118"/>
      <c r="E35" s="118"/>
      <c r="F35" s="118"/>
      <c r="G35" s="118"/>
      <c r="H35" s="118"/>
      <c r="I35" s="118"/>
      <c r="J35" s="118"/>
      <c r="K35" s="118"/>
      <c r="L35" s="118"/>
      <c r="M35" s="118"/>
      <c r="N35" s="118"/>
      <c r="O35" s="118"/>
      <c r="P35" s="118"/>
      <c r="Q35" s="118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172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16" customWidth="1"/>
    <col min="2" max="11" width="10" style="116" customWidth="1"/>
    <col min="12" max="16384" width="8.88671875" style="116"/>
  </cols>
  <sheetData>
    <row r="1" spans="1:11" s="60" customFormat="1" ht="18.600000000000001" customHeight="1" thickBot="1" x14ac:dyDescent="0.4">
      <c r="A1" s="301" t="s">
        <v>48</v>
      </c>
      <c r="B1" s="301"/>
      <c r="C1" s="301"/>
      <c r="D1" s="301"/>
      <c r="E1" s="301"/>
      <c r="F1" s="301"/>
      <c r="G1" s="301"/>
      <c r="H1" s="306"/>
      <c r="I1" s="306"/>
      <c r="J1" s="306"/>
      <c r="K1" s="306"/>
    </row>
    <row r="2" spans="1:11" s="60" customFormat="1" ht="14.4" customHeight="1" thickBot="1" x14ac:dyDescent="0.35">
      <c r="A2" s="214" t="s">
        <v>229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1" ht="14.4" customHeight="1" x14ac:dyDescent="0.3">
      <c r="A3" s="68"/>
      <c r="B3" s="302" t="s">
        <v>49</v>
      </c>
      <c r="C3" s="303"/>
      <c r="D3" s="303"/>
      <c r="E3" s="303"/>
      <c r="F3" s="309" t="s">
        <v>50</v>
      </c>
      <c r="G3" s="303"/>
      <c r="H3" s="303"/>
      <c r="I3" s="303"/>
      <c r="J3" s="303"/>
      <c r="K3" s="310"/>
    </row>
    <row r="4" spans="1:11" ht="14.4" customHeight="1" x14ac:dyDescent="0.3">
      <c r="A4" s="69"/>
      <c r="B4" s="307"/>
      <c r="C4" s="308"/>
      <c r="D4" s="308"/>
      <c r="E4" s="308"/>
      <c r="F4" s="311" t="s">
        <v>225</v>
      </c>
      <c r="G4" s="313" t="s">
        <v>51</v>
      </c>
      <c r="H4" s="127" t="s">
        <v>126</v>
      </c>
      <c r="I4" s="311" t="s">
        <v>52</v>
      </c>
      <c r="J4" s="313" t="s">
        <v>201</v>
      </c>
      <c r="K4" s="314" t="s">
        <v>227</v>
      </c>
    </row>
    <row r="5" spans="1:11" ht="42" thickBot="1" x14ac:dyDescent="0.35">
      <c r="A5" s="70"/>
      <c r="B5" s="24" t="s">
        <v>221</v>
      </c>
      <c r="C5" s="25" t="s">
        <v>222</v>
      </c>
      <c r="D5" s="26" t="s">
        <v>223</v>
      </c>
      <c r="E5" s="26" t="s">
        <v>224</v>
      </c>
      <c r="F5" s="312"/>
      <c r="G5" s="312"/>
      <c r="H5" s="25" t="s">
        <v>226</v>
      </c>
      <c r="I5" s="312"/>
      <c r="J5" s="312"/>
      <c r="K5" s="315"/>
    </row>
    <row r="6" spans="1:11" ht="14.4" customHeight="1" thickBot="1" x14ac:dyDescent="0.35">
      <c r="A6" s="388" t="s">
        <v>232</v>
      </c>
      <c r="B6" s="370">
        <v>39229.225758858403</v>
      </c>
      <c r="C6" s="370">
        <v>40196.785640000002</v>
      </c>
      <c r="D6" s="371">
        <v>967.55988114156196</v>
      </c>
      <c r="E6" s="372">
        <v>1.0246642614629999</v>
      </c>
      <c r="F6" s="370">
        <v>39824.787528089997</v>
      </c>
      <c r="G6" s="371">
        <v>6637.4645880149901</v>
      </c>
      <c r="H6" s="373">
        <v>3498.6114400000001</v>
      </c>
      <c r="I6" s="370">
        <v>7033.9179400000003</v>
      </c>
      <c r="J6" s="371">
        <v>396.45335198500698</v>
      </c>
      <c r="K6" s="374">
        <v>0.176621606205</v>
      </c>
    </row>
    <row r="7" spans="1:11" ht="14.4" customHeight="1" thickBot="1" x14ac:dyDescent="0.35">
      <c r="A7" s="389" t="s">
        <v>233</v>
      </c>
      <c r="B7" s="370">
        <v>19220.539021268902</v>
      </c>
      <c r="C7" s="370">
        <v>18954.048299999999</v>
      </c>
      <c r="D7" s="371">
        <v>-266.49072126888501</v>
      </c>
      <c r="E7" s="372">
        <v>0.98613510677399996</v>
      </c>
      <c r="F7" s="370">
        <v>19228.5246843688</v>
      </c>
      <c r="G7" s="371">
        <v>3204.7541140614599</v>
      </c>
      <c r="H7" s="373">
        <v>1840.0819200000001</v>
      </c>
      <c r="I7" s="370">
        <v>3553.4818399999999</v>
      </c>
      <c r="J7" s="371">
        <v>348.72772593853603</v>
      </c>
      <c r="K7" s="374">
        <v>0.18480262517900001</v>
      </c>
    </row>
    <row r="8" spans="1:11" ht="14.4" customHeight="1" thickBot="1" x14ac:dyDescent="0.35">
      <c r="A8" s="390" t="s">
        <v>234</v>
      </c>
      <c r="B8" s="370">
        <v>19220.539021268902</v>
      </c>
      <c r="C8" s="370">
        <v>18954.048299999999</v>
      </c>
      <c r="D8" s="371">
        <v>-266.49072126888501</v>
      </c>
      <c r="E8" s="372">
        <v>0.98613510677399996</v>
      </c>
      <c r="F8" s="370">
        <v>19228.5246843688</v>
      </c>
      <c r="G8" s="371">
        <v>3204.7541140614599</v>
      </c>
      <c r="H8" s="373">
        <v>1840.0819200000001</v>
      </c>
      <c r="I8" s="370">
        <v>3553.4818399999999</v>
      </c>
      <c r="J8" s="371">
        <v>348.72772593853603</v>
      </c>
      <c r="K8" s="374">
        <v>0.18480262517900001</v>
      </c>
    </row>
    <row r="9" spans="1:11" ht="14.4" customHeight="1" thickBot="1" x14ac:dyDescent="0.35">
      <c r="A9" s="391" t="s">
        <v>235</v>
      </c>
      <c r="B9" s="375">
        <v>0</v>
      </c>
      <c r="C9" s="375">
        <v>4.0000000000000403E-5</v>
      </c>
      <c r="D9" s="376">
        <v>4.0000000000000403E-5</v>
      </c>
      <c r="E9" s="377" t="s">
        <v>230</v>
      </c>
      <c r="F9" s="375">
        <v>0</v>
      </c>
      <c r="G9" s="376">
        <v>0</v>
      </c>
      <c r="H9" s="378">
        <v>4.4999999999999999E-4</v>
      </c>
      <c r="I9" s="375">
        <v>4.4999999999999999E-4</v>
      </c>
      <c r="J9" s="376">
        <v>4.4999999999999999E-4</v>
      </c>
      <c r="K9" s="379" t="s">
        <v>230</v>
      </c>
    </row>
    <row r="10" spans="1:11" ht="14.4" customHeight="1" thickBot="1" x14ac:dyDescent="0.35">
      <c r="A10" s="392" t="s">
        <v>236</v>
      </c>
      <c r="B10" s="370">
        <v>0</v>
      </c>
      <c r="C10" s="370">
        <v>4.0000000000000403E-5</v>
      </c>
      <c r="D10" s="371">
        <v>4.0000000000000403E-5</v>
      </c>
      <c r="E10" s="380" t="s">
        <v>230</v>
      </c>
      <c r="F10" s="370">
        <v>0</v>
      </c>
      <c r="G10" s="371">
        <v>0</v>
      </c>
      <c r="H10" s="373">
        <v>4.4999999999999999E-4</v>
      </c>
      <c r="I10" s="370">
        <v>4.4999999999999999E-4</v>
      </c>
      <c r="J10" s="371">
        <v>4.4999999999999999E-4</v>
      </c>
      <c r="K10" s="381" t="s">
        <v>230</v>
      </c>
    </row>
    <row r="11" spans="1:11" ht="14.4" customHeight="1" thickBot="1" x14ac:dyDescent="0.35">
      <c r="A11" s="391" t="s">
        <v>237</v>
      </c>
      <c r="B11" s="375">
        <v>59.392721637416003</v>
      </c>
      <c r="C11" s="375">
        <v>36.585160000000002</v>
      </c>
      <c r="D11" s="376">
        <v>-22.807561637416001</v>
      </c>
      <c r="E11" s="382">
        <v>0.61598726226599998</v>
      </c>
      <c r="F11" s="375">
        <v>59.943816523848</v>
      </c>
      <c r="G11" s="376">
        <v>9.9906360873079993</v>
      </c>
      <c r="H11" s="378">
        <v>2.0285500000000001</v>
      </c>
      <c r="I11" s="375">
        <v>4.9420200000000003</v>
      </c>
      <c r="J11" s="376">
        <v>-5.0486160873079999</v>
      </c>
      <c r="K11" s="383">
        <v>8.2444200029000006E-2</v>
      </c>
    </row>
    <row r="12" spans="1:11" ht="14.4" customHeight="1" thickBot="1" x14ac:dyDescent="0.35">
      <c r="A12" s="392" t="s">
        <v>238</v>
      </c>
      <c r="B12" s="370">
        <v>35.391383570933002</v>
      </c>
      <c r="C12" s="370">
        <v>29.922499999999999</v>
      </c>
      <c r="D12" s="371">
        <v>-5.4688835709330004</v>
      </c>
      <c r="E12" s="372">
        <v>0.84547415163899997</v>
      </c>
      <c r="F12" s="370">
        <v>37.000010199259002</v>
      </c>
      <c r="G12" s="371">
        <v>6.166668366543</v>
      </c>
      <c r="H12" s="373">
        <v>1.8934599999999999</v>
      </c>
      <c r="I12" s="370">
        <v>4.4075800000000003</v>
      </c>
      <c r="J12" s="371">
        <v>-1.7590883665429999</v>
      </c>
      <c r="K12" s="374">
        <v>0.119123750946</v>
      </c>
    </row>
    <row r="13" spans="1:11" ht="14.4" customHeight="1" thickBot="1" x14ac:dyDescent="0.35">
      <c r="A13" s="392" t="s">
        <v>239</v>
      </c>
      <c r="B13" s="370">
        <v>22.955850681914001</v>
      </c>
      <c r="C13" s="370">
        <v>5.7188600000000003</v>
      </c>
      <c r="D13" s="371">
        <v>-17.236990681914001</v>
      </c>
      <c r="E13" s="372">
        <v>0.249124289892</v>
      </c>
      <c r="F13" s="370">
        <v>22.000006064423999</v>
      </c>
      <c r="G13" s="371">
        <v>3.6666676774039999</v>
      </c>
      <c r="H13" s="373">
        <v>0.13508999999999999</v>
      </c>
      <c r="I13" s="370">
        <v>0.53444000000000003</v>
      </c>
      <c r="J13" s="371">
        <v>-3.1322276774039999</v>
      </c>
      <c r="K13" s="374">
        <v>2.4292720576000001E-2</v>
      </c>
    </row>
    <row r="14" spans="1:11" ht="14.4" customHeight="1" thickBot="1" x14ac:dyDescent="0.35">
      <c r="A14" s="392" t="s">
        <v>240</v>
      </c>
      <c r="B14" s="370">
        <v>1.0454873845679999</v>
      </c>
      <c r="C14" s="370">
        <v>0.94379999999999997</v>
      </c>
      <c r="D14" s="371">
        <v>-0.101687384568</v>
      </c>
      <c r="E14" s="372">
        <v>0.90273686122899999</v>
      </c>
      <c r="F14" s="370">
        <v>0.943800260163</v>
      </c>
      <c r="G14" s="371">
        <v>0.15730004336</v>
      </c>
      <c r="H14" s="373">
        <v>0</v>
      </c>
      <c r="I14" s="370">
        <v>0</v>
      </c>
      <c r="J14" s="371">
        <v>-0.15730004336</v>
      </c>
      <c r="K14" s="374">
        <v>0</v>
      </c>
    </row>
    <row r="15" spans="1:11" ht="14.4" customHeight="1" thickBot="1" x14ac:dyDescent="0.35">
      <c r="A15" s="391" t="s">
        <v>241</v>
      </c>
      <c r="B15" s="375">
        <v>18953.177543185</v>
      </c>
      <c r="C15" s="375">
        <v>18709.127229999998</v>
      </c>
      <c r="D15" s="376">
        <v>-244.05031318502699</v>
      </c>
      <c r="E15" s="382">
        <v>0.98712351463799997</v>
      </c>
      <c r="F15" s="375">
        <v>18953.0052245019</v>
      </c>
      <c r="G15" s="376">
        <v>3158.8342040836601</v>
      </c>
      <c r="H15" s="378">
        <v>1773.5816600000001</v>
      </c>
      <c r="I15" s="375">
        <v>3473.85086</v>
      </c>
      <c r="J15" s="376">
        <v>315.01665591634401</v>
      </c>
      <c r="K15" s="383">
        <v>0.18328760103399999</v>
      </c>
    </row>
    <row r="16" spans="1:11" ht="14.4" customHeight="1" thickBot="1" x14ac:dyDescent="0.35">
      <c r="A16" s="392" t="s">
        <v>242</v>
      </c>
      <c r="B16" s="370">
        <v>18699.999551159501</v>
      </c>
      <c r="C16" s="370">
        <v>18463.274109999998</v>
      </c>
      <c r="D16" s="371">
        <v>-236.72544115951999</v>
      </c>
      <c r="E16" s="372">
        <v>0.98734088519499996</v>
      </c>
      <c r="F16" s="370">
        <v>18700.0051547611</v>
      </c>
      <c r="G16" s="371">
        <v>3116.6675257935099</v>
      </c>
      <c r="H16" s="373">
        <v>1754.8212699999999</v>
      </c>
      <c r="I16" s="370">
        <v>3440.8294500000002</v>
      </c>
      <c r="J16" s="371">
        <v>324.16192420649099</v>
      </c>
      <c r="K16" s="374">
        <v>0.18400152414500001</v>
      </c>
    </row>
    <row r="17" spans="1:11" ht="14.4" customHeight="1" thickBot="1" x14ac:dyDescent="0.35">
      <c r="A17" s="392" t="s">
        <v>243</v>
      </c>
      <c r="B17" s="370">
        <v>102.99999675575</v>
      </c>
      <c r="C17" s="370">
        <v>141.35559000000001</v>
      </c>
      <c r="D17" s="371">
        <v>38.355593244250002</v>
      </c>
      <c r="E17" s="372">
        <v>1.372384412158</v>
      </c>
      <c r="F17" s="370">
        <v>100.000027565567</v>
      </c>
      <c r="G17" s="371">
        <v>16.666671260927</v>
      </c>
      <c r="H17" s="373">
        <v>13.537140000000001</v>
      </c>
      <c r="I17" s="370">
        <v>20.694130000000001</v>
      </c>
      <c r="J17" s="371">
        <v>4.0274587390720002</v>
      </c>
      <c r="K17" s="374">
        <v>0.20694124295499999</v>
      </c>
    </row>
    <row r="18" spans="1:11" ht="14.4" customHeight="1" thickBot="1" x14ac:dyDescent="0.35">
      <c r="A18" s="392" t="s">
        <v>244</v>
      </c>
      <c r="B18" s="370">
        <v>15.999999496038001</v>
      </c>
      <c r="C18" s="370">
        <v>14.51263</v>
      </c>
      <c r="D18" s="371">
        <v>-1.4873694960379999</v>
      </c>
      <c r="E18" s="372">
        <v>0.90703940356900004</v>
      </c>
      <c r="F18" s="370">
        <v>18.000004961801999</v>
      </c>
      <c r="G18" s="371">
        <v>3.0000008269670002</v>
      </c>
      <c r="H18" s="373">
        <v>1.1914499999999999</v>
      </c>
      <c r="I18" s="370">
        <v>2.4207200000000002</v>
      </c>
      <c r="J18" s="371">
        <v>-0.57928082696700001</v>
      </c>
      <c r="K18" s="374">
        <v>0.13448440737299999</v>
      </c>
    </row>
    <row r="19" spans="1:11" ht="14.4" customHeight="1" thickBot="1" x14ac:dyDescent="0.35">
      <c r="A19" s="392" t="s">
        <v>245</v>
      </c>
      <c r="B19" s="370">
        <v>106.999996629759</v>
      </c>
      <c r="C19" s="370">
        <v>69.604900000000001</v>
      </c>
      <c r="D19" s="371">
        <v>-37.395096629759003</v>
      </c>
      <c r="E19" s="372">
        <v>0.65051310460099998</v>
      </c>
      <c r="F19" s="370">
        <v>106.000029219501</v>
      </c>
      <c r="G19" s="371">
        <v>17.666671536582999</v>
      </c>
      <c r="H19" s="373">
        <v>2.2008000000000001</v>
      </c>
      <c r="I19" s="370">
        <v>7.3175600000000003</v>
      </c>
      <c r="J19" s="371">
        <v>-10.349111536583001</v>
      </c>
      <c r="K19" s="374">
        <v>6.9033565876E-2</v>
      </c>
    </row>
    <row r="20" spans="1:11" ht="14.4" customHeight="1" thickBot="1" x14ac:dyDescent="0.35">
      <c r="A20" s="392" t="s">
        <v>246</v>
      </c>
      <c r="B20" s="370">
        <v>1.177999962895</v>
      </c>
      <c r="C20" s="370">
        <v>1.206</v>
      </c>
      <c r="D20" s="371">
        <v>2.8000037104000002E-2</v>
      </c>
      <c r="E20" s="372">
        <v>1.0237691324160001</v>
      </c>
      <c r="F20" s="370">
        <v>1.0000002756549999</v>
      </c>
      <c r="G20" s="371">
        <v>0.16666671260900001</v>
      </c>
      <c r="H20" s="373">
        <v>0.127</v>
      </c>
      <c r="I20" s="370">
        <v>0.17499999999999999</v>
      </c>
      <c r="J20" s="371">
        <v>8.3332873899999993E-3</v>
      </c>
      <c r="K20" s="374">
        <v>0.17499995175999999</v>
      </c>
    </row>
    <row r="21" spans="1:11" ht="14.4" customHeight="1" thickBot="1" x14ac:dyDescent="0.35">
      <c r="A21" s="392" t="s">
        <v>247</v>
      </c>
      <c r="B21" s="370">
        <v>25.999999181063</v>
      </c>
      <c r="C21" s="370">
        <v>19.173999999999999</v>
      </c>
      <c r="D21" s="371">
        <v>-6.8259991810629996</v>
      </c>
      <c r="E21" s="372">
        <v>0.73746156168900001</v>
      </c>
      <c r="F21" s="370">
        <v>28.000007718357999</v>
      </c>
      <c r="G21" s="371">
        <v>4.6666679530590001</v>
      </c>
      <c r="H21" s="373">
        <v>1.704</v>
      </c>
      <c r="I21" s="370">
        <v>2.4140000000000001</v>
      </c>
      <c r="J21" s="371">
        <v>-2.2526679530589999</v>
      </c>
      <c r="K21" s="374">
        <v>8.6214261947999998E-2</v>
      </c>
    </row>
    <row r="22" spans="1:11" ht="14.4" customHeight="1" thickBot="1" x14ac:dyDescent="0.35">
      <c r="A22" s="391" t="s">
        <v>248</v>
      </c>
      <c r="B22" s="375">
        <v>189.96875701339701</v>
      </c>
      <c r="C22" s="375">
        <v>188.98050000000001</v>
      </c>
      <c r="D22" s="376">
        <v>-0.98825701339600003</v>
      </c>
      <c r="E22" s="382">
        <v>0.99479779186299999</v>
      </c>
      <c r="F22" s="375">
        <v>210.770183964729</v>
      </c>
      <c r="G22" s="376">
        <v>35.128363994121003</v>
      </c>
      <c r="H22" s="378">
        <v>63.069209999999998</v>
      </c>
      <c r="I22" s="375">
        <v>72.629459999999995</v>
      </c>
      <c r="J22" s="376">
        <v>37.501096005877997</v>
      </c>
      <c r="K22" s="383">
        <v>0.34459077006900002</v>
      </c>
    </row>
    <row r="23" spans="1:11" ht="14.4" customHeight="1" thickBot="1" x14ac:dyDescent="0.35">
      <c r="A23" s="392" t="s">
        <v>249</v>
      </c>
      <c r="B23" s="370">
        <v>1.0245104252399999</v>
      </c>
      <c r="C23" s="370">
        <v>2.4159999999999999</v>
      </c>
      <c r="D23" s="371">
        <v>1.3914895747589999</v>
      </c>
      <c r="E23" s="372">
        <v>2.358199526795</v>
      </c>
      <c r="F23" s="370">
        <v>2.242393622721</v>
      </c>
      <c r="G23" s="371">
        <v>0.373732270453</v>
      </c>
      <c r="H23" s="373">
        <v>0</v>
      </c>
      <c r="I23" s="370">
        <v>0</v>
      </c>
      <c r="J23" s="371">
        <v>-0.373732270453</v>
      </c>
      <c r="K23" s="374">
        <v>0</v>
      </c>
    </row>
    <row r="24" spans="1:11" ht="14.4" customHeight="1" thickBot="1" x14ac:dyDescent="0.35">
      <c r="A24" s="392" t="s">
        <v>250</v>
      </c>
      <c r="B24" s="370">
        <v>8.9999997165209997</v>
      </c>
      <c r="C24" s="370">
        <v>7.8468600000000004</v>
      </c>
      <c r="D24" s="371">
        <v>-1.153139716521</v>
      </c>
      <c r="E24" s="372">
        <v>0.871873360795</v>
      </c>
      <c r="F24" s="370">
        <v>8.7394265805139995</v>
      </c>
      <c r="G24" s="371">
        <v>1.456571096752</v>
      </c>
      <c r="H24" s="373">
        <v>0.22978000000000001</v>
      </c>
      <c r="I24" s="370">
        <v>0.50324999999999998</v>
      </c>
      <c r="J24" s="371">
        <v>-0.95332109675200005</v>
      </c>
      <c r="K24" s="374">
        <v>5.7583869532000002E-2</v>
      </c>
    </row>
    <row r="25" spans="1:11" ht="14.4" customHeight="1" thickBot="1" x14ac:dyDescent="0.35">
      <c r="A25" s="392" t="s">
        <v>251</v>
      </c>
      <c r="B25" s="370">
        <v>27.953636151640001</v>
      </c>
      <c r="C25" s="370">
        <v>27.978159999999999</v>
      </c>
      <c r="D25" s="371">
        <v>2.4523848359000001E-2</v>
      </c>
      <c r="E25" s="372">
        <v>1.0008773044129999</v>
      </c>
      <c r="F25" s="370">
        <v>26.634708339357999</v>
      </c>
      <c r="G25" s="371">
        <v>4.4391180565589998</v>
      </c>
      <c r="H25" s="373">
        <v>1.8431900000000001</v>
      </c>
      <c r="I25" s="370">
        <v>1.9157900000000001</v>
      </c>
      <c r="J25" s="371">
        <v>-2.5233280565589999</v>
      </c>
      <c r="K25" s="374">
        <v>7.1928326587000005E-2</v>
      </c>
    </row>
    <row r="26" spans="1:11" ht="14.4" customHeight="1" thickBot="1" x14ac:dyDescent="0.35">
      <c r="A26" s="392" t="s">
        <v>252</v>
      </c>
      <c r="B26" s="370">
        <v>37.999998803091998</v>
      </c>
      <c r="C26" s="370">
        <v>54.195320000000002</v>
      </c>
      <c r="D26" s="371">
        <v>16.195321196906999</v>
      </c>
      <c r="E26" s="372">
        <v>1.4261926764999999</v>
      </c>
      <c r="F26" s="370">
        <v>49.888543330144998</v>
      </c>
      <c r="G26" s="371">
        <v>8.3147572216899999</v>
      </c>
      <c r="H26" s="373">
        <v>3.3359999999999999</v>
      </c>
      <c r="I26" s="370">
        <v>8.3942999999999994</v>
      </c>
      <c r="J26" s="371">
        <v>7.9542778309000001E-2</v>
      </c>
      <c r="K26" s="374">
        <v>0.16826107638400001</v>
      </c>
    </row>
    <row r="27" spans="1:11" ht="14.4" customHeight="1" thickBot="1" x14ac:dyDescent="0.35">
      <c r="A27" s="392" t="s">
        <v>253</v>
      </c>
      <c r="B27" s="370">
        <v>11.999999622029</v>
      </c>
      <c r="C27" s="370">
        <v>5.1432200000000003</v>
      </c>
      <c r="D27" s="371">
        <v>-6.8567796220290003</v>
      </c>
      <c r="E27" s="372">
        <v>0.42860168016599998</v>
      </c>
      <c r="F27" s="370">
        <v>5.6591210039410003</v>
      </c>
      <c r="G27" s="371">
        <v>0.94318683399000003</v>
      </c>
      <c r="H27" s="373">
        <v>0.43559999999999999</v>
      </c>
      <c r="I27" s="370">
        <v>1.7665999999999999</v>
      </c>
      <c r="J27" s="371">
        <v>0.82341316600900005</v>
      </c>
      <c r="K27" s="374">
        <v>0.31216862102199999</v>
      </c>
    </row>
    <row r="28" spans="1:11" ht="14.4" customHeight="1" thickBot="1" x14ac:dyDescent="0.35">
      <c r="A28" s="392" t="s">
        <v>254</v>
      </c>
      <c r="B28" s="370">
        <v>7.9906138697509999</v>
      </c>
      <c r="C28" s="370">
        <v>3.3296600000000001</v>
      </c>
      <c r="D28" s="371">
        <v>-4.6609538697510002</v>
      </c>
      <c r="E28" s="372">
        <v>0.41669639583000001</v>
      </c>
      <c r="F28" s="370">
        <v>4.5830146610340003</v>
      </c>
      <c r="G28" s="371">
        <v>0.76383577683899995</v>
      </c>
      <c r="H28" s="373">
        <v>0.19117999999999999</v>
      </c>
      <c r="I28" s="370">
        <v>0.80586000000000002</v>
      </c>
      <c r="J28" s="371">
        <v>4.2024223159999999E-2</v>
      </c>
      <c r="K28" s="374">
        <v>0.175836225629</v>
      </c>
    </row>
    <row r="29" spans="1:11" ht="14.4" customHeight="1" thickBot="1" x14ac:dyDescent="0.35">
      <c r="A29" s="392" t="s">
        <v>255</v>
      </c>
      <c r="B29" s="370">
        <v>44</v>
      </c>
      <c r="C29" s="370">
        <v>31.05124</v>
      </c>
      <c r="D29" s="371">
        <v>-12.94876</v>
      </c>
      <c r="E29" s="372">
        <v>0.70570999999999995</v>
      </c>
      <c r="F29" s="370">
        <v>20.198070504512</v>
      </c>
      <c r="G29" s="371">
        <v>3.3663450840850002</v>
      </c>
      <c r="H29" s="373">
        <v>4.2895599999999998</v>
      </c>
      <c r="I29" s="370">
        <v>5.5559599999999998</v>
      </c>
      <c r="J29" s="371">
        <v>2.1896149159139999</v>
      </c>
      <c r="K29" s="374">
        <v>0.27507379968500001</v>
      </c>
    </row>
    <row r="30" spans="1:11" ht="14.4" customHeight="1" thickBot="1" x14ac:dyDescent="0.35">
      <c r="A30" s="392" t="s">
        <v>256</v>
      </c>
      <c r="B30" s="370">
        <v>49.999998425120999</v>
      </c>
      <c r="C30" s="370">
        <v>57.020040000000002</v>
      </c>
      <c r="D30" s="371">
        <v>7.0200415748780003</v>
      </c>
      <c r="E30" s="372">
        <v>1.1404008359190001</v>
      </c>
      <c r="F30" s="370">
        <v>92.824905922498999</v>
      </c>
      <c r="G30" s="371">
        <v>15.47081765375</v>
      </c>
      <c r="H30" s="373">
        <v>52.743899999999996</v>
      </c>
      <c r="I30" s="370">
        <v>53.6877</v>
      </c>
      <c r="J30" s="371">
        <v>38.216882346250003</v>
      </c>
      <c r="K30" s="374">
        <v>0.57837602383099995</v>
      </c>
    </row>
    <row r="31" spans="1:11" ht="14.4" customHeight="1" thickBot="1" x14ac:dyDescent="0.35">
      <c r="A31" s="391" t="s">
        <v>257</v>
      </c>
      <c r="B31" s="375">
        <v>0</v>
      </c>
      <c r="C31" s="375">
        <v>0.66549999999999998</v>
      </c>
      <c r="D31" s="376">
        <v>0.66549999999999998</v>
      </c>
      <c r="E31" s="377" t="s">
        <v>258</v>
      </c>
      <c r="F31" s="375">
        <v>1.0275206441789999</v>
      </c>
      <c r="G31" s="376">
        <v>0.17125344069599999</v>
      </c>
      <c r="H31" s="378">
        <v>0</v>
      </c>
      <c r="I31" s="375">
        <v>0</v>
      </c>
      <c r="J31" s="376">
        <v>-0.17125344069599999</v>
      </c>
      <c r="K31" s="383">
        <v>0</v>
      </c>
    </row>
    <row r="32" spans="1:11" ht="14.4" customHeight="1" thickBot="1" x14ac:dyDescent="0.35">
      <c r="A32" s="392" t="s">
        <v>259</v>
      </c>
      <c r="B32" s="370">
        <v>0</v>
      </c>
      <c r="C32" s="370">
        <v>0.36058000000000001</v>
      </c>
      <c r="D32" s="371">
        <v>0.36058000000000001</v>
      </c>
      <c r="E32" s="380" t="s">
        <v>258</v>
      </c>
      <c r="F32" s="370">
        <v>0.43569758767200001</v>
      </c>
      <c r="G32" s="371">
        <v>7.2616264612000006E-2</v>
      </c>
      <c r="H32" s="373">
        <v>0</v>
      </c>
      <c r="I32" s="370">
        <v>0</v>
      </c>
      <c r="J32" s="371">
        <v>-7.2616264612000006E-2</v>
      </c>
      <c r="K32" s="374">
        <v>0</v>
      </c>
    </row>
    <row r="33" spans="1:11" ht="14.4" customHeight="1" thickBot="1" x14ac:dyDescent="0.35">
      <c r="A33" s="392" t="s">
        <v>260</v>
      </c>
      <c r="B33" s="370">
        <v>0</v>
      </c>
      <c r="C33" s="370">
        <v>0.30492000000000002</v>
      </c>
      <c r="D33" s="371">
        <v>0.30492000000000002</v>
      </c>
      <c r="E33" s="380" t="s">
        <v>258</v>
      </c>
      <c r="F33" s="370">
        <v>0.59182305650599998</v>
      </c>
      <c r="G33" s="371">
        <v>9.8637176083999994E-2</v>
      </c>
      <c r="H33" s="373">
        <v>0</v>
      </c>
      <c r="I33" s="370">
        <v>0</v>
      </c>
      <c r="J33" s="371">
        <v>-9.8637176083999994E-2</v>
      </c>
      <c r="K33" s="374">
        <v>0</v>
      </c>
    </row>
    <row r="34" spans="1:11" ht="14.4" customHeight="1" thickBot="1" x14ac:dyDescent="0.35">
      <c r="A34" s="391" t="s">
        <v>261</v>
      </c>
      <c r="B34" s="375">
        <v>17.999999433043001</v>
      </c>
      <c r="C34" s="375">
        <v>16.6021</v>
      </c>
      <c r="D34" s="376">
        <v>-1.3978994330429999</v>
      </c>
      <c r="E34" s="382">
        <v>0.92233891794</v>
      </c>
      <c r="F34" s="375">
        <v>3.7779387340859998</v>
      </c>
      <c r="G34" s="376">
        <v>0.62965645568100004</v>
      </c>
      <c r="H34" s="378">
        <v>1.40205</v>
      </c>
      <c r="I34" s="375">
        <v>2.05905</v>
      </c>
      <c r="J34" s="376">
        <v>1.4293935443179999</v>
      </c>
      <c r="K34" s="383">
        <v>0.54501942591600006</v>
      </c>
    </row>
    <row r="35" spans="1:11" ht="14.4" customHeight="1" thickBot="1" x14ac:dyDescent="0.35">
      <c r="A35" s="392" t="s">
        <v>262</v>
      </c>
      <c r="B35" s="370">
        <v>11.999999622028</v>
      </c>
      <c r="C35" s="370">
        <v>13.804930000000001</v>
      </c>
      <c r="D35" s="371">
        <v>1.804930377971</v>
      </c>
      <c r="E35" s="372">
        <v>1.150410869568</v>
      </c>
      <c r="F35" s="370">
        <v>0</v>
      </c>
      <c r="G35" s="371">
        <v>0</v>
      </c>
      <c r="H35" s="373">
        <v>0.92201</v>
      </c>
      <c r="I35" s="370">
        <v>1.57901</v>
      </c>
      <c r="J35" s="371">
        <v>1.57901</v>
      </c>
      <c r="K35" s="381" t="s">
        <v>230</v>
      </c>
    </row>
    <row r="36" spans="1:11" ht="14.4" customHeight="1" thickBot="1" x14ac:dyDescent="0.35">
      <c r="A36" s="392" t="s">
        <v>263</v>
      </c>
      <c r="B36" s="370">
        <v>0.99999996850200001</v>
      </c>
      <c r="C36" s="370">
        <v>0</v>
      </c>
      <c r="D36" s="371">
        <v>-0.99999996850200001</v>
      </c>
      <c r="E36" s="372">
        <v>0</v>
      </c>
      <c r="F36" s="370">
        <v>0</v>
      </c>
      <c r="G36" s="371">
        <v>0</v>
      </c>
      <c r="H36" s="373">
        <v>0</v>
      </c>
      <c r="I36" s="370">
        <v>0</v>
      </c>
      <c r="J36" s="371">
        <v>0</v>
      </c>
      <c r="K36" s="374">
        <v>2</v>
      </c>
    </row>
    <row r="37" spans="1:11" ht="14.4" customHeight="1" thickBot="1" x14ac:dyDescent="0.35">
      <c r="A37" s="392" t="s">
        <v>264</v>
      </c>
      <c r="B37" s="370">
        <v>0.99999996850200001</v>
      </c>
      <c r="C37" s="370">
        <v>0.29520000000000002</v>
      </c>
      <c r="D37" s="371">
        <v>-0.704799968502</v>
      </c>
      <c r="E37" s="372">
        <v>0.295200009298</v>
      </c>
      <c r="F37" s="370">
        <v>0.29614417518300001</v>
      </c>
      <c r="G37" s="371">
        <v>4.9357362529999997E-2</v>
      </c>
      <c r="H37" s="373">
        <v>9.5839999999999995E-2</v>
      </c>
      <c r="I37" s="370">
        <v>9.5839999999999995E-2</v>
      </c>
      <c r="J37" s="371">
        <v>4.6482637468999999E-2</v>
      </c>
      <c r="K37" s="374">
        <v>0.32362615249900001</v>
      </c>
    </row>
    <row r="38" spans="1:11" ht="14.4" customHeight="1" thickBot="1" x14ac:dyDescent="0.35">
      <c r="A38" s="392" t="s">
        <v>265</v>
      </c>
      <c r="B38" s="370">
        <v>2.9999999055069999</v>
      </c>
      <c r="C38" s="370">
        <v>1.7926599999999999</v>
      </c>
      <c r="D38" s="371">
        <v>-1.207339905507</v>
      </c>
      <c r="E38" s="372">
        <v>0.59755335215399996</v>
      </c>
      <c r="F38" s="370">
        <v>3.4508888946540002</v>
      </c>
      <c r="G38" s="371">
        <v>0.57514814910900003</v>
      </c>
      <c r="H38" s="373">
        <v>0.38419999999999999</v>
      </c>
      <c r="I38" s="370">
        <v>0.38419999999999999</v>
      </c>
      <c r="J38" s="371">
        <v>-0.19094814910899999</v>
      </c>
      <c r="K38" s="374">
        <v>0.11133363366</v>
      </c>
    </row>
    <row r="39" spans="1:11" ht="14.4" customHeight="1" thickBot="1" x14ac:dyDescent="0.35">
      <c r="A39" s="392" t="s">
        <v>266</v>
      </c>
      <c r="B39" s="370">
        <v>0.99999996850200001</v>
      </c>
      <c r="C39" s="370">
        <v>0.70931</v>
      </c>
      <c r="D39" s="371">
        <v>-0.29068996850200002</v>
      </c>
      <c r="E39" s="372">
        <v>0.70931002234100005</v>
      </c>
      <c r="F39" s="370">
        <v>3.0905664247E-2</v>
      </c>
      <c r="G39" s="371">
        <v>5.1509440409999996E-3</v>
      </c>
      <c r="H39" s="373">
        <v>0</v>
      </c>
      <c r="I39" s="370">
        <v>0</v>
      </c>
      <c r="J39" s="371">
        <v>-5.1509440409999996E-3</v>
      </c>
      <c r="K39" s="374">
        <v>0</v>
      </c>
    </row>
    <row r="40" spans="1:11" ht="14.4" customHeight="1" thickBot="1" x14ac:dyDescent="0.35">
      <c r="A40" s="391" t="s">
        <v>267</v>
      </c>
      <c r="B40" s="375">
        <v>0</v>
      </c>
      <c r="C40" s="375">
        <v>2.0877699999999999</v>
      </c>
      <c r="D40" s="376">
        <v>2.0877699999999999</v>
      </c>
      <c r="E40" s="377" t="s">
        <v>230</v>
      </c>
      <c r="F40" s="375">
        <v>0</v>
      </c>
      <c r="G40" s="376">
        <v>0</v>
      </c>
      <c r="H40" s="378">
        <v>0</v>
      </c>
      <c r="I40" s="375">
        <v>0</v>
      </c>
      <c r="J40" s="376">
        <v>0</v>
      </c>
      <c r="K40" s="379" t="s">
        <v>230</v>
      </c>
    </row>
    <row r="41" spans="1:11" ht="14.4" customHeight="1" thickBot="1" x14ac:dyDescent="0.35">
      <c r="A41" s="392" t="s">
        <v>268</v>
      </c>
      <c r="B41" s="370">
        <v>0</v>
      </c>
      <c r="C41" s="370">
        <v>2.0877699999999999</v>
      </c>
      <c r="D41" s="371">
        <v>2.0877699999999999</v>
      </c>
      <c r="E41" s="380" t="s">
        <v>230</v>
      </c>
      <c r="F41" s="370">
        <v>0</v>
      </c>
      <c r="G41" s="371">
        <v>0</v>
      </c>
      <c r="H41" s="373">
        <v>0</v>
      </c>
      <c r="I41" s="370">
        <v>0</v>
      </c>
      <c r="J41" s="371">
        <v>0</v>
      </c>
      <c r="K41" s="381" t="s">
        <v>230</v>
      </c>
    </row>
    <row r="42" spans="1:11" ht="14.4" customHeight="1" thickBot="1" x14ac:dyDescent="0.35">
      <c r="A42" s="393" t="s">
        <v>269</v>
      </c>
      <c r="B42" s="375">
        <v>519.39345651222902</v>
      </c>
      <c r="C42" s="375">
        <v>605.35109</v>
      </c>
      <c r="D42" s="376">
        <v>85.957633487769996</v>
      </c>
      <c r="E42" s="382">
        <v>1.1654961809969999</v>
      </c>
      <c r="F42" s="375">
        <v>584.61602700114202</v>
      </c>
      <c r="G42" s="376">
        <v>97.436004500189995</v>
      </c>
      <c r="H42" s="378">
        <v>0.139769999999</v>
      </c>
      <c r="I42" s="375">
        <v>51.686810000000001</v>
      </c>
      <c r="J42" s="376">
        <v>-45.749194500190001</v>
      </c>
      <c r="K42" s="383">
        <v>8.8411551535999999E-2</v>
      </c>
    </row>
    <row r="43" spans="1:11" ht="14.4" customHeight="1" thickBot="1" x14ac:dyDescent="0.35">
      <c r="A43" s="390" t="s">
        <v>32</v>
      </c>
      <c r="B43" s="370">
        <v>18.405723420929</v>
      </c>
      <c r="C43" s="370">
        <v>46.503729999999997</v>
      </c>
      <c r="D43" s="371">
        <v>28.098006579069999</v>
      </c>
      <c r="E43" s="372">
        <v>2.526590720532</v>
      </c>
      <c r="F43" s="370">
        <v>36.362718081305999</v>
      </c>
      <c r="G43" s="371">
        <v>6.0604530135510002</v>
      </c>
      <c r="H43" s="373">
        <v>0</v>
      </c>
      <c r="I43" s="370">
        <v>4.6796699999999998</v>
      </c>
      <c r="J43" s="371">
        <v>-1.380783013551</v>
      </c>
      <c r="K43" s="374">
        <v>0.128694174883</v>
      </c>
    </row>
    <row r="44" spans="1:11" ht="14.4" customHeight="1" thickBot="1" x14ac:dyDescent="0.35">
      <c r="A44" s="394" t="s">
        <v>270</v>
      </c>
      <c r="B44" s="370">
        <v>18.405723420929</v>
      </c>
      <c r="C44" s="370">
        <v>46.503729999999997</v>
      </c>
      <c r="D44" s="371">
        <v>28.098006579069999</v>
      </c>
      <c r="E44" s="372">
        <v>2.526590720532</v>
      </c>
      <c r="F44" s="370">
        <v>36.362718081305999</v>
      </c>
      <c r="G44" s="371">
        <v>6.0604530135510002</v>
      </c>
      <c r="H44" s="373">
        <v>0</v>
      </c>
      <c r="I44" s="370">
        <v>4.6796699999999998</v>
      </c>
      <c r="J44" s="371">
        <v>-1.380783013551</v>
      </c>
      <c r="K44" s="374">
        <v>0.128694174883</v>
      </c>
    </row>
    <row r="45" spans="1:11" ht="14.4" customHeight="1" thickBot="1" x14ac:dyDescent="0.35">
      <c r="A45" s="392" t="s">
        <v>271</v>
      </c>
      <c r="B45" s="370">
        <v>12.69999959998</v>
      </c>
      <c r="C45" s="370">
        <v>44.084319999999998</v>
      </c>
      <c r="D45" s="371">
        <v>31.384320400019</v>
      </c>
      <c r="E45" s="372">
        <v>3.4712064085469998</v>
      </c>
      <c r="F45" s="370">
        <v>33.098749596856003</v>
      </c>
      <c r="G45" s="371">
        <v>5.5164582661420001</v>
      </c>
      <c r="H45" s="373">
        <v>0</v>
      </c>
      <c r="I45" s="370">
        <v>3.9449999999999998</v>
      </c>
      <c r="J45" s="371">
        <v>-1.571458266142</v>
      </c>
      <c r="K45" s="374">
        <v>0.119188792569</v>
      </c>
    </row>
    <row r="46" spans="1:11" ht="14.4" customHeight="1" thickBot="1" x14ac:dyDescent="0.35">
      <c r="A46" s="392" t="s">
        <v>272</v>
      </c>
      <c r="B46" s="370">
        <v>0</v>
      </c>
      <c r="C46" s="370">
        <v>1.4275</v>
      </c>
      <c r="D46" s="371">
        <v>1.4275</v>
      </c>
      <c r="E46" s="380" t="s">
        <v>258</v>
      </c>
      <c r="F46" s="370">
        <v>2.5509237661680002</v>
      </c>
      <c r="G46" s="371">
        <v>0.42515396102800002</v>
      </c>
      <c r="H46" s="373">
        <v>0</v>
      </c>
      <c r="I46" s="370">
        <v>0</v>
      </c>
      <c r="J46" s="371">
        <v>-0.42515396102800002</v>
      </c>
      <c r="K46" s="374">
        <v>0</v>
      </c>
    </row>
    <row r="47" spans="1:11" ht="14.4" customHeight="1" thickBot="1" x14ac:dyDescent="0.35">
      <c r="A47" s="392" t="s">
        <v>273</v>
      </c>
      <c r="B47" s="370">
        <v>5.7057238209480001</v>
      </c>
      <c r="C47" s="370">
        <v>0.99190999999999996</v>
      </c>
      <c r="D47" s="371">
        <v>-4.7138138209480003</v>
      </c>
      <c r="E47" s="372">
        <v>0.17384472700100001</v>
      </c>
      <c r="F47" s="370">
        <v>0.713044718282</v>
      </c>
      <c r="G47" s="371">
        <v>0.11884078637999999</v>
      </c>
      <c r="H47" s="373">
        <v>0</v>
      </c>
      <c r="I47" s="370">
        <v>0.73467000000000005</v>
      </c>
      <c r="J47" s="371">
        <v>0.615829213619</v>
      </c>
      <c r="K47" s="374">
        <v>1.030328086251</v>
      </c>
    </row>
    <row r="48" spans="1:11" ht="14.4" customHeight="1" thickBot="1" x14ac:dyDescent="0.35">
      <c r="A48" s="395" t="s">
        <v>33</v>
      </c>
      <c r="B48" s="375">
        <v>0</v>
      </c>
      <c r="C48" s="375">
        <v>27.87</v>
      </c>
      <c r="D48" s="376">
        <v>27.87</v>
      </c>
      <c r="E48" s="377" t="s">
        <v>230</v>
      </c>
      <c r="F48" s="375">
        <v>5.5668039311140003</v>
      </c>
      <c r="G48" s="376">
        <v>0.92780065518499999</v>
      </c>
      <c r="H48" s="378">
        <v>0.48099999999999998</v>
      </c>
      <c r="I48" s="375">
        <v>0.48099999999999998</v>
      </c>
      <c r="J48" s="376">
        <v>-0.44680065518500001</v>
      </c>
      <c r="K48" s="383">
        <v>8.6405055028E-2</v>
      </c>
    </row>
    <row r="49" spans="1:11" ht="14.4" customHeight="1" thickBot="1" x14ac:dyDescent="0.35">
      <c r="A49" s="391" t="s">
        <v>274</v>
      </c>
      <c r="B49" s="375">
        <v>0</v>
      </c>
      <c r="C49" s="375">
        <v>27.87</v>
      </c>
      <c r="D49" s="376">
        <v>27.87</v>
      </c>
      <c r="E49" s="377" t="s">
        <v>230</v>
      </c>
      <c r="F49" s="375">
        <v>5.5668039311140003</v>
      </c>
      <c r="G49" s="376">
        <v>0.92780065518499999</v>
      </c>
      <c r="H49" s="378">
        <v>0.48099999999999998</v>
      </c>
      <c r="I49" s="375">
        <v>0.48099999999999998</v>
      </c>
      <c r="J49" s="376">
        <v>-0.44680065518500001</v>
      </c>
      <c r="K49" s="383">
        <v>8.6405055028E-2</v>
      </c>
    </row>
    <row r="50" spans="1:11" ht="14.4" customHeight="1" thickBot="1" x14ac:dyDescent="0.35">
      <c r="A50" s="392" t="s">
        <v>275</v>
      </c>
      <c r="B50" s="370">
        <v>0</v>
      </c>
      <c r="C50" s="370">
        <v>21.49</v>
      </c>
      <c r="D50" s="371">
        <v>21.49</v>
      </c>
      <c r="E50" s="380" t="s">
        <v>230</v>
      </c>
      <c r="F50" s="370">
        <v>0</v>
      </c>
      <c r="G50" s="371">
        <v>0</v>
      </c>
      <c r="H50" s="373">
        <v>0.48099999999999998</v>
      </c>
      <c r="I50" s="370">
        <v>0.48099999999999998</v>
      </c>
      <c r="J50" s="371">
        <v>0.48099999999999998</v>
      </c>
      <c r="K50" s="381" t="s">
        <v>230</v>
      </c>
    </row>
    <row r="51" spans="1:11" ht="14.4" customHeight="1" thickBot="1" x14ac:dyDescent="0.35">
      <c r="A51" s="392" t="s">
        <v>276</v>
      </c>
      <c r="B51" s="370">
        <v>0</v>
      </c>
      <c r="C51" s="370">
        <v>6.38</v>
      </c>
      <c r="D51" s="371">
        <v>6.38</v>
      </c>
      <c r="E51" s="380" t="s">
        <v>230</v>
      </c>
      <c r="F51" s="370">
        <v>5.5668039311140003</v>
      </c>
      <c r="G51" s="371">
        <v>0.92780065518499999</v>
      </c>
      <c r="H51" s="373">
        <v>0</v>
      </c>
      <c r="I51" s="370">
        <v>0</v>
      </c>
      <c r="J51" s="371">
        <v>-0.92780065518499999</v>
      </c>
      <c r="K51" s="374">
        <v>0</v>
      </c>
    </row>
    <row r="52" spans="1:11" ht="14.4" customHeight="1" thickBot="1" x14ac:dyDescent="0.35">
      <c r="A52" s="390" t="s">
        <v>34</v>
      </c>
      <c r="B52" s="370">
        <v>500.98773309130002</v>
      </c>
      <c r="C52" s="370">
        <v>530.97735999999998</v>
      </c>
      <c r="D52" s="371">
        <v>29.9896269087</v>
      </c>
      <c r="E52" s="372">
        <v>1.059861000435</v>
      </c>
      <c r="F52" s="370">
        <v>542.68650498872103</v>
      </c>
      <c r="G52" s="371">
        <v>90.447750831453007</v>
      </c>
      <c r="H52" s="373">
        <v>-0.341229999999</v>
      </c>
      <c r="I52" s="370">
        <v>46.526139999999998</v>
      </c>
      <c r="J52" s="371">
        <v>-43.921610831453002</v>
      </c>
      <c r="K52" s="374">
        <v>8.5732996071000003E-2</v>
      </c>
    </row>
    <row r="53" spans="1:11" ht="14.4" customHeight="1" thickBot="1" x14ac:dyDescent="0.35">
      <c r="A53" s="391" t="s">
        <v>277</v>
      </c>
      <c r="B53" s="375">
        <v>0.42588980111199998</v>
      </c>
      <c r="C53" s="375">
        <v>0</v>
      </c>
      <c r="D53" s="376">
        <v>-0.42588980111199998</v>
      </c>
      <c r="E53" s="382">
        <v>0</v>
      </c>
      <c r="F53" s="375">
        <v>0</v>
      </c>
      <c r="G53" s="376">
        <v>0</v>
      </c>
      <c r="H53" s="378">
        <v>0</v>
      </c>
      <c r="I53" s="375">
        <v>0</v>
      </c>
      <c r="J53" s="376">
        <v>0</v>
      </c>
      <c r="K53" s="383">
        <v>2</v>
      </c>
    </row>
    <row r="54" spans="1:11" ht="14.4" customHeight="1" thickBot="1" x14ac:dyDescent="0.35">
      <c r="A54" s="392" t="s">
        <v>278</v>
      </c>
      <c r="B54" s="370">
        <v>0.42588980111199998</v>
      </c>
      <c r="C54" s="370">
        <v>0</v>
      </c>
      <c r="D54" s="371">
        <v>-0.42588980111199998</v>
      </c>
      <c r="E54" s="372">
        <v>0</v>
      </c>
      <c r="F54" s="370">
        <v>0</v>
      </c>
      <c r="G54" s="371">
        <v>0</v>
      </c>
      <c r="H54" s="373">
        <v>0</v>
      </c>
      <c r="I54" s="370">
        <v>0</v>
      </c>
      <c r="J54" s="371">
        <v>0</v>
      </c>
      <c r="K54" s="374">
        <v>2</v>
      </c>
    </row>
    <row r="55" spans="1:11" ht="14.4" customHeight="1" thickBot="1" x14ac:dyDescent="0.35">
      <c r="A55" s="391" t="s">
        <v>279</v>
      </c>
      <c r="B55" s="375">
        <v>17.027024499804</v>
      </c>
      <c r="C55" s="375">
        <v>17.063179999999999</v>
      </c>
      <c r="D55" s="376">
        <v>3.6155500195000002E-2</v>
      </c>
      <c r="E55" s="382">
        <v>1.0021234185800001</v>
      </c>
      <c r="F55" s="375">
        <v>16.788493239240999</v>
      </c>
      <c r="G55" s="376">
        <v>2.7980822065400002</v>
      </c>
      <c r="H55" s="378">
        <v>1.3588499999999999</v>
      </c>
      <c r="I55" s="375">
        <v>2.45567</v>
      </c>
      <c r="J55" s="376">
        <v>-0.34241220653999999</v>
      </c>
      <c r="K55" s="383">
        <v>0.146271018191</v>
      </c>
    </row>
    <row r="56" spans="1:11" ht="14.4" customHeight="1" thickBot="1" x14ac:dyDescent="0.35">
      <c r="A56" s="392" t="s">
        <v>280</v>
      </c>
      <c r="B56" s="370">
        <v>5.2762009394730001</v>
      </c>
      <c r="C56" s="370">
        <v>4.8982999999999999</v>
      </c>
      <c r="D56" s="371">
        <v>-0.37790093947300002</v>
      </c>
      <c r="E56" s="372">
        <v>0.92837631776899998</v>
      </c>
      <c r="F56" s="370">
        <v>3.4050230575659999</v>
      </c>
      <c r="G56" s="371">
        <v>0.56750384292699996</v>
      </c>
      <c r="H56" s="373">
        <v>0.36099999999999999</v>
      </c>
      <c r="I56" s="370">
        <v>0.63849999999999996</v>
      </c>
      <c r="J56" s="371">
        <v>7.0996157071999993E-2</v>
      </c>
      <c r="K56" s="374">
        <v>0.18751708555400001</v>
      </c>
    </row>
    <row r="57" spans="1:11" ht="14.4" customHeight="1" thickBot="1" x14ac:dyDescent="0.35">
      <c r="A57" s="392" t="s">
        <v>281</v>
      </c>
      <c r="B57" s="370">
        <v>11.75082356033</v>
      </c>
      <c r="C57" s="370">
        <v>12.16488</v>
      </c>
      <c r="D57" s="371">
        <v>0.41405643966900002</v>
      </c>
      <c r="E57" s="372">
        <v>1.0352363762029999</v>
      </c>
      <c r="F57" s="370">
        <v>13.383470181674999</v>
      </c>
      <c r="G57" s="371">
        <v>2.230578363612</v>
      </c>
      <c r="H57" s="373">
        <v>0.99785000000000001</v>
      </c>
      <c r="I57" s="370">
        <v>1.81717</v>
      </c>
      <c r="J57" s="371">
        <v>-0.41340836361200001</v>
      </c>
      <c r="K57" s="374">
        <v>0.135777191963</v>
      </c>
    </row>
    <row r="58" spans="1:11" ht="14.4" customHeight="1" thickBot="1" x14ac:dyDescent="0.35">
      <c r="A58" s="391" t="s">
        <v>282</v>
      </c>
      <c r="B58" s="375">
        <v>69.999997795167999</v>
      </c>
      <c r="C58" s="375">
        <v>103.62258</v>
      </c>
      <c r="D58" s="376">
        <v>33.622582204830998</v>
      </c>
      <c r="E58" s="382">
        <v>1.480322618055</v>
      </c>
      <c r="F58" s="375">
        <v>40.435537380492001</v>
      </c>
      <c r="G58" s="376">
        <v>6.7392562300819998</v>
      </c>
      <c r="H58" s="378">
        <v>-47.688400000000001</v>
      </c>
      <c r="I58" s="375">
        <v>-35.74973</v>
      </c>
      <c r="J58" s="376">
        <v>-42.488986230081998</v>
      </c>
      <c r="K58" s="383">
        <v>-0.88411660425299998</v>
      </c>
    </row>
    <row r="59" spans="1:11" ht="14.4" customHeight="1" thickBot="1" x14ac:dyDescent="0.35">
      <c r="A59" s="392" t="s">
        <v>283</v>
      </c>
      <c r="B59" s="370">
        <v>69.999997795167999</v>
      </c>
      <c r="C59" s="370">
        <v>103.62258</v>
      </c>
      <c r="D59" s="371">
        <v>33.622582204830998</v>
      </c>
      <c r="E59" s="372">
        <v>1.480322618055</v>
      </c>
      <c r="F59" s="370">
        <v>40.435537380492001</v>
      </c>
      <c r="G59" s="371">
        <v>6.7392562300819998</v>
      </c>
      <c r="H59" s="373">
        <v>-47.688400000000001</v>
      </c>
      <c r="I59" s="370">
        <v>-35.74973</v>
      </c>
      <c r="J59" s="371">
        <v>-42.488986230081998</v>
      </c>
      <c r="K59" s="374">
        <v>-0.88411660425299998</v>
      </c>
    </row>
    <row r="60" spans="1:11" ht="14.4" customHeight="1" thickBot="1" x14ac:dyDescent="0.35">
      <c r="A60" s="391" t="s">
        <v>284</v>
      </c>
      <c r="B60" s="375">
        <v>109.94057117001999</v>
      </c>
      <c r="C60" s="375">
        <v>132.54253</v>
      </c>
      <c r="D60" s="376">
        <v>22.601958829979999</v>
      </c>
      <c r="E60" s="382">
        <v>1.205583421929</v>
      </c>
      <c r="F60" s="375">
        <v>114.404028750858</v>
      </c>
      <c r="G60" s="376">
        <v>19.067338125142999</v>
      </c>
      <c r="H60" s="378">
        <v>9.7533899999999996</v>
      </c>
      <c r="I60" s="375">
        <v>19.467269999999999</v>
      </c>
      <c r="J60" s="376">
        <v>0.39993187485699999</v>
      </c>
      <c r="K60" s="383">
        <v>0.170162451554</v>
      </c>
    </row>
    <row r="61" spans="1:11" ht="14.4" customHeight="1" thickBot="1" x14ac:dyDescent="0.35">
      <c r="A61" s="392" t="s">
        <v>285</v>
      </c>
      <c r="B61" s="370">
        <v>0</v>
      </c>
      <c r="C61" s="370">
        <v>0.372</v>
      </c>
      <c r="D61" s="371">
        <v>0.372</v>
      </c>
      <c r="E61" s="380" t="s">
        <v>258</v>
      </c>
      <c r="F61" s="370">
        <v>0.41070856320900001</v>
      </c>
      <c r="G61" s="371">
        <v>6.8451427201000004E-2</v>
      </c>
      <c r="H61" s="373">
        <v>0</v>
      </c>
      <c r="I61" s="370">
        <v>0</v>
      </c>
      <c r="J61" s="371">
        <v>-6.8451427201000004E-2</v>
      </c>
      <c r="K61" s="374">
        <v>0</v>
      </c>
    </row>
    <row r="62" spans="1:11" ht="14.4" customHeight="1" thickBot="1" x14ac:dyDescent="0.35">
      <c r="A62" s="392" t="s">
        <v>286</v>
      </c>
      <c r="B62" s="370">
        <v>109.63783046930099</v>
      </c>
      <c r="C62" s="370">
        <v>132.17053000000001</v>
      </c>
      <c r="D62" s="371">
        <v>22.532699530698999</v>
      </c>
      <c r="E62" s="372">
        <v>1.2055193853640001</v>
      </c>
      <c r="F62" s="370">
        <v>113.993320187649</v>
      </c>
      <c r="G62" s="371">
        <v>18.998886697941</v>
      </c>
      <c r="H62" s="373">
        <v>9.7533899999999996</v>
      </c>
      <c r="I62" s="370">
        <v>19.467269999999999</v>
      </c>
      <c r="J62" s="371">
        <v>0.468383302058</v>
      </c>
      <c r="K62" s="374">
        <v>0.170775532881</v>
      </c>
    </row>
    <row r="63" spans="1:11" ht="14.4" customHeight="1" thickBot="1" x14ac:dyDescent="0.35">
      <c r="A63" s="392" t="s">
        <v>287</v>
      </c>
      <c r="B63" s="370">
        <v>0.302740700719</v>
      </c>
      <c r="C63" s="370">
        <v>0</v>
      </c>
      <c r="D63" s="371">
        <v>-0.302740700719</v>
      </c>
      <c r="E63" s="372">
        <v>0</v>
      </c>
      <c r="F63" s="370">
        <v>0</v>
      </c>
      <c r="G63" s="371">
        <v>0</v>
      </c>
      <c r="H63" s="373">
        <v>0</v>
      </c>
      <c r="I63" s="370">
        <v>0</v>
      </c>
      <c r="J63" s="371">
        <v>0</v>
      </c>
      <c r="K63" s="374">
        <v>2</v>
      </c>
    </row>
    <row r="64" spans="1:11" ht="14.4" customHeight="1" thickBot="1" x14ac:dyDescent="0.35">
      <c r="A64" s="391" t="s">
        <v>288</v>
      </c>
      <c r="B64" s="375">
        <v>133.59425517978201</v>
      </c>
      <c r="C64" s="375">
        <v>141.77306999999999</v>
      </c>
      <c r="D64" s="376">
        <v>8.1788148202169992</v>
      </c>
      <c r="E64" s="382">
        <v>1.0612213063289999</v>
      </c>
      <c r="F64" s="375">
        <v>81.848416306339004</v>
      </c>
      <c r="G64" s="376">
        <v>13.641402717723</v>
      </c>
      <c r="H64" s="378">
        <v>29.62293</v>
      </c>
      <c r="I64" s="375">
        <v>53.740929999999999</v>
      </c>
      <c r="J64" s="376">
        <v>40.099527282276</v>
      </c>
      <c r="K64" s="383">
        <v>0.65659095710299997</v>
      </c>
    </row>
    <row r="65" spans="1:11" ht="14.4" customHeight="1" thickBot="1" x14ac:dyDescent="0.35">
      <c r="A65" s="392" t="s">
        <v>289</v>
      </c>
      <c r="B65" s="370">
        <v>109.46054516504201</v>
      </c>
      <c r="C65" s="370">
        <v>110.99861</v>
      </c>
      <c r="D65" s="371">
        <v>1.5380648349579999</v>
      </c>
      <c r="E65" s="372">
        <v>1.014051317144</v>
      </c>
      <c r="F65" s="370">
        <v>64.567979098403001</v>
      </c>
      <c r="G65" s="371">
        <v>10.761329849733</v>
      </c>
      <c r="H65" s="373">
        <v>12.30288</v>
      </c>
      <c r="I65" s="370">
        <v>30.948879999999999</v>
      </c>
      <c r="J65" s="371">
        <v>20.187550150265999</v>
      </c>
      <c r="K65" s="374">
        <v>0.47932242006199999</v>
      </c>
    </row>
    <row r="66" spans="1:11" ht="14.4" customHeight="1" thickBot="1" x14ac:dyDescent="0.35">
      <c r="A66" s="392" t="s">
        <v>290</v>
      </c>
      <c r="B66" s="370">
        <v>24.13371001474</v>
      </c>
      <c r="C66" s="370">
        <v>30.774460000000001</v>
      </c>
      <c r="D66" s="371">
        <v>6.6407499852590002</v>
      </c>
      <c r="E66" s="372">
        <v>1.2751649034150001</v>
      </c>
      <c r="F66" s="370">
        <v>17.280437207936</v>
      </c>
      <c r="G66" s="371">
        <v>2.880072867989</v>
      </c>
      <c r="H66" s="373">
        <v>3.0975999999999999</v>
      </c>
      <c r="I66" s="370">
        <v>8.5695999999999994</v>
      </c>
      <c r="J66" s="371">
        <v>5.6895271320100003</v>
      </c>
      <c r="K66" s="374">
        <v>0.49591337863000001</v>
      </c>
    </row>
    <row r="67" spans="1:11" ht="14.4" customHeight="1" thickBot="1" x14ac:dyDescent="0.35">
      <c r="A67" s="392" t="s">
        <v>291</v>
      </c>
      <c r="B67" s="370">
        <v>0</v>
      </c>
      <c r="C67" s="370">
        <v>0</v>
      </c>
      <c r="D67" s="371">
        <v>0</v>
      </c>
      <c r="E67" s="372">
        <v>1</v>
      </c>
      <c r="F67" s="370">
        <v>0</v>
      </c>
      <c r="G67" s="371">
        <v>0</v>
      </c>
      <c r="H67" s="373">
        <v>14.22245</v>
      </c>
      <c r="I67" s="370">
        <v>14.22245</v>
      </c>
      <c r="J67" s="371">
        <v>14.22245</v>
      </c>
      <c r="K67" s="381" t="s">
        <v>258</v>
      </c>
    </row>
    <row r="68" spans="1:11" ht="14.4" customHeight="1" thickBot="1" x14ac:dyDescent="0.35">
      <c r="A68" s="391" t="s">
        <v>292</v>
      </c>
      <c r="B68" s="375">
        <v>0</v>
      </c>
      <c r="C68" s="375">
        <v>0.01</v>
      </c>
      <c r="D68" s="376">
        <v>0.01</v>
      </c>
      <c r="E68" s="377" t="s">
        <v>258</v>
      </c>
      <c r="F68" s="375">
        <v>0</v>
      </c>
      <c r="G68" s="376">
        <v>0</v>
      </c>
      <c r="H68" s="378">
        <v>0</v>
      </c>
      <c r="I68" s="375">
        <v>0</v>
      </c>
      <c r="J68" s="376">
        <v>0</v>
      </c>
      <c r="K68" s="379" t="s">
        <v>230</v>
      </c>
    </row>
    <row r="69" spans="1:11" ht="14.4" customHeight="1" thickBot="1" x14ac:dyDescent="0.35">
      <c r="A69" s="392" t="s">
        <v>293</v>
      </c>
      <c r="B69" s="370">
        <v>0</v>
      </c>
      <c r="C69" s="370">
        <v>0.01</v>
      </c>
      <c r="D69" s="371">
        <v>0.01</v>
      </c>
      <c r="E69" s="380" t="s">
        <v>258</v>
      </c>
      <c r="F69" s="370">
        <v>0</v>
      </c>
      <c r="G69" s="371">
        <v>0</v>
      </c>
      <c r="H69" s="373">
        <v>0</v>
      </c>
      <c r="I69" s="370">
        <v>0</v>
      </c>
      <c r="J69" s="371">
        <v>0</v>
      </c>
      <c r="K69" s="381" t="s">
        <v>230</v>
      </c>
    </row>
    <row r="70" spans="1:11" ht="14.4" customHeight="1" thickBot="1" x14ac:dyDescent="0.35">
      <c r="A70" s="391" t="s">
        <v>294</v>
      </c>
      <c r="B70" s="375">
        <v>169.99999464541199</v>
      </c>
      <c r="C70" s="375">
        <v>135.96600000000001</v>
      </c>
      <c r="D70" s="376">
        <v>-34.033994645410999</v>
      </c>
      <c r="E70" s="382">
        <v>0.79980002519100002</v>
      </c>
      <c r="F70" s="375">
        <v>289.210029311791</v>
      </c>
      <c r="G70" s="376">
        <v>48.201671551964999</v>
      </c>
      <c r="H70" s="378">
        <v>6.6120000000000001</v>
      </c>
      <c r="I70" s="375">
        <v>6.6120000000000001</v>
      </c>
      <c r="J70" s="376">
        <v>-41.589671551964997</v>
      </c>
      <c r="K70" s="383">
        <v>2.2862277686999999E-2</v>
      </c>
    </row>
    <row r="71" spans="1:11" ht="14.4" customHeight="1" thickBot="1" x14ac:dyDescent="0.35">
      <c r="A71" s="392" t="s">
        <v>295</v>
      </c>
      <c r="B71" s="370">
        <v>0</v>
      </c>
      <c r="C71" s="370">
        <v>58.081000000000003</v>
      </c>
      <c r="D71" s="371">
        <v>58.081000000000003</v>
      </c>
      <c r="E71" s="380" t="s">
        <v>258</v>
      </c>
      <c r="F71" s="370">
        <v>30.613542794844999</v>
      </c>
      <c r="G71" s="371">
        <v>5.1022571324739996</v>
      </c>
      <c r="H71" s="373">
        <v>0</v>
      </c>
      <c r="I71" s="370">
        <v>0</v>
      </c>
      <c r="J71" s="371">
        <v>-5.1022571324739996</v>
      </c>
      <c r="K71" s="374">
        <v>0</v>
      </c>
    </row>
    <row r="72" spans="1:11" ht="14.4" customHeight="1" thickBot="1" x14ac:dyDescent="0.35">
      <c r="A72" s="392" t="s">
        <v>296</v>
      </c>
      <c r="B72" s="370">
        <v>69.999997795168994</v>
      </c>
      <c r="C72" s="370">
        <v>4.5670000000000002</v>
      </c>
      <c r="D72" s="371">
        <v>-65.432997795169001</v>
      </c>
      <c r="E72" s="372">
        <v>6.5242859197E-2</v>
      </c>
      <c r="F72" s="370">
        <v>83.596438277201997</v>
      </c>
      <c r="G72" s="371">
        <v>13.932739712867001</v>
      </c>
      <c r="H72" s="373">
        <v>0.372</v>
      </c>
      <c r="I72" s="370">
        <v>0.372</v>
      </c>
      <c r="J72" s="371">
        <v>-13.560739712867001</v>
      </c>
      <c r="K72" s="374">
        <v>4.4499503519999997E-3</v>
      </c>
    </row>
    <row r="73" spans="1:11" ht="14.4" customHeight="1" thickBot="1" x14ac:dyDescent="0.35">
      <c r="A73" s="392" t="s">
        <v>297</v>
      </c>
      <c r="B73" s="370">
        <v>99.999996850241999</v>
      </c>
      <c r="C73" s="370">
        <v>73.317999999999998</v>
      </c>
      <c r="D73" s="371">
        <v>-26.681996850242001</v>
      </c>
      <c r="E73" s="372">
        <v>0.73318002309300001</v>
      </c>
      <c r="F73" s="370">
        <v>175.000048239742</v>
      </c>
      <c r="G73" s="371">
        <v>29.166674706622999</v>
      </c>
      <c r="H73" s="373">
        <v>6.24</v>
      </c>
      <c r="I73" s="370">
        <v>6.24</v>
      </c>
      <c r="J73" s="371">
        <v>-22.926674706623</v>
      </c>
      <c r="K73" s="374">
        <v>3.5657133027999999E-2</v>
      </c>
    </row>
    <row r="74" spans="1:11" ht="14.4" customHeight="1" thickBot="1" x14ac:dyDescent="0.35">
      <c r="A74" s="389" t="s">
        <v>35</v>
      </c>
      <c r="B74" s="370">
        <v>17876.2932199692</v>
      </c>
      <c r="C74" s="370">
        <v>18931.279750000002</v>
      </c>
      <c r="D74" s="371">
        <v>1054.9865300307599</v>
      </c>
      <c r="E74" s="372">
        <v>1.0590159557709999</v>
      </c>
      <c r="F74" s="370">
        <v>18195.0050155551</v>
      </c>
      <c r="G74" s="371">
        <v>3032.50083592585</v>
      </c>
      <c r="H74" s="373">
        <v>1501.8677499999999</v>
      </c>
      <c r="I74" s="370">
        <v>3082.26062</v>
      </c>
      <c r="J74" s="371">
        <v>49.759784074149003</v>
      </c>
      <c r="K74" s="374">
        <v>0.16940147130200001</v>
      </c>
    </row>
    <row r="75" spans="1:11" ht="14.4" customHeight="1" thickBot="1" x14ac:dyDescent="0.35">
      <c r="A75" s="395" t="s">
        <v>298</v>
      </c>
      <c r="B75" s="375">
        <v>13256.293365488</v>
      </c>
      <c r="C75" s="375">
        <v>14033.950999999999</v>
      </c>
      <c r="D75" s="376">
        <v>777.65763451196301</v>
      </c>
      <c r="E75" s="382">
        <v>1.0586632788720001</v>
      </c>
      <c r="F75" s="375">
        <v>13438.003704261</v>
      </c>
      <c r="G75" s="376">
        <v>2239.6672840435099</v>
      </c>
      <c r="H75" s="378">
        <v>1108.3879999999999</v>
      </c>
      <c r="I75" s="375">
        <v>2274.7310000000002</v>
      </c>
      <c r="J75" s="376">
        <v>35.063715956494001</v>
      </c>
      <c r="K75" s="383">
        <v>0.16927596167200001</v>
      </c>
    </row>
    <row r="76" spans="1:11" ht="14.4" customHeight="1" thickBot="1" x14ac:dyDescent="0.35">
      <c r="A76" s="391" t="s">
        <v>299</v>
      </c>
      <c r="B76" s="375">
        <v>13199.999584232</v>
      </c>
      <c r="C76" s="375">
        <v>13970.64</v>
      </c>
      <c r="D76" s="376">
        <v>770.64041576801401</v>
      </c>
      <c r="E76" s="382">
        <v>1.0583818515179999</v>
      </c>
      <c r="F76" s="375">
        <v>13400.0036937861</v>
      </c>
      <c r="G76" s="376">
        <v>2233.3339489643499</v>
      </c>
      <c r="H76" s="378">
        <v>1108.3879999999999</v>
      </c>
      <c r="I76" s="375">
        <v>2274.7310000000002</v>
      </c>
      <c r="J76" s="376">
        <v>41.397051035647003</v>
      </c>
      <c r="K76" s="383">
        <v>0.169755997981</v>
      </c>
    </row>
    <row r="77" spans="1:11" ht="14.4" customHeight="1" thickBot="1" x14ac:dyDescent="0.35">
      <c r="A77" s="392" t="s">
        <v>300</v>
      </c>
      <c r="B77" s="370">
        <v>13199.999584232</v>
      </c>
      <c r="C77" s="370">
        <v>13970.64</v>
      </c>
      <c r="D77" s="371">
        <v>770.64041576801401</v>
      </c>
      <c r="E77" s="372">
        <v>1.0583818515179999</v>
      </c>
      <c r="F77" s="370">
        <v>13400.0036937861</v>
      </c>
      <c r="G77" s="371">
        <v>2233.3339489643499</v>
      </c>
      <c r="H77" s="373">
        <v>1108.3879999999999</v>
      </c>
      <c r="I77" s="370">
        <v>2274.7310000000002</v>
      </c>
      <c r="J77" s="371">
        <v>41.397051035647003</v>
      </c>
      <c r="K77" s="374">
        <v>0.169755997981</v>
      </c>
    </row>
    <row r="78" spans="1:11" ht="14.4" customHeight="1" thickBot="1" x14ac:dyDescent="0.35">
      <c r="A78" s="391" t="s">
        <v>301</v>
      </c>
      <c r="B78" s="375">
        <v>14.999999527536</v>
      </c>
      <c r="C78" s="375">
        <v>21.1</v>
      </c>
      <c r="D78" s="376">
        <v>6.1000004724629999</v>
      </c>
      <c r="E78" s="382">
        <v>1.406666710973</v>
      </c>
      <c r="F78" s="375">
        <v>0</v>
      </c>
      <c r="G78" s="376">
        <v>0</v>
      </c>
      <c r="H78" s="378">
        <v>0</v>
      </c>
      <c r="I78" s="375">
        <v>0</v>
      </c>
      <c r="J78" s="376">
        <v>0</v>
      </c>
      <c r="K78" s="379" t="s">
        <v>230</v>
      </c>
    </row>
    <row r="79" spans="1:11" ht="14.4" customHeight="1" thickBot="1" x14ac:dyDescent="0.35">
      <c r="A79" s="392" t="s">
        <v>302</v>
      </c>
      <c r="B79" s="370">
        <v>14.999999527536</v>
      </c>
      <c r="C79" s="370">
        <v>21.1</v>
      </c>
      <c r="D79" s="371">
        <v>6.1000004724629999</v>
      </c>
      <c r="E79" s="372">
        <v>1.406666710973</v>
      </c>
      <c r="F79" s="370">
        <v>0</v>
      </c>
      <c r="G79" s="371">
        <v>0</v>
      </c>
      <c r="H79" s="373">
        <v>0</v>
      </c>
      <c r="I79" s="370">
        <v>0</v>
      </c>
      <c r="J79" s="371">
        <v>0</v>
      </c>
      <c r="K79" s="381" t="s">
        <v>230</v>
      </c>
    </row>
    <row r="80" spans="1:11" ht="14.4" customHeight="1" thickBot="1" x14ac:dyDescent="0.35">
      <c r="A80" s="391" t="s">
        <v>303</v>
      </c>
      <c r="B80" s="375">
        <v>41.293781728513999</v>
      </c>
      <c r="C80" s="375">
        <v>42.210999999999999</v>
      </c>
      <c r="D80" s="376">
        <v>0.91721827148500001</v>
      </c>
      <c r="E80" s="382">
        <v>1.022212019173</v>
      </c>
      <c r="F80" s="375">
        <v>38.000010474915001</v>
      </c>
      <c r="G80" s="376">
        <v>6.3333350791519996</v>
      </c>
      <c r="H80" s="378">
        <v>0</v>
      </c>
      <c r="I80" s="375">
        <v>0</v>
      </c>
      <c r="J80" s="376">
        <v>-6.3333350791519996</v>
      </c>
      <c r="K80" s="383">
        <v>0</v>
      </c>
    </row>
    <row r="81" spans="1:11" ht="14.4" customHeight="1" thickBot="1" x14ac:dyDescent="0.35">
      <c r="A81" s="392" t="s">
        <v>304</v>
      </c>
      <c r="B81" s="370">
        <v>41.293781728513999</v>
      </c>
      <c r="C81" s="370">
        <v>42.210999999999999</v>
      </c>
      <c r="D81" s="371">
        <v>0.91721827148500001</v>
      </c>
      <c r="E81" s="372">
        <v>1.022212019173</v>
      </c>
      <c r="F81" s="370">
        <v>38.000010474915001</v>
      </c>
      <c r="G81" s="371">
        <v>6.3333350791519996</v>
      </c>
      <c r="H81" s="373">
        <v>0</v>
      </c>
      <c r="I81" s="370">
        <v>0</v>
      </c>
      <c r="J81" s="371">
        <v>-6.3333350791519996</v>
      </c>
      <c r="K81" s="374">
        <v>0</v>
      </c>
    </row>
    <row r="82" spans="1:11" ht="14.4" customHeight="1" thickBot="1" x14ac:dyDescent="0.35">
      <c r="A82" s="390" t="s">
        <v>305</v>
      </c>
      <c r="B82" s="370">
        <v>4487.9998586388801</v>
      </c>
      <c r="C82" s="370">
        <v>4757.2007999999996</v>
      </c>
      <c r="D82" s="371">
        <v>269.20094136112499</v>
      </c>
      <c r="E82" s="372">
        <v>1.059982386328</v>
      </c>
      <c r="F82" s="370">
        <v>4556.0012558872804</v>
      </c>
      <c r="G82" s="371">
        <v>759.33354264787999</v>
      </c>
      <c r="H82" s="373">
        <v>376.85304000000002</v>
      </c>
      <c r="I82" s="370">
        <v>773.40853000000004</v>
      </c>
      <c r="J82" s="371">
        <v>14.074987352120001</v>
      </c>
      <c r="K82" s="374">
        <v>0.16975599578700001</v>
      </c>
    </row>
    <row r="83" spans="1:11" ht="14.4" customHeight="1" thickBot="1" x14ac:dyDescent="0.35">
      <c r="A83" s="391" t="s">
        <v>306</v>
      </c>
      <c r="B83" s="375">
        <v>1187.99996258088</v>
      </c>
      <c r="C83" s="375">
        <v>1259.2658799999999</v>
      </c>
      <c r="D83" s="376">
        <v>71.265917419120996</v>
      </c>
      <c r="E83" s="382">
        <v>1.059988147865</v>
      </c>
      <c r="F83" s="375">
        <v>1206.0003324407501</v>
      </c>
      <c r="G83" s="376">
        <v>201.000055406792</v>
      </c>
      <c r="H83" s="378">
        <v>99.756050000000002</v>
      </c>
      <c r="I83" s="375">
        <v>204.72578999999999</v>
      </c>
      <c r="J83" s="376">
        <v>3.7257345932080002</v>
      </c>
      <c r="K83" s="383">
        <v>0.169755997981</v>
      </c>
    </row>
    <row r="84" spans="1:11" ht="14.4" customHeight="1" thickBot="1" x14ac:dyDescent="0.35">
      <c r="A84" s="392" t="s">
        <v>307</v>
      </c>
      <c r="B84" s="370">
        <v>1187.99996258088</v>
      </c>
      <c r="C84" s="370">
        <v>1259.2658799999999</v>
      </c>
      <c r="D84" s="371">
        <v>71.265917419120996</v>
      </c>
      <c r="E84" s="372">
        <v>1.059988147865</v>
      </c>
      <c r="F84" s="370">
        <v>1206.0003324407501</v>
      </c>
      <c r="G84" s="371">
        <v>201.000055406792</v>
      </c>
      <c r="H84" s="373">
        <v>99.756050000000002</v>
      </c>
      <c r="I84" s="370">
        <v>204.72578999999999</v>
      </c>
      <c r="J84" s="371">
        <v>3.7257345932080002</v>
      </c>
      <c r="K84" s="374">
        <v>0.169755997981</v>
      </c>
    </row>
    <row r="85" spans="1:11" ht="14.4" customHeight="1" thickBot="1" x14ac:dyDescent="0.35">
      <c r="A85" s="391" t="s">
        <v>308</v>
      </c>
      <c r="B85" s="375">
        <v>3299.9998960580001</v>
      </c>
      <c r="C85" s="375">
        <v>3497.9349200000001</v>
      </c>
      <c r="D85" s="376">
        <v>197.93502394200399</v>
      </c>
      <c r="E85" s="382">
        <v>1.0599803121739999</v>
      </c>
      <c r="F85" s="375">
        <v>3350.0009234465301</v>
      </c>
      <c r="G85" s="376">
        <v>558.33348724108805</v>
      </c>
      <c r="H85" s="378">
        <v>277.09699000000001</v>
      </c>
      <c r="I85" s="375">
        <v>568.68273999999997</v>
      </c>
      <c r="J85" s="376">
        <v>10.349252758911</v>
      </c>
      <c r="K85" s="383">
        <v>0.169755994996</v>
      </c>
    </row>
    <row r="86" spans="1:11" ht="14.4" customHeight="1" thickBot="1" x14ac:dyDescent="0.35">
      <c r="A86" s="392" t="s">
        <v>309</v>
      </c>
      <c r="B86" s="370">
        <v>3299.9998960580001</v>
      </c>
      <c r="C86" s="370">
        <v>3497.9349200000001</v>
      </c>
      <c r="D86" s="371">
        <v>197.93502394200399</v>
      </c>
      <c r="E86" s="372">
        <v>1.0599803121739999</v>
      </c>
      <c r="F86" s="370">
        <v>3350.0009234465301</v>
      </c>
      <c r="G86" s="371">
        <v>558.33348724108805</v>
      </c>
      <c r="H86" s="373">
        <v>277.09699000000001</v>
      </c>
      <c r="I86" s="370">
        <v>568.68273999999997</v>
      </c>
      <c r="J86" s="371">
        <v>10.349252758911</v>
      </c>
      <c r="K86" s="374">
        <v>0.169755994996</v>
      </c>
    </row>
    <row r="87" spans="1:11" ht="14.4" customHeight="1" thickBot="1" x14ac:dyDescent="0.35">
      <c r="A87" s="390" t="s">
        <v>310</v>
      </c>
      <c r="B87" s="370">
        <v>131.99999584232</v>
      </c>
      <c r="C87" s="370">
        <v>140.12795</v>
      </c>
      <c r="D87" s="371">
        <v>8.1279541576799996</v>
      </c>
      <c r="E87" s="372">
        <v>1.061575412224</v>
      </c>
      <c r="F87" s="370">
        <v>201.000055406792</v>
      </c>
      <c r="G87" s="371">
        <v>33.500009234464997</v>
      </c>
      <c r="H87" s="373">
        <v>16.626709999999999</v>
      </c>
      <c r="I87" s="370">
        <v>34.121090000000002</v>
      </c>
      <c r="J87" s="371">
        <v>0.62108076553400005</v>
      </c>
      <c r="K87" s="374">
        <v>0.169756619872</v>
      </c>
    </row>
    <row r="88" spans="1:11" ht="14.4" customHeight="1" thickBot="1" x14ac:dyDescent="0.35">
      <c r="A88" s="391" t="s">
        <v>311</v>
      </c>
      <c r="B88" s="375">
        <v>131.99999584232</v>
      </c>
      <c r="C88" s="375">
        <v>140.12795</v>
      </c>
      <c r="D88" s="376">
        <v>8.1279541576799996</v>
      </c>
      <c r="E88" s="382">
        <v>1.061575412224</v>
      </c>
      <c r="F88" s="375">
        <v>201.000055406792</v>
      </c>
      <c r="G88" s="376">
        <v>33.500009234464997</v>
      </c>
      <c r="H88" s="378">
        <v>16.626709999999999</v>
      </c>
      <c r="I88" s="375">
        <v>34.121090000000002</v>
      </c>
      <c r="J88" s="376">
        <v>0.62108076553400005</v>
      </c>
      <c r="K88" s="383">
        <v>0.169756619872</v>
      </c>
    </row>
    <row r="89" spans="1:11" ht="14.4" customHeight="1" thickBot="1" x14ac:dyDescent="0.35">
      <c r="A89" s="392" t="s">
        <v>312</v>
      </c>
      <c r="B89" s="370">
        <v>131.99999584232</v>
      </c>
      <c r="C89" s="370">
        <v>140.12795</v>
      </c>
      <c r="D89" s="371">
        <v>8.1279541576799996</v>
      </c>
      <c r="E89" s="372">
        <v>1.061575412224</v>
      </c>
      <c r="F89" s="370">
        <v>201.000055406792</v>
      </c>
      <c r="G89" s="371">
        <v>33.500009234464997</v>
      </c>
      <c r="H89" s="373">
        <v>16.626709999999999</v>
      </c>
      <c r="I89" s="370">
        <v>34.121090000000002</v>
      </c>
      <c r="J89" s="371">
        <v>0.62108076553400005</v>
      </c>
      <c r="K89" s="374">
        <v>0.169756619872</v>
      </c>
    </row>
    <row r="90" spans="1:11" ht="14.4" customHeight="1" thickBot="1" x14ac:dyDescent="0.35">
      <c r="A90" s="389" t="s">
        <v>313</v>
      </c>
      <c r="B90" s="370">
        <v>0</v>
      </c>
      <c r="C90" s="370">
        <v>9.9999999999989999</v>
      </c>
      <c r="D90" s="371">
        <v>9.9999999999989999</v>
      </c>
      <c r="E90" s="380" t="s">
        <v>258</v>
      </c>
      <c r="F90" s="370">
        <v>0</v>
      </c>
      <c r="G90" s="371">
        <v>0</v>
      </c>
      <c r="H90" s="373">
        <v>0</v>
      </c>
      <c r="I90" s="370">
        <v>0</v>
      </c>
      <c r="J90" s="371">
        <v>0</v>
      </c>
      <c r="K90" s="381" t="s">
        <v>230</v>
      </c>
    </row>
    <row r="91" spans="1:11" ht="14.4" customHeight="1" thickBot="1" x14ac:dyDescent="0.35">
      <c r="A91" s="390" t="s">
        <v>314</v>
      </c>
      <c r="B91" s="370">
        <v>0</v>
      </c>
      <c r="C91" s="370">
        <v>9.9999999999989999</v>
      </c>
      <c r="D91" s="371">
        <v>9.9999999999989999</v>
      </c>
      <c r="E91" s="380" t="s">
        <v>258</v>
      </c>
      <c r="F91" s="370">
        <v>0</v>
      </c>
      <c r="G91" s="371">
        <v>0</v>
      </c>
      <c r="H91" s="373">
        <v>0</v>
      </c>
      <c r="I91" s="370">
        <v>0</v>
      </c>
      <c r="J91" s="371">
        <v>0</v>
      </c>
      <c r="K91" s="381" t="s">
        <v>230</v>
      </c>
    </row>
    <row r="92" spans="1:11" ht="14.4" customHeight="1" thickBot="1" x14ac:dyDescent="0.35">
      <c r="A92" s="391" t="s">
        <v>315</v>
      </c>
      <c r="B92" s="375">
        <v>0</v>
      </c>
      <c r="C92" s="375">
        <v>9.9999999999989999</v>
      </c>
      <c r="D92" s="376">
        <v>9.9999999999989999</v>
      </c>
      <c r="E92" s="377" t="s">
        <v>258</v>
      </c>
      <c r="F92" s="375">
        <v>0</v>
      </c>
      <c r="G92" s="376">
        <v>0</v>
      </c>
      <c r="H92" s="378">
        <v>0</v>
      </c>
      <c r="I92" s="375">
        <v>0</v>
      </c>
      <c r="J92" s="376">
        <v>0</v>
      </c>
      <c r="K92" s="379" t="s">
        <v>230</v>
      </c>
    </row>
    <row r="93" spans="1:11" ht="14.4" customHeight="1" thickBot="1" x14ac:dyDescent="0.35">
      <c r="A93" s="392" t="s">
        <v>316</v>
      </c>
      <c r="B93" s="370">
        <v>0</v>
      </c>
      <c r="C93" s="370">
        <v>9.9999999999989999</v>
      </c>
      <c r="D93" s="371">
        <v>9.9999999999989999</v>
      </c>
      <c r="E93" s="380" t="s">
        <v>258</v>
      </c>
      <c r="F93" s="370">
        <v>0</v>
      </c>
      <c r="G93" s="371">
        <v>0</v>
      </c>
      <c r="H93" s="373">
        <v>0</v>
      </c>
      <c r="I93" s="370">
        <v>0</v>
      </c>
      <c r="J93" s="371">
        <v>0</v>
      </c>
      <c r="K93" s="381" t="s">
        <v>230</v>
      </c>
    </row>
    <row r="94" spans="1:11" ht="14.4" customHeight="1" thickBot="1" x14ac:dyDescent="0.35">
      <c r="A94" s="389" t="s">
        <v>317</v>
      </c>
      <c r="B94" s="370">
        <v>0</v>
      </c>
      <c r="C94" s="370">
        <v>40.029000000000003</v>
      </c>
      <c r="D94" s="371">
        <v>40.029000000000003</v>
      </c>
      <c r="E94" s="380" t="s">
        <v>230</v>
      </c>
      <c r="F94" s="370">
        <v>41.637373185568002</v>
      </c>
      <c r="G94" s="371">
        <v>6.9395621975940003</v>
      </c>
      <c r="H94" s="373">
        <v>0.5</v>
      </c>
      <c r="I94" s="370">
        <v>0.5</v>
      </c>
      <c r="J94" s="371">
        <v>-6.4395621975940003</v>
      </c>
      <c r="K94" s="374">
        <v>1.2008442457E-2</v>
      </c>
    </row>
    <row r="95" spans="1:11" ht="14.4" customHeight="1" thickBot="1" x14ac:dyDescent="0.35">
      <c r="A95" s="390" t="s">
        <v>318</v>
      </c>
      <c r="B95" s="370">
        <v>0</v>
      </c>
      <c r="C95" s="370">
        <v>40.029000000000003</v>
      </c>
      <c r="D95" s="371">
        <v>40.029000000000003</v>
      </c>
      <c r="E95" s="380" t="s">
        <v>230</v>
      </c>
      <c r="F95" s="370">
        <v>41.637373185568002</v>
      </c>
      <c r="G95" s="371">
        <v>6.9395621975940003</v>
      </c>
      <c r="H95" s="373">
        <v>0.5</v>
      </c>
      <c r="I95" s="370">
        <v>0.5</v>
      </c>
      <c r="J95" s="371">
        <v>-6.4395621975940003</v>
      </c>
      <c r="K95" s="374">
        <v>1.2008442457E-2</v>
      </c>
    </row>
    <row r="96" spans="1:11" ht="14.4" customHeight="1" thickBot="1" x14ac:dyDescent="0.35">
      <c r="A96" s="391" t="s">
        <v>319</v>
      </c>
      <c r="B96" s="375">
        <v>0</v>
      </c>
      <c r="C96" s="375">
        <v>37.779000000000003</v>
      </c>
      <c r="D96" s="376">
        <v>37.779000000000003</v>
      </c>
      <c r="E96" s="377" t="s">
        <v>230</v>
      </c>
      <c r="F96" s="375">
        <v>39.739365229885003</v>
      </c>
      <c r="G96" s="376">
        <v>6.6232275383139996</v>
      </c>
      <c r="H96" s="378">
        <v>0.5</v>
      </c>
      <c r="I96" s="375">
        <v>0.5</v>
      </c>
      <c r="J96" s="376">
        <v>-6.1232275383139996</v>
      </c>
      <c r="K96" s="383">
        <v>1.2581982553E-2</v>
      </c>
    </row>
    <row r="97" spans="1:11" ht="14.4" customHeight="1" thickBot="1" x14ac:dyDescent="0.35">
      <c r="A97" s="392" t="s">
        <v>320</v>
      </c>
      <c r="B97" s="370">
        <v>0</v>
      </c>
      <c r="C97" s="370">
        <v>10.1</v>
      </c>
      <c r="D97" s="371">
        <v>10.1</v>
      </c>
      <c r="E97" s="380" t="s">
        <v>230</v>
      </c>
      <c r="F97" s="370">
        <v>15.484682356113</v>
      </c>
      <c r="G97" s="371">
        <v>2.5807803926849999</v>
      </c>
      <c r="H97" s="373">
        <v>0</v>
      </c>
      <c r="I97" s="370">
        <v>0</v>
      </c>
      <c r="J97" s="371">
        <v>-2.5807803926849999</v>
      </c>
      <c r="K97" s="374">
        <v>0</v>
      </c>
    </row>
    <row r="98" spans="1:11" ht="14.4" customHeight="1" thickBot="1" x14ac:dyDescent="0.35">
      <c r="A98" s="392" t="s">
        <v>321</v>
      </c>
      <c r="B98" s="370">
        <v>0</v>
      </c>
      <c r="C98" s="370">
        <v>27.579000000000001</v>
      </c>
      <c r="D98" s="371">
        <v>27.579000000000001</v>
      </c>
      <c r="E98" s="380" t="s">
        <v>230</v>
      </c>
      <c r="F98" s="370">
        <v>24.168238999299</v>
      </c>
      <c r="G98" s="371">
        <v>4.0280398332159999</v>
      </c>
      <c r="H98" s="373">
        <v>0.5</v>
      </c>
      <c r="I98" s="370">
        <v>0.5</v>
      </c>
      <c r="J98" s="371">
        <v>-3.5280398332159999</v>
      </c>
      <c r="K98" s="374">
        <v>2.0688309148E-2</v>
      </c>
    </row>
    <row r="99" spans="1:11" ht="14.4" customHeight="1" thickBot="1" x14ac:dyDescent="0.35">
      <c r="A99" s="392" t="s">
        <v>322</v>
      </c>
      <c r="B99" s="370">
        <v>0</v>
      </c>
      <c r="C99" s="370">
        <v>0.1</v>
      </c>
      <c r="D99" s="371">
        <v>0.1</v>
      </c>
      <c r="E99" s="380" t="s">
        <v>258</v>
      </c>
      <c r="F99" s="370">
        <v>8.6443874471999999E-2</v>
      </c>
      <c r="G99" s="371">
        <v>1.4407312412E-2</v>
      </c>
      <c r="H99" s="373">
        <v>0</v>
      </c>
      <c r="I99" s="370">
        <v>0</v>
      </c>
      <c r="J99" s="371">
        <v>-1.4407312412E-2</v>
      </c>
      <c r="K99" s="374">
        <v>0</v>
      </c>
    </row>
    <row r="100" spans="1:11" ht="14.4" customHeight="1" thickBot="1" x14ac:dyDescent="0.35">
      <c r="A100" s="394" t="s">
        <v>323</v>
      </c>
      <c r="B100" s="370">
        <v>0</v>
      </c>
      <c r="C100" s="370">
        <v>1</v>
      </c>
      <c r="D100" s="371">
        <v>1</v>
      </c>
      <c r="E100" s="380" t="s">
        <v>258</v>
      </c>
      <c r="F100" s="370">
        <v>1.2547339778740001</v>
      </c>
      <c r="G100" s="371">
        <v>0.20912232964499999</v>
      </c>
      <c r="H100" s="373">
        <v>0</v>
      </c>
      <c r="I100" s="370">
        <v>0</v>
      </c>
      <c r="J100" s="371">
        <v>-0.20912232964499999</v>
      </c>
      <c r="K100" s="374">
        <v>0</v>
      </c>
    </row>
    <row r="101" spans="1:11" ht="14.4" customHeight="1" thickBot="1" x14ac:dyDescent="0.35">
      <c r="A101" s="392" t="s">
        <v>324</v>
      </c>
      <c r="B101" s="370">
        <v>0</v>
      </c>
      <c r="C101" s="370">
        <v>1</v>
      </c>
      <c r="D101" s="371">
        <v>1</v>
      </c>
      <c r="E101" s="380" t="s">
        <v>258</v>
      </c>
      <c r="F101" s="370">
        <v>1.2547339778740001</v>
      </c>
      <c r="G101" s="371">
        <v>0.20912232964499999</v>
      </c>
      <c r="H101" s="373">
        <v>0</v>
      </c>
      <c r="I101" s="370">
        <v>0</v>
      </c>
      <c r="J101" s="371">
        <v>-0.20912232964499999</v>
      </c>
      <c r="K101" s="374">
        <v>0</v>
      </c>
    </row>
    <row r="102" spans="1:11" ht="14.4" customHeight="1" thickBot="1" x14ac:dyDescent="0.35">
      <c r="A102" s="394" t="s">
        <v>325</v>
      </c>
      <c r="B102" s="370">
        <v>0</v>
      </c>
      <c r="C102" s="370">
        <v>1.25</v>
      </c>
      <c r="D102" s="371">
        <v>1.25</v>
      </c>
      <c r="E102" s="380" t="s">
        <v>230</v>
      </c>
      <c r="F102" s="370">
        <v>0.64327397780899997</v>
      </c>
      <c r="G102" s="371">
        <v>0.107212329634</v>
      </c>
      <c r="H102" s="373">
        <v>0</v>
      </c>
      <c r="I102" s="370">
        <v>0</v>
      </c>
      <c r="J102" s="371">
        <v>-0.107212329634</v>
      </c>
      <c r="K102" s="374">
        <v>0</v>
      </c>
    </row>
    <row r="103" spans="1:11" ht="14.4" customHeight="1" thickBot="1" x14ac:dyDescent="0.35">
      <c r="A103" s="392" t="s">
        <v>326</v>
      </c>
      <c r="B103" s="370">
        <v>0</v>
      </c>
      <c r="C103" s="370">
        <v>1.25</v>
      </c>
      <c r="D103" s="371">
        <v>1.25</v>
      </c>
      <c r="E103" s="380" t="s">
        <v>230</v>
      </c>
      <c r="F103" s="370">
        <v>0.64327397780899997</v>
      </c>
      <c r="G103" s="371">
        <v>0.107212329634</v>
      </c>
      <c r="H103" s="373">
        <v>0</v>
      </c>
      <c r="I103" s="370">
        <v>0</v>
      </c>
      <c r="J103" s="371">
        <v>-0.107212329634</v>
      </c>
      <c r="K103" s="374">
        <v>0</v>
      </c>
    </row>
    <row r="104" spans="1:11" ht="14.4" customHeight="1" thickBot="1" x14ac:dyDescent="0.35">
      <c r="A104" s="389" t="s">
        <v>327</v>
      </c>
      <c r="B104" s="370">
        <v>1613.00006110808</v>
      </c>
      <c r="C104" s="370">
        <v>1656.0775000000001</v>
      </c>
      <c r="D104" s="371">
        <v>43.077438891916998</v>
      </c>
      <c r="E104" s="372">
        <v>1.0267064087160001</v>
      </c>
      <c r="F104" s="370">
        <v>1775.0044279793501</v>
      </c>
      <c r="G104" s="371">
        <v>295.834071329891</v>
      </c>
      <c r="H104" s="373">
        <v>156.02199999999999</v>
      </c>
      <c r="I104" s="370">
        <v>345.98867000000001</v>
      </c>
      <c r="J104" s="371">
        <v>50.154598670108001</v>
      </c>
      <c r="K104" s="374">
        <v>0.194922708104</v>
      </c>
    </row>
    <row r="105" spans="1:11" ht="14.4" customHeight="1" thickBot="1" x14ac:dyDescent="0.35">
      <c r="A105" s="390" t="s">
        <v>328</v>
      </c>
      <c r="B105" s="370">
        <v>1513.00006110808</v>
      </c>
      <c r="C105" s="370">
        <v>1551.7470000000001</v>
      </c>
      <c r="D105" s="371">
        <v>38.746938891916997</v>
      </c>
      <c r="E105" s="372">
        <v>1.0256093439039999</v>
      </c>
      <c r="F105" s="370">
        <v>1775.0044279793501</v>
      </c>
      <c r="G105" s="371">
        <v>295.834071329891</v>
      </c>
      <c r="H105" s="373">
        <v>156.02199999999999</v>
      </c>
      <c r="I105" s="370">
        <v>304.62700000000001</v>
      </c>
      <c r="J105" s="371">
        <v>8.7929286701079992</v>
      </c>
      <c r="K105" s="374">
        <v>0.17162041693899999</v>
      </c>
    </row>
    <row r="106" spans="1:11" ht="14.4" customHeight="1" thickBot="1" x14ac:dyDescent="0.35">
      <c r="A106" s="391" t="s">
        <v>329</v>
      </c>
      <c r="B106" s="375">
        <v>1513.00006110808</v>
      </c>
      <c r="C106" s="375">
        <v>1551.7470000000001</v>
      </c>
      <c r="D106" s="376">
        <v>38.746938891916997</v>
      </c>
      <c r="E106" s="382">
        <v>1.0256093439039999</v>
      </c>
      <c r="F106" s="375">
        <v>1775.0044279793501</v>
      </c>
      <c r="G106" s="376">
        <v>295.834071329891</v>
      </c>
      <c r="H106" s="378">
        <v>148.47200000000001</v>
      </c>
      <c r="I106" s="375">
        <v>297.077</v>
      </c>
      <c r="J106" s="376">
        <v>1.242928670108</v>
      </c>
      <c r="K106" s="383">
        <v>0.16736690642400001</v>
      </c>
    </row>
    <row r="107" spans="1:11" ht="14.4" customHeight="1" thickBot="1" x14ac:dyDescent="0.35">
      <c r="A107" s="392" t="s">
        <v>330</v>
      </c>
      <c r="B107" s="370">
        <v>157.99999502338</v>
      </c>
      <c r="C107" s="370">
        <v>173.196</v>
      </c>
      <c r="D107" s="371">
        <v>15.196004976619999</v>
      </c>
      <c r="E107" s="372">
        <v>1.0961772497160001</v>
      </c>
      <c r="F107" s="370">
        <v>343.00085566023398</v>
      </c>
      <c r="G107" s="371">
        <v>57.166809276705003</v>
      </c>
      <c r="H107" s="373">
        <v>28.574999999999999</v>
      </c>
      <c r="I107" s="370">
        <v>57.15</v>
      </c>
      <c r="J107" s="371">
        <v>-1.6809276705000001E-2</v>
      </c>
      <c r="K107" s="374">
        <v>0.16661766015099999</v>
      </c>
    </row>
    <row r="108" spans="1:11" ht="14.4" customHeight="1" thickBot="1" x14ac:dyDescent="0.35">
      <c r="A108" s="392" t="s">
        <v>331</v>
      </c>
      <c r="B108" s="370">
        <v>26.999999149564001</v>
      </c>
      <c r="C108" s="370">
        <v>10.005000000000001</v>
      </c>
      <c r="D108" s="371">
        <v>-16.994999149563998</v>
      </c>
      <c r="E108" s="372">
        <v>0.370555567227</v>
      </c>
      <c r="F108" s="370">
        <v>8.0000199570900001</v>
      </c>
      <c r="G108" s="371">
        <v>1.333336659515</v>
      </c>
      <c r="H108" s="373">
        <v>0.71399999999999997</v>
      </c>
      <c r="I108" s="370">
        <v>1.4279999999999999</v>
      </c>
      <c r="J108" s="371">
        <v>9.4663340484000005E-2</v>
      </c>
      <c r="K108" s="374">
        <v>0.178499554708</v>
      </c>
    </row>
    <row r="109" spans="1:11" ht="14.4" customHeight="1" thickBot="1" x14ac:dyDescent="0.35">
      <c r="A109" s="392" t="s">
        <v>332</v>
      </c>
      <c r="B109" s="370">
        <v>1304.99995889564</v>
      </c>
      <c r="C109" s="370">
        <v>1352.1010000000001</v>
      </c>
      <c r="D109" s="371">
        <v>47.101041104361002</v>
      </c>
      <c r="E109" s="372">
        <v>1.0360927529399999</v>
      </c>
      <c r="F109" s="370">
        <v>1416.00353240493</v>
      </c>
      <c r="G109" s="371">
        <v>236.000588734155</v>
      </c>
      <c r="H109" s="373">
        <v>117.858</v>
      </c>
      <c r="I109" s="370">
        <v>235.84899999999999</v>
      </c>
      <c r="J109" s="371">
        <v>-0.15158873415499999</v>
      </c>
      <c r="K109" s="374">
        <v>0.16655961274200001</v>
      </c>
    </row>
    <row r="110" spans="1:11" ht="14.4" customHeight="1" thickBot="1" x14ac:dyDescent="0.35">
      <c r="A110" s="392" t="s">
        <v>333</v>
      </c>
      <c r="B110" s="370">
        <v>13.000108354475</v>
      </c>
      <c r="C110" s="370">
        <v>12.933999999999999</v>
      </c>
      <c r="D110" s="371">
        <v>-6.6108354475000006E-2</v>
      </c>
      <c r="E110" s="372">
        <v>0.99491478434799996</v>
      </c>
      <c r="F110" s="370">
        <v>5.0000124731810001</v>
      </c>
      <c r="G110" s="371">
        <v>0.83333541219600005</v>
      </c>
      <c r="H110" s="373">
        <v>1.0760000000000001</v>
      </c>
      <c r="I110" s="370">
        <v>2.1520000000000001</v>
      </c>
      <c r="J110" s="371">
        <v>1.3186645878030001</v>
      </c>
      <c r="K110" s="374">
        <v>0.43039892631100002</v>
      </c>
    </row>
    <row r="111" spans="1:11" ht="14.4" customHeight="1" thickBot="1" x14ac:dyDescent="0.35">
      <c r="A111" s="392" t="s">
        <v>334</v>
      </c>
      <c r="B111" s="370">
        <v>9.9999996850239992</v>
      </c>
      <c r="C111" s="370">
        <v>3.5110000000000001</v>
      </c>
      <c r="D111" s="371">
        <v>-6.4889996850239999</v>
      </c>
      <c r="E111" s="372">
        <v>0.35110001105799998</v>
      </c>
      <c r="F111" s="370">
        <v>3.000007483908</v>
      </c>
      <c r="G111" s="371">
        <v>0.500001247318</v>
      </c>
      <c r="H111" s="373">
        <v>0.249</v>
      </c>
      <c r="I111" s="370">
        <v>0.498</v>
      </c>
      <c r="J111" s="371">
        <v>-2.0012473179999999E-3</v>
      </c>
      <c r="K111" s="374">
        <v>0.165999585891</v>
      </c>
    </row>
    <row r="112" spans="1:11" ht="14.4" customHeight="1" thickBot="1" x14ac:dyDescent="0.35">
      <c r="A112" s="391" t="s">
        <v>335</v>
      </c>
      <c r="B112" s="375">
        <v>0</v>
      </c>
      <c r="C112" s="375">
        <v>0</v>
      </c>
      <c r="D112" s="376">
        <v>0</v>
      </c>
      <c r="E112" s="382">
        <v>1</v>
      </c>
      <c r="F112" s="375">
        <v>0</v>
      </c>
      <c r="G112" s="376">
        <v>0</v>
      </c>
      <c r="H112" s="378">
        <v>7.55</v>
      </c>
      <c r="I112" s="375">
        <v>7.55</v>
      </c>
      <c r="J112" s="376">
        <v>7.55</v>
      </c>
      <c r="K112" s="379" t="s">
        <v>258</v>
      </c>
    </row>
    <row r="113" spans="1:11" ht="14.4" customHeight="1" thickBot="1" x14ac:dyDescent="0.35">
      <c r="A113" s="392" t="s">
        <v>336</v>
      </c>
      <c r="B113" s="370">
        <v>0</v>
      </c>
      <c r="C113" s="370">
        <v>0</v>
      </c>
      <c r="D113" s="371">
        <v>0</v>
      </c>
      <c r="E113" s="372">
        <v>1</v>
      </c>
      <c r="F113" s="370">
        <v>0</v>
      </c>
      <c r="G113" s="371">
        <v>0</v>
      </c>
      <c r="H113" s="373">
        <v>7.55</v>
      </c>
      <c r="I113" s="370">
        <v>7.55</v>
      </c>
      <c r="J113" s="371">
        <v>7.55</v>
      </c>
      <c r="K113" s="381" t="s">
        <v>258</v>
      </c>
    </row>
    <row r="114" spans="1:11" ht="14.4" customHeight="1" thickBot="1" x14ac:dyDescent="0.35">
      <c r="A114" s="390" t="s">
        <v>337</v>
      </c>
      <c r="B114" s="370">
        <v>100</v>
      </c>
      <c r="C114" s="370">
        <v>104.3305</v>
      </c>
      <c r="D114" s="371">
        <v>4.3304999999999998</v>
      </c>
      <c r="E114" s="372">
        <v>1.0433049999999999</v>
      </c>
      <c r="F114" s="370">
        <v>0</v>
      </c>
      <c r="G114" s="371">
        <v>0</v>
      </c>
      <c r="H114" s="373">
        <v>0</v>
      </c>
      <c r="I114" s="370">
        <v>41.361669999999997</v>
      </c>
      <c r="J114" s="371">
        <v>41.361669999999997</v>
      </c>
      <c r="K114" s="381" t="s">
        <v>230</v>
      </c>
    </row>
    <row r="115" spans="1:11" ht="14.4" customHeight="1" thickBot="1" x14ac:dyDescent="0.35">
      <c r="A115" s="391" t="s">
        <v>338</v>
      </c>
      <c r="B115" s="375">
        <v>100</v>
      </c>
      <c r="C115" s="375">
        <v>104.3305</v>
      </c>
      <c r="D115" s="376">
        <v>4.3304999999999998</v>
      </c>
      <c r="E115" s="382">
        <v>1.0433049999999999</v>
      </c>
      <c r="F115" s="375">
        <v>0</v>
      </c>
      <c r="G115" s="376">
        <v>0</v>
      </c>
      <c r="H115" s="378">
        <v>0</v>
      </c>
      <c r="I115" s="375">
        <v>41.361669999999997</v>
      </c>
      <c r="J115" s="376">
        <v>41.361669999999997</v>
      </c>
      <c r="K115" s="379" t="s">
        <v>230</v>
      </c>
    </row>
    <row r="116" spans="1:11" ht="14.4" customHeight="1" thickBot="1" x14ac:dyDescent="0.35">
      <c r="A116" s="392" t="s">
        <v>339</v>
      </c>
      <c r="B116" s="370">
        <v>100</v>
      </c>
      <c r="C116" s="370">
        <v>104.3305</v>
      </c>
      <c r="D116" s="371">
        <v>4.3304999999999998</v>
      </c>
      <c r="E116" s="372">
        <v>1.0433049999999999</v>
      </c>
      <c r="F116" s="370">
        <v>0</v>
      </c>
      <c r="G116" s="371">
        <v>0</v>
      </c>
      <c r="H116" s="373">
        <v>0</v>
      </c>
      <c r="I116" s="370">
        <v>41.361669999999997</v>
      </c>
      <c r="J116" s="371">
        <v>41.361669999999997</v>
      </c>
      <c r="K116" s="381" t="s">
        <v>230</v>
      </c>
    </row>
    <row r="117" spans="1:11" ht="14.4" customHeight="1" thickBot="1" x14ac:dyDescent="0.35">
      <c r="A117" s="388" t="s">
        <v>340</v>
      </c>
      <c r="B117" s="370">
        <v>64020.709772621703</v>
      </c>
      <c r="C117" s="370">
        <v>70387.524890000001</v>
      </c>
      <c r="D117" s="371">
        <v>6366.8151173782699</v>
      </c>
      <c r="E117" s="372">
        <v>1.0994493053879999</v>
      </c>
      <c r="F117" s="370">
        <v>73818.701445480096</v>
      </c>
      <c r="G117" s="371">
        <v>12303.116907580001</v>
      </c>
      <c r="H117" s="373">
        <v>6471.5050300000003</v>
      </c>
      <c r="I117" s="370">
        <v>12479.226479999999</v>
      </c>
      <c r="J117" s="371">
        <v>176.10957241998801</v>
      </c>
      <c r="K117" s="374">
        <v>0.16905237068100001</v>
      </c>
    </row>
    <row r="118" spans="1:11" ht="14.4" customHeight="1" thickBot="1" x14ac:dyDescent="0.35">
      <c r="A118" s="389" t="s">
        <v>341</v>
      </c>
      <c r="B118" s="370">
        <v>63979.709772621703</v>
      </c>
      <c r="C118" s="370">
        <v>70347.586450000003</v>
      </c>
      <c r="D118" s="371">
        <v>6367.87667737827</v>
      </c>
      <c r="E118" s="372">
        <v>1.0995296274390001</v>
      </c>
      <c r="F118" s="370">
        <v>73790.726691591495</v>
      </c>
      <c r="G118" s="371">
        <v>12298.454448598601</v>
      </c>
      <c r="H118" s="373">
        <v>6471.5050300000003</v>
      </c>
      <c r="I118" s="370">
        <v>12473.44167</v>
      </c>
      <c r="J118" s="371">
        <v>174.987221401412</v>
      </c>
      <c r="K118" s="374">
        <v>0.169038065204</v>
      </c>
    </row>
    <row r="119" spans="1:11" ht="14.4" customHeight="1" thickBot="1" x14ac:dyDescent="0.35">
      <c r="A119" s="390" t="s">
        <v>342</v>
      </c>
      <c r="B119" s="370">
        <v>63979.709772621703</v>
      </c>
      <c r="C119" s="370">
        <v>70347.586450000003</v>
      </c>
      <c r="D119" s="371">
        <v>6367.87667737827</v>
      </c>
      <c r="E119" s="372">
        <v>1.0995296274390001</v>
      </c>
      <c r="F119" s="370">
        <v>73790.726691591495</v>
      </c>
      <c r="G119" s="371">
        <v>12298.454448598601</v>
      </c>
      <c r="H119" s="373">
        <v>6471.5050300000003</v>
      </c>
      <c r="I119" s="370">
        <v>12473.44167</v>
      </c>
      <c r="J119" s="371">
        <v>174.987221401412</v>
      </c>
      <c r="K119" s="374">
        <v>0.169038065204</v>
      </c>
    </row>
    <row r="120" spans="1:11" ht="14.4" customHeight="1" thickBot="1" x14ac:dyDescent="0.35">
      <c r="A120" s="391" t="s">
        <v>343</v>
      </c>
      <c r="B120" s="375">
        <v>534.509772605433</v>
      </c>
      <c r="C120" s="375">
        <v>508.91102000000001</v>
      </c>
      <c r="D120" s="376">
        <v>-25.598752605432001</v>
      </c>
      <c r="E120" s="382">
        <v>0.95210798021300003</v>
      </c>
      <c r="F120" s="375">
        <v>508.01466284533302</v>
      </c>
      <c r="G120" s="376">
        <v>84.669110474221995</v>
      </c>
      <c r="H120" s="378">
        <v>27.0458</v>
      </c>
      <c r="I120" s="375">
        <v>47.267000000000003</v>
      </c>
      <c r="J120" s="376">
        <v>-37.402110474221999</v>
      </c>
      <c r="K120" s="383">
        <v>9.3042590021000002E-2</v>
      </c>
    </row>
    <row r="121" spans="1:11" ht="14.4" customHeight="1" thickBot="1" x14ac:dyDescent="0.35">
      <c r="A121" s="392" t="s">
        <v>344</v>
      </c>
      <c r="B121" s="370">
        <v>400</v>
      </c>
      <c r="C121" s="370">
        <v>337.58819999999997</v>
      </c>
      <c r="D121" s="371">
        <v>-62.411799999998998</v>
      </c>
      <c r="E121" s="372">
        <v>0.84397049999999996</v>
      </c>
      <c r="F121" s="370">
        <v>345.88301037053299</v>
      </c>
      <c r="G121" s="371">
        <v>57.647168395088002</v>
      </c>
      <c r="H121" s="373">
        <v>25.995000000000001</v>
      </c>
      <c r="I121" s="370">
        <v>40.576999999999998</v>
      </c>
      <c r="J121" s="371">
        <v>-17.070168395088</v>
      </c>
      <c r="K121" s="374">
        <v>0.117314232799</v>
      </c>
    </row>
    <row r="122" spans="1:11" ht="14.4" customHeight="1" thickBot="1" x14ac:dyDescent="0.35">
      <c r="A122" s="392" t="s">
        <v>345</v>
      </c>
      <c r="B122" s="370">
        <v>11</v>
      </c>
      <c r="C122" s="370">
        <v>64.937039999999996</v>
      </c>
      <c r="D122" s="371">
        <v>53.937040000000003</v>
      </c>
      <c r="E122" s="372">
        <v>5.9033672727270003</v>
      </c>
      <c r="F122" s="370">
        <v>54.095319286303003</v>
      </c>
      <c r="G122" s="371">
        <v>9.0158865477170007</v>
      </c>
      <c r="H122" s="373">
        <v>0.48120000000000002</v>
      </c>
      <c r="I122" s="370">
        <v>1.4388000000000001</v>
      </c>
      <c r="J122" s="371">
        <v>-7.5770865477170002</v>
      </c>
      <c r="K122" s="374">
        <v>2.6597495291000001E-2</v>
      </c>
    </row>
    <row r="123" spans="1:11" ht="14.4" customHeight="1" thickBot="1" x14ac:dyDescent="0.35">
      <c r="A123" s="392" t="s">
        <v>346</v>
      </c>
      <c r="B123" s="370">
        <v>121</v>
      </c>
      <c r="C123" s="370">
        <v>100.59598</v>
      </c>
      <c r="D123" s="371">
        <v>-20.404019999999001</v>
      </c>
      <c r="E123" s="372">
        <v>0.83137173553699995</v>
      </c>
      <c r="F123" s="370">
        <v>101.427207576642</v>
      </c>
      <c r="G123" s="371">
        <v>16.904534596106998</v>
      </c>
      <c r="H123" s="373">
        <v>0.5696</v>
      </c>
      <c r="I123" s="370">
        <v>5.2511999999999999</v>
      </c>
      <c r="J123" s="371">
        <v>-11.653334596106999</v>
      </c>
      <c r="K123" s="374">
        <v>5.1773090528999997E-2</v>
      </c>
    </row>
    <row r="124" spans="1:11" ht="14.4" customHeight="1" thickBot="1" x14ac:dyDescent="0.35">
      <c r="A124" s="392" t="s">
        <v>347</v>
      </c>
      <c r="B124" s="370">
        <v>2.5097726054330001</v>
      </c>
      <c r="C124" s="370">
        <v>5.7897999999999996</v>
      </c>
      <c r="D124" s="371">
        <v>3.2800273945659999</v>
      </c>
      <c r="E124" s="372">
        <v>2.3069022219240001</v>
      </c>
      <c r="F124" s="370">
        <v>6.6091256118550001</v>
      </c>
      <c r="G124" s="371">
        <v>1.1015209353090001</v>
      </c>
      <c r="H124" s="373">
        <v>0</v>
      </c>
      <c r="I124" s="370">
        <v>0</v>
      </c>
      <c r="J124" s="371">
        <v>-1.1015209353090001</v>
      </c>
      <c r="K124" s="374">
        <v>0</v>
      </c>
    </row>
    <row r="125" spans="1:11" ht="14.4" customHeight="1" thickBot="1" x14ac:dyDescent="0.35">
      <c r="A125" s="391" t="s">
        <v>348</v>
      </c>
      <c r="B125" s="375">
        <v>156.00000000004101</v>
      </c>
      <c r="C125" s="375">
        <v>108.28336</v>
      </c>
      <c r="D125" s="376">
        <v>-47.716640000040002</v>
      </c>
      <c r="E125" s="382">
        <v>0.69412410256299995</v>
      </c>
      <c r="F125" s="375">
        <v>97.763167697317002</v>
      </c>
      <c r="G125" s="376">
        <v>16.293861282885999</v>
      </c>
      <c r="H125" s="378">
        <v>14.82016</v>
      </c>
      <c r="I125" s="375">
        <v>17.633559999999999</v>
      </c>
      <c r="J125" s="376">
        <v>1.3396987171129999</v>
      </c>
      <c r="K125" s="383">
        <v>0.180370178415</v>
      </c>
    </row>
    <row r="126" spans="1:11" ht="14.4" customHeight="1" thickBot="1" x14ac:dyDescent="0.35">
      <c r="A126" s="392" t="s">
        <v>349</v>
      </c>
      <c r="B126" s="370">
        <v>124.000000000032</v>
      </c>
      <c r="C126" s="370">
        <v>103.61166</v>
      </c>
      <c r="D126" s="371">
        <v>-20.388340000031999</v>
      </c>
      <c r="E126" s="372">
        <v>0.83557790322500003</v>
      </c>
      <c r="F126" s="370">
        <v>85.000008522835003</v>
      </c>
      <c r="G126" s="371">
        <v>14.166668087139</v>
      </c>
      <c r="H126" s="373">
        <v>15.376760000000001</v>
      </c>
      <c r="I126" s="370">
        <v>17.258459999999999</v>
      </c>
      <c r="J126" s="371">
        <v>3.0917919128600002</v>
      </c>
      <c r="K126" s="374">
        <v>0.203040685523</v>
      </c>
    </row>
    <row r="127" spans="1:11" ht="14.4" customHeight="1" thickBot="1" x14ac:dyDescent="0.35">
      <c r="A127" s="392" t="s">
        <v>350</v>
      </c>
      <c r="B127" s="370">
        <v>32.000000000008001</v>
      </c>
      <c r="C127" s="370">
        <v>4.6717000000000004</v>
      </c>
      <c r="D127" s="371">
        <v>-27.328300000007999</v>
      </c>
      <c r="E127" s="372">
        <v>0.14599062499900001</v>
      </c>
      <c r="F127" s="370">
        <v>12.763159174481</v>
      </c>
      <c r="G127" s="371">
        <v>2.127193195746</v>
      </c>
      <c r="H127" s="373">
        <v>-0.55659999999999998</v>
      </c>
      <c r="I127" s="370">
        <v>0.37509999999999999</v>
      </c>
      <c r="J127" s="371">
        <v>-1.752093195746</v>
      </c>
      <c r="K127" s="374">
        <v>2.9389275403000001E-2</v>
      </c>
    </row>
    <row r="128" spans="1:11" ht="14.4" customHeight="1" thickBot="1" x14ac:dyDescent="0.35">
      <c r="A128" s="391" t="s">
        <v>351</v>
      </c>
      <c r="B128" s="375">
        <v>68.000000000016996</v>
      </c>
      <c r="C128" s="375">
        <v>37.475749999999998</v>
      </c>
      <c r="D128" s="376">
        <v>-30.524250000016998</v>
      </c>
      <c r="E128" s="382">
        <v>0.55111397058800005</v>
      </c>
      <c r="F128" s="375">
        <v>89.980570954320001</v>
      </c>
      <c r="G128" s="376">
        <v>14.99676182572</v>
      </c>
      <c r="H128" s="378">
        <v>1.3469500000000001</v>
      </c>
      <c r="I128" s="375">
        <v>7.4279500000000001</v>
      </c>
      <c r="J128" s="376">
        <v>-7.5688118257200001</v>
      </c>
      <c r="K128" s="383">
        <v>8.2550598658999996E-2</v>
      </c>
    </row>
    <row r="129" spans="1:11" ht="14.4" customHeight="1" thickBot="1" x14ac:dyDescent="0.35">
      <c r="A129" s="392" t="s">
        <v>352</v>
      </c>
      <c r="B129" s="370">
        <v>9.0000000000020002</v>
      </c>
      <c r="C129" s="370">
        <v>17.97475</v>
      </c>
      <c r="D129" s="371">
        <v>8.974749999997</v>
      </c>
      <c r="E129" s="372">
        <v>1.9971944444430001</v>
      </c>
      <c r="F129" s="370">
        <v>13.980563333901999</v>
      </c>
      <c r="G129" s="371">
        <v>2.3300938889829999</v>
      </c>
      <c r="H129" s="373">
        <v>0.12282999999999999</v>
      </c>
      <c r="I129" s="370">
        <v>0.12282999999999999</v>
      </c>
      <c r="J129" s="371">
        <v>-2.2072638889829999</v>
      </c>
      <c r="K129" s="374">
        <v>8.7857690040000005E-3</v>
      </c>
    </row>
    <row r="130" spans="1:11" ht="14.4" customHeight="1" thickBot="1" x14ac:dyDescent="0.35">
      <c r="A130" s="392" t="s">
        <v>353</v>
      </c>
      <c r="B130" s="370">
        <v>59.000000000015</v>
      </c>
      <c r="C130" s="370">
        <v>19.501000000000001</v>
      </c>
      <c r="D130" s="371">
        <v>-39.499000000015002</v>
      </c>
      <c r="E130" s="372">
        <v>0.33052542372799998</v>
      </c>
      <c r="F130" s="370">
        <v>76.000007620416994</v>
      </c>
      <c r="G130" s="371">
        <v>12.666667936735999</v>
      </c>
      <c r="H130" s="373">
        <v>1.2241200000000001</v>
      </c>
      <c r="I130" s="370">
        <v>7.3051199999999996</v>
      </c>
      <c r="J130" s="371">
        <v>-5.3615479367359997</v>
      </c>
      <c r="K130" s="374">
        <v>9.6119990362000002E-2</v>
      </c>
    </row>
    <row r="131" spans="1:11" ht="14.4" customHeight="1" thickBot="1" x14ac:dyDescent="0.35">
      <c r="A131" s="391" t="s">
        <v>354</v>
      </c>
      <c r="B131" s="375">
        <v>963.2</v>
      </c>
      <c r="C131" s="375">
        <v>864.01800000000003</v>
      </c>
      <c r="D131" s="376">
        <v>-99.181999999998993</v>
      </c>
      <c r="E131" s="382">
        <v>0.89702865448500002</v>
      </c>
      <c r="F131" s="375">
        <v>960.96105731522596</v>
      </c>
      <c r="G131" s="376">
        <v>160.160176219204</v>
      </c>
      <c r="H131" s="378">
        <v>64.676699999999997</v>
      </c>
      <c r="I131" s="375">
        <v>137.8098</v>
      </c>
      <c r="J131" s="376">
        <v>-22.350376219204001</v>
      </c>
      <c r="K131" s="383">
        <v>0.14340830874499999</v>
      </c>
    </row>
    <row r="132" spans="1:11" ht="14.4" customHeight="1" thickBot="1" x14ac:dyDescent="0.35">
      <c r="A132" s="392" t="s">
        <v>355</v>
      </c>
      <c r="B132" s="370">
        <v>963.2</v>
      </c>
      <c r="C132" s="370">
        <v>864.01800000000003</v>
      </c>
      <c r="D132" s="371">
        <v>-99.181999999998993</v>
      </c>
      <c r="E132" s="372">
        <v>0.89702865448500002</v>
      </c>
      <c r="F132" s="370">
        <v>960.96105731522596</v>
      </c>
      <c r="G132" s="371">
        <v>160.160176219204</v>
      </c>
      <c r="H132" s="373">
        <v>64.676699999999997</v>
      </c>
      <c r="I132" s="370">
        <v>137.8098</v>
      </c>
      <c r="J132" s="371">
        <v>-22.350376219204001</v>
      </c>
      <c r="K132" s="374">
        <v>0.14340830874499999</v>
      </c>
    </row>
    <row r="133" spans="1:11" ht="14.4" customHeight="1" thickBot="1" x14ac:dyDescent="0.35">
      <c r="A133" s="391" t="s">
        <v>356</v>
      </c>
      <c r="B133" s="375">
        <v>62258.000000016298</v>
      </c>
      <c r="C133" s="375">
        <v>65671.784780000002</v>
      </c>
      <c r="D133" s="376">
        <v>3413.78477998376</v>
      </c>
      <c r="E133" s="382">
        <v>1.0548328693489999</v>
      </c>
      <c r="F133" s="375">
        <v>72134.007232779302</v>
      </c>
      <c r="G133" s="376">
        <v>12022.3345387966</v>
      </c>
      <c r="H133" s="378">
        <v>6363.5780100000002</v>
      </c>
      <c r="I133" s="375">
        <v>12263.265950000001</v>
      </c>
      <c r="J133" s="376">
        <v>240.93141120344799</v>
      </c>
      <c r="K133" s="383">
        <v>0.17000671972100001</v>
      </c>
    </row>
    <row r="134" spans="1:11" ht="14.4" customHeight="1" thickBot="1" x14ac:dyDescent="0.35">
      <c r="A134" s="392" t="s">
        <v>357</v>
      </c>
      <c r="B134" s="370">
        <v>24709.000000006501</v>
      </c>
      <c r="C134" s="370">
        <v>23616.417109999999</v>
      </c>
      <c r="D134" s="371">
        <v>-1092.58289000644</v>
      </c>
      <c r="E134" s="372">
        <v>0.95578198672500003</v>
      </c>
      <c r="F134" s="370">
        <v>28608.002868485699</v>
      </c>
      <c r="G134" s="371">
        <v>4768.0004780809604</v>
      </c>
      <c r="H134" s="373">
        <v>2249.6246099999998</v>
      </c>
      <c r="I134" s="370">
        <v>4376.8549499999999</v>
      </c>
      <c r="J134" s="371">
        <v>-391.14552808095601</v>
      </c>
      <c r="K134" s="374">
        <v>0.15299407547300001</v>
      </c>
    </row>
    <row r="135" spans="1:11" ht="14.4" customHeight="1" thickBot="1" x14ac:dyDescent="0.35">
      <c r="A135" s="392" t="s">
        <v>358</v>
      </c>
      <c r="B135" s="370">
        <v>37549.000000009801</v>
      </c>
      <c r="C135" s="370">
        <v>42055.36767</v>
      </c>
      <c r="D135" s="371">
        <v>4506.3676699901998</v>
      </c>
      <c r="E135" s="372">
        <v>1.120012987562</v>
      </c>
      <c r="F135" s="370">
        <v>43526.0043642936</v>
      </c>
      <c r="G135" s="371">
        <v>7254.3340607155997</v>
      </c>
      <c r="H135" s="373">
        <v>4113.9534000000003</v>
      </c>
      <c r="I135" s="370">
        <v>7886.4110000000001</v>
      </c>
      <c r="J135" s="371">
        <v>632.07693928440199</v>
      </c>
      <c r="K135" s="374">
        <v>0.18118848985</v>
      </c>
    </row>
    <row r="136" spans="1:11" ht="14.4" customHeight="1" thickBot="1" x14ac:dyDescent="0.35">
      <c r="A136" s="391" t="s">
        <v>359</v>
      </c>
      <c r="B136" s="375">
        <v>0</v>
      </c>
      <c r="C136" s="375">
        <v>3157.1135399999998</v>
      </c>
      <c r="D136" s="376">
        <v>3157.1135399999998</v>
      </c>
      <c r="E136" s="377" t="s">
        <v>230</v>
      </c>
      <c r="F136" s="375">
        <v>0</v>
      </c>
      <c r="G136" s="376">
        <v>0</v>
      </c>
      <c r="H136" s="378">
        <v>3.7409999999999999E-2</v>
      </c>
      <c r="I136" s="375">
        <v>3.7409999999999999E-2</v>
      </c>
      <c r="J136" s="376">
        <v>3.7409999999999999E-2</v>
      </c>
      <c r="K136" s="379" t="s">
        <v>230</v>
      </c>
    </row>
    <row r="137" spans="1:11" ht="14.4" customHeight="1" thickBot="1" x14ac:dyDescent="0.35">
      <c r="A137" s="392" t="s">
        <v>360</v>
      </c>
      <c r="B137" s="370">
        <v>0</v>
      </c>
      <c r="C137" s="370">
        <v>604.36782000000005</v>
      </c>
      <c r="D137" s="371">
        <v>604.36782000000005</v>
      </c>
      <c r="E137" s="380" t="s">
        <v>230</v>
      </c>
      <c r="F137" s="370">
        <v>0</v>
      </c>
      <c r="G137" s="371">
        <v>0</v>
      </c>
      <c r="H137" s="373">
        <v>0</v>
      </c>
      <c r="I137" s="370">
        <v>0</v>
      </c>
      <c r="J137" s="371">
        <v>0</v>
      </c>
      <c r="K137" s="381" t="s">
        <v>230</v>
      </c>
    </row>
    <row r="138" spans="1:11" ht="14.4" customHeight="1" thickBot="1" x14ac:dyDescent="0.35">
      <c r="A138" s="392" t="s">
        <v>361</v>
      </c>
      <c r="B138" s="370">
        <v>0</v>
      </c>
      <c r="C138" s="370">
        <v>2552.7457199999999</v>
      </c>
      <c r="D138" s="371">
        <v>2552.7457199999999</v>
      </c>
      <c r="E138" s="380" t="s">
        <v>230</v>
      </c>
      <c r="F138" s="370">
        <v>0</v>
      </c>
      <c r="G138" s="371">
        <v>0</v>
      </c>
      <c r="H138" s="373">
        <v>3.7409999999999999E-2</v>
      </c>
      <c r="I138" s="370">
        <v>3.7409999999999999E-2</v>
      </c>
      <c r="J138" s="371">
        <v>3.7409999999999999E-2</v>
      </c>
      <c r="K138" s="381" t="s">
        <v>230</v>
      </c>
    </row>
    <row r="139" spans="1:11" ht="14.4" customHeight="1" thickBot="1" x14ac:dyDescent="0.35">
      <c r="A139" s="389" t="s">
        <v>362</v>
      </c>
      <c r="B139" s="370">
        <v>41</v>
      </c>
      <c r="C139" s="370">
        <v>39.93844</v>
      </c>
      <c r="D139" s="371">
        <v>-1.0615600000000001</v>
      </c>
      <c r="E139" s="372">
        <v>0.97410829268200005</v>
      </c>
      <c r="F139" s="370">
        <v>27.974753888555998</v>
      </c>
      <c r="G139" s="371">
        <v>4.662458981426</v>
      </c>
      <c r="H139" s="373">
        <v>0</v>
      </c>
      <c r="I139" s="370">
        <v>5.7848100000000002</v>
      </c>
      <c r="J139" s="371">
        <v>1.1223510185729999</v>
      </c>
      <c r="K139" s="374">
        <v>0.20678680581200001</v>
      </c>
    </row>
    <row r="140" spans="1:11" ht="14.4" customHeight="1" thickBot="1" x14ac:dyDescent="0.35">
      <c r="A140" s="390" t="s">
        <v>363</v>
      </c>
      <c r="B140" s="370">
        <v>0</v>
      </c>
      <c r="C140" s="370">
        <v>2.0877699999999999</v>
      </c>
      <c r="D140" s="371">
        <v>2.0877699999999999</v>
      </c>
      <c r="E140" s="380" t="s">
        <v>230</v>
      </c>
      <c r="F140" s="370">
        <v>0</v>
      </c>
      <c r="G140" s="371">
        <v>0</v>
      </c>
      <c r="H140" s="373">
        <v>0</v>
      </c>
      <c r="I140" s="370">
        <v>0</v>
      </c>
      <c r="J140" s="371">
        <v>0</v>
      </c>
      <c r="K140" s="381" t="s">
        <v>230</v>
      </c>
    </row>
    <row r="141" spans="1:11" ht="14.4" customHeight="1" thickBot="1" x14ac:dyDescent="0.35">
      <c r="A141" s="391" t="s">
        <v>364</v>
      </c>
      <c r="B141" s="375">
        <v>0</v>
      </c>
      <c r="C141" s="375">
        <v>2.0877699999999999</v>
      </c>
      <c r="D141" s="376">
        <v>2.0877699999999999</v>
      </c>
      <c r="E141" s="377" t="s">
        <v>230</v>
      </c>
      <c r="F141" s="375">
        <v>0</v>
      </c>
      <c r="G141" s="376">
        <v>0</v>
      </c>
      <c r="H141" s="378">
        <v>0</v>
      </c>
      <c r="I141" s="375">
        <v>0</v>
      </c>
      <c r="J141" s="376">
        <v>0</v>
      </c>
      <c r="K141" s="379" t="s">
        <v>230</v>
      </c>
    </row>
    <row r="142" spans="1:11" ht="14.4" customHeight="1" thickBot="1" x14ac:dyDescent="0.35">
      <c r="A142" s="392" t="s">
        <v>365</v>
      </c>
      <c r="B142" s="370">
        <v>0</v>
      </c>
      <c r="C142" s="370">
        <v>2.0877699999999999</v>
      </c>
      <c r="D142" s="371">
        <v>2.0877699999999999</v>
      </c>
      <c r="E142" s="380" t="s">
        <v>230</v>
      </c>
      <c r="F142" s="370">
        <v>0</v>
      </c>
      <c r="G142" s="371">
        <v>0</v>
      </c>
      <c r="H142" s="373">
        <v>0</v>
      </c>
      <c r="I142" s="370">
        <v>0</v>
      </c>
      <c r="J142" s="371">
        <v>0</v>
      </c>
      <c r="K142" s="381" t="s">
        <v>230</v>
      </c>
    </row>
    <row r="143" spans="1:11" ht="14.4" customHeight="1" thickBot="1" x14ac:dyDescent="0.35">
      <c r="A143" s="395" t="s">
        <v>366</v>
      </c>
      <c r="B143" s="375">
        <v>41</v>
      </c>
      <c r="C143" s="375">
        <v>37.850670000000001</v>
      </c>
      <c r="D143" s="376">
        <v>-3.14933</v>
      </c>
      <c r="E143" s="382">
        <v>0.92318707317000004</v>
      </c>
      <c r="F143" s="375">
        <v>27.974753888555998</v>
      </c>
      <c r="G143" s="376">
        <v>4.662458981426</v>
      </c>
      <c r="H143" s="378">
        <v>0</v>
      </c>
      <c r="I143" s="375">
        <v>5.7848100000000002</v>
      </c>
      <c r="J143" s="376">
        <v>1.1223510185729999</v>
      </c>
      <c r="K143" s="383">
        <v>0.20678680581200001</v>
      </c>
    </row>
    <row r="144" spans="1:11" ht="14.4" customHeight="1" thickBot="1" x14ac:dyDescent="0.35">
      <c r="A144" s="391" t="s">
        <v>367</v>
      </c>
      <c r="B144" s="375">
        <v>0</v>
      </c>
      <c r="C144" s="375">
        <v>4.9991399999999997</v>
      </c>
      <c r="D144" s="376">
        <v>4.9991399999999997</v>
      </c>
      <c r="E144" s="377" t="s">
        <v>230</v>
      </c>
      <c r="F144" s="375">
        <v>0</v>
      </c>
      <c r="G144" s="376">
        <v>0</v>
      </c>
      <c r="H144" s="378">
        <v>0</v>
      </c>
      <c r="I144" s="375">
        <v>-3.8999999999999999E-4</v>
      </c>
      <c r="J144" s="376">
        <v>-3.8999999999999999E-4</v>
      </c>
      <c r="K144" s="379" t="s">
        <v>230</v>
      </c>
    </row>
    <row r="145" spans="1:11" ht="14.4" customHeight="1" thickBot="1" x14ac:dyDescent="0.35">
      <c r="A145" s="392" t="s">
        <v>368</v>
      </c>
      <c r="B145" s="370">
        <v>0</v>
      </c>
      <c r="C145" s="370">
        <v>-8.5999999999999998E-4</v>
      </c>
      <c r="D145" s="371">
        <v>-8.5999999999999998E-4</v>
      </c>
      <c r="E145" s="380" t="s">
        <v>230</v>
      </c>
      <c r="F145" s="370">
        <v>0</v>
      </c>
      <c r="G145" s="371">
        <v>0</v>
      </c>
      <c r="H145" s="373">
        <v>0</v>
      </c>
      <c r="I145" s="370">
        <v>-3.8999999999999999E-4</v>
      </c>
      <c r="J145" s="371">
        <v>-3.8999999999999999E-4</v>
      </c>
      <c r="K145" s="381" t="s">
        <v>230</v>
      </c>
    </row>
    <row r="146" spans="1:11" ht="14.4" customHeight="1" thickBot="1" x14ac:dyDescent="0.35">
      <c r="A146" s="392" t="s">
        <v>369</v>
      </c>
      <c r="B146" s="370">
        <v>0</v>
      </c>
      <c r="C146" s="370">
        <v>5</v>
      </c>
      <c r="D146" s="371">
        <v>5</v>
      </c>
      <c r="E146" s="380" t="s">
        <v>258</v>
      </c>
      <c r="F146" s="370">
        <v>0</v>
      </c>
      <c r="G146" s="371">
        <v>0</v>
      </c>
      <c r="H146" s="373">
        <v>0</v>
      </c>
      <c r="I146" s="370">
        <v>0</v>
      </c>
      <c r="J146" s="371">
        <v>0</v>
      </c>
      <c r="K146" s="381" t="s">
        <v>230</v>
      </c>
    </row>
    <row r="147" spans="1:11" ht="14.4" customHeight="1" thickBot="1" x14ac:dyDescent="0.35">
      <c r="A147" s="391" t="s">
        <v>370</v>
      </c>
      <c r="B147" s="375">
        <v>41</v>
      </c>
      <c r="C147" s="375">
        <v>32.851529999999997</v>
      </c>
      <c r="D147" s="376">
        <v>-8.1484699999999997</v>
      </c>
      <c r="E147" s="382">
        <v>0.80125682926800001</v>
      </c>
      <c r="F147" s="375">
        <v>27.974753888555998</v>
      </c>
      <c r="G147" s="376">
        <v>4.662458981426</v>
      </c>
      <c r="H147" s="378">
        <v>0</v>
      </c>
      <c r="I147" s="375">
        <v>5.7851999999999997</v>
      </c>
      <c r="J147" s="376">
        <v>1.122741018573</v>
      </c>
      <c r="K147" s="383">
        <v>0.20680074695299999</v>
      </c>
    </row>
    <row r="148" spans="1:11" ht="14.4" customHeight="1" thickBot="1" x14ac:dyDescent="0.35">
      <c r="A148" s="392" t="s">
        <v>371</v>
      </c>
      <c r="B148" s="370">
        <v>41</v>
      </c>
      <c r="C148" s="370">
        <v>32.851529999999997</v>
      </c>
      <c r="D148" s="371">
        <v>-8.1484699999999997</v>
      </c>
      <c r="E148" s="372">
        <v>0.80125682926800001</v>
      </c>
      <c r="F148" s="370">
        <v>27.974753888555998</v>
      </c>
      <c r="G148" s="371">
        <v>4.662458981426</v>
      </c>
      <c r="H148" s="373">
        <v>0</v>
      </c>
      <c r="I148" s="370">
        <v>5.7851999999999997</v>
      </c>
      <c r="J148" s="371">
        <v>1.122741018573</v>
      </c>
      <c r="K148" s="374">
        <v>0.20680074695299999</v>
      </c>
    </row>
    <row r="149" spans="1:11" ht="14.4" customHeight="1" thickBot="1" x14ac:dyDescent="0.35">
      <c r="A149" s="388" t="s">
        <v>372</v>
      </c>
      <c r="B149" s="370">
        <v>3099.9675596324</v>
      </c>
      <c r="C149" s="370">
        <v>3009.40101</v>
      </c>
      <c r="D149" s="371">
        <v>-90.566549632393006</v>
      </c>
      <c r="E149" s="372">
        <v>0.97078467826100001</v>
      </c>
      <c r="F149" s="370">
        <v>0</v>
      </c>
      <c r="G149" s="371">
        <v>0</v>
      </c>
      <c r="H149" s="373">
        <v>206.57416000000001</v>
      </c>
      <c r="I149" s="370">
        <v>442.67831999999999</v>
      </c>
      <c r="J149" s="371">
        <v>442.67831999999999</v>
      </c>
      <c r="K149" s="381" t="s">
        <v>258</v>
      </c>
    </row>
    <row r="150" spans="1:11" ht="14.4" customHeight="1" thickBot="1" x14ac:dyDescent="0.35">
      <c r="A150" s="393" t="s">
        <v>373</v>
      </c>
      <c r="B150" s="375">
        <v>3099.9675596324</v>
      </c>
      <c r="C150" s="375">
        <v>3009.40101</v>
      </c>
      <c r="D150" s="376">
        <v>-90.566549632393006</v>
      </c>
      <c r="E150" s="382">
        <v>0.97078467826100001</v>
      </c>
      <c r="F150" s="375">
        <v>0</v>
      </c>
      <c r="G150" s="376">
        <v>0</v>
      </c>
      <c r="H150" s="378">
        <v>206.57416000000001</v>
      </c>
      <c r="I150" s="375">
        <v>442.67831999999999</v>
      </c>
      <c r="J150" s="376">
        <v>442.67831999999999</v>
      </c>
      <c r="K150" s="379" t="s">
        <v>258</v>
      </c>
    </row>
    <row r="151" spans="1:11" ht="14.4" customHeight="1" thickBot="1" x14ac:dyDescent="0.35">
      <c r="A151" s="395" t="s">
        <v>41</v>
      </c>
      <c r="B151" s="375">
        <v>3099.9675596324</v>
      </c>
      <c r="C151" s="375">
        <v>3009.40101</v>
      </c>
      <c r="D151" s="376">
        <v>-90.566549632393006</v>
      </c>
      <c r="E151" s="382">
        <v>0.97078467826100001</v>
      </c>
      <c r="F151" s="375">
        <v>0</v>
      </c>
      <c r="G151" s="376">
        <v>0</v>
      </c>
      <c r="H151" s="378">
        <v>206.57416000000001</v>
      </c>
      <c r="I151" s="375">
        <v>442.67831999999999</v>
      </c>
      <c r="J151" s="376">
        <v>442.67831999999999</v>
      </c>
      <c r="K151" s="379" t="s">
        <v>258</v>
      </c>
    </row>
    <row r="152" spans="1:11" ht="14.4" customHeight="1" thickBot="1" x14ac:dyDescent="0.35">
      <c r="A152" s="391" t="s">
        <v>374</v>
      </c>
      <c r="B152" s="375">
        <v>62.959004879368003</v>
      </c>
      <c r="C152" s="375">
        <v>52.2607</v>
      </c>
      <c r="D152" s="376">
        <v>-10.698304879367999</v>
      </c>
      <c r="E152" s="382">
        <v>0.83007506392599995</v>
      </c>
      <c r="F152" s="375">
        <v>0</v>
      </c>
      <c r="G152" s="376">
        <v>0</v>
      </c>
      <c r="H152" s="378">
        <v>5.2240399999999996</v>
      </c>
      <c r="I152" s="375">
        <v>10.14364</v>
      </c>
      <c r="J152" s="376">
        <v>10.14364</v>
      </c>
      <c r="K152" s="379" t="s">
        <v>258</v>
      </c>
    </row>
    <row r="153" spans="1:11" ht="14.4" customHeight="1" thickBot="1" x14ac:dyDescent="0.35">
      <c r="A153" s="392" t="s">
        <v>375</v>
      </c>
      <c r="B153" s="370">
        <v>19.413484021822999</v>
      </c>
      <c r="C153" s="370">
        <v>18.920000000000002</v>
      </c>
      <c r="D153" s="371">
        <v>-0.493484021823</v>
      </c>
      <c r="E153" s="372">
        <v>0.974580347284</v>
      </c>
      <c r="F153" s="370">
        <v>0</v>
      </c>
      <c r="G153" s="371">
        <v>0</v>
      </c>
      <c r="H153" s="373">
        <v>0</v>
      </c>
      <c r="I153" s="370">
        <v>0</v>
      </c>
      <c r="J153" s="371">
        <v>0</v>
      </c>
      <c r="K153" s="374">
        <v>2</v>
      </c>
    </row>
    <row r="154" spans="1:11" ht="14.4" customHeight="1" thickBot="1" x14ac:dyDescent="0.35">
      <c r="A154" s="392" t="s">
        <v>376</v>
      </c>
      <c r="B154" s="370">
        <v>2.4363767074039999</v>
      </c>
      <c r="C154" s="370">
        <v>8.9499999999999996E-2</v>
      </c>
      <c r="D154" s="371">
        <v>-2.3468767074039998</v>
      </c>
      <c r="E154" s="372">
        <v>3.6734877543999997E-2</v>
      </c>
      <c r="F154" s="370">
        <v>0</v>
      </c>
      <c r="G154" s="371">
        <v>0</v>
      </c>
      <c r="H154" s="373">
        <v>2.0665</v>
      </c>
      <c r="I154" s="370">
        <v>3.9491000000000001</v>
      </c>
      <c r="J154" s="371">
        <v>3.9491000000000001</v>
      </c>
      <c r="K154" s="381" t="s">
        <v>258</v>
      </c>
    </row>
    <row r="155" spans="1:11" ht="14.4" customHeight="1" thickBot="1" x14ac:dyDescent="0.35">
      <c r="A155" s="392" t="s">
        <v>377</v>
      </c>
      <c r="B155" s="370">
        <v>41.109144150139002</v>
      </c>
      <c r="C155" s="370">
        <v>33.251199999999997</v>
      </c>
      <c r="D155" s="371">
        <v>-7.8579441501389997</v>
      </c>
      <c r="E155" s="372">
        <v>0.80885167247800005</v>
      </c>
      <c r="F155" s="370">
        <v>0</v>
      </c>
      <c r="G155" s="371">
        <v>0</v>
      </c>
      <c r="H155" s="373">
        <v>3.15754</v>
      </c>
      <c r="I155" s="370">
        <v>6.1945399999999999</v>
      </c>
      <c r="J155" s="371">
        <v>6.1945399999999999</v>
      </c>
      <c r="K155" s="381" t="s">
        <v>258</v>
      </c>
    </row>
    <row r="156" spans="1:11" ht="14.4" customHeight="1" thickBot="1" x14ac:dyDescent="0.35">
      <c r="A156" s="391" t="s">
        <v>378</v>
      </c>
      <c r="B156" s="375">
        <v>39.658340838737999</v>
      </c>
      <c r="C156" s="375">
        <v>38.590260000000001</v>
      </c>
      <c r="D156" s="376">
        <v>-1.0680808387380001</v>
      </c>
      <c r="E156" s="382">
        <v>0.97306793940000003</v>
      </c>
      <c r="F156" s="375">
        <v>0</v>
      </c>
      <c r="G156" s="376">
        <v>0</v>
      </c>
      <c r="H156" s="378">
        <v>3.2313000000000001</v>
      </c>
      <c r="I156" s="375">
        <v>6.2808000000000002</v>
      </c>
      <c r="J156" s="376">
        <v>6.2808000000000002</v>
      </c>
      <c r="K156" s="379" t="s">
        <v>258</v>
      </c>
    </row>
    <row r="157" spans="1:11" ht="14.4" customHeight="1" thickBot="1" x14ac:dyDescent="0.35">
      <c r="A157" s="392" t="s">
        <v>379</v>
      </c>
      <c r="B157" s="370">
        <v>39.658340838737999</v>
      </c>
      <c r="C157" s="370">
        <v>38.590260000000001</v>
      </c>
      <c r="D157" s="371">
        <v>-1.0680808387380001</v>
      </c>
      <c r="E157" s="372">
        <v>0.97306793940000003</v>
      </c>
      <c r="F157" s="370">
        <v>0</v>
      </c>
      <c r="G157" s="371">
        <v>0</v>
      </c>
      <c r="H157" s="373">
        <v>3.2313000000000001</v>
      </c>
      <c r="I157" s="370">
        <v>6.2808000000000002</v>
      </c>
      <c r="J157" s="371">
        <v>6.2808000000000002</v>
      </c>
      <c r="K157" s="381" t="s">
        <v>258</v>
      </c>
    </row>
    <row r="158" spans="1:11" ht="14.4" customHeight="1" thickBot="1" x14ac:dyDescent="0.35">
      <c r="A158" s="391" t="s">
        <v>380</v>
      </c>
      <c r="B158" s="375">
        <v>1001</v>
      </c>
      <c r="C158" s="375">
        <v>914.38341000000105</v>
      </c>
      <c r="D158" s="376">
        <v>-86.616589999998993</v>
      </c>
      <c r="E158" s="382">
        <v>0.91346994005899995</v>
      </c>
      <c r="F158" s="375">
        <v>0</v>
      </c>
      <c r="G158" s="376">
        <v>0</v>
      </c>
      <c r="H158" s="378">
        <v>70.66292</v>
      </c>
      <c r="I158" s="375">
        <v>123.30126</v>
      </c>
      <c r="J158" s="376">
        <v>123.30126</v>
      </c>
      <c r="K158" s="379" t="s">
        <v>258</v>
      </c>
    </row>
    <row r="159" spans="1:11" ht="14.4" customHeight="1" thickBot="1" x14ac:dyDescent="0.35">
      <c r="A159" s="392" t="s">
        <v>381</v>
      </c>
      <c r="B159" s="370">
        <v>1001</v>
      </c>
      <c r="C159" s="370">
        <v>914.38341000000105</v>
      </c>
      <c r="D159" s="371">
        <v>-86.616589999998993</v>
      </c>
      <c r="E159" s="372">
        <v>0.91346994005899995</v>
      </c>
      <c r="F159" s="370">
        <v>0</v>
      </c>
      <c r="G159" s="371">
        <v>0</v>
      </c>
      <c r="H159" s="373">
        <v>70.66292</v>
      </c>
      <c r="I159" s="370">
        <v>123.30126</v>
      </c>
      <c r="J159" s="371">
        <v>123.30126</v>
      </c>
      <c r="K159" s="381" t="s">
        <v>258</v>
      </c>
    </row>
    <row r="160" spans="1:11" ht="14.4" customHeight="1" thickBot="1" x14ac:dyDescent="0.35">
      <c r="A160" s="391" t="s">
        <v>382</v>
      </c>
      <c r="B160" s="375">
        <v>0</v>
      </c>
      <c r="C160" s="375">
        <v>18.375</v>
      </c>
      <c r="D160" s="376">
        <v>18.375</v>
      </c>
      <c r="E160" s="377" t="s">
        <v>230</v>
      </c>
      <c r="F160" s="375">
        <v>0</v>
      </c>
      <c r="G160" s="376">
        <v>0</v>
      </c>
      <c r="H160" s="378">
        <v>0</v>
      </c>
      <c r="I160" s="375">
        <v>0</v>
      </c>
      <c r="J160" s="376">
        <v>0</v>
      </c>
      <c r="K160" s="383">
        <v>2</v>
      </c>
    </row>
    <row r="161" spans="1:11" ht="14.4" customHeight="1" thickBot="1" x14ac:dyDescent="0.35">
      <c r="A161" s="392" t="s">
        <v>383</v>
      </c>
      <c r="B161" s="370">
        <v>0</v>
      </c>
      <c r="C161" s="370">
        <v>18.375</v>
      </c>
      <c r="D161" s="371">
        <v>18.375</v>
      </c>
      <c r="E161" s="380" t="s">
        <v>230</v>
      </c>
      <c r="F161" s="370">
        <v>0</v>
      </c>
      <c r="G161" s="371">
        <v>0</v>
      </c>
      <c r="H161" s="373">
        <v>0</v>
      </c>
      <c r="I161" s="370">
        <v>0</v>
      </c>
      <c r="J161" s="371">
        <v>0</v>
      </c>
      <c r="K161" s="374">
        <v>2</v>
      </c>
    </row>
    <row r="162" spans="1:11" ht="14.4" customHeight="1" thickBot="1" x14ac:dyDescent="0.35">
      <c r="A162" s="391" t="s">
        <v>384</v>
      </c>
      <c r="B162" s="375">
        <v>1996.35021391429</v>
      </c>
      <c r="C162" s="375">
        <v>1985.7916399999999</v>
      </c>
      <c r="D162" s="376">
        <v>-10.558573914287001</v>
      </c>
      <c r="E162" s="382">
        <v>0.99471106129499998</v>
      </c>
      <c r="F162" s="375">
        <v>0</v>
      </c>
      <c r="G162" s="376">
        <v>0</v>
      </c>
      <c r="H162" s="378">
        <v>127.4559</v>
      </c>
      <c r="I162" s="375">
        <v>302.95262000000002</v>
      </c>
      <c r="J162" s="376">
        <v>302.95262000000002</v>
      </c>
      <c r="K162" s="379" t="s">
        <v>258</v>
      </c>
    </row>
    <row r="163" spans="1:11" ht="14.4" customHeight="1" thickBot="1" x14ac:dyDescent="0.35">
      <c r="A163" s="392" t="s">
        <v>385</v>
      </c>
      <c r="B163" s="370">
        <v>1996.35021391429</v>
      </c>
      <c r="C163" s="370">
        <v>1985.7916399999999</v>
      </c>
      <c r="D163" s="371">
        <v>-10.558573914287001</v>
      </c>
      <c r="E163" s="372">
        <v>0.99471106129499998</v>
      </c>
      <c r="F163" s="370">
        <v>0</v>
      </c>
      <c r="G163" s="371">
        <v>0</v>
      </c>
      <c r="H163" s="373">
        <v>127.4559</v>
      </c>
      <c r="I163" s="370">
        <v>302.95262000000002</v>
      </c>
      <c r="J163" s="371">
        <v>302.95262000000002</v>
      </c>
      <c r="K163" s="381" t="s">
        <v>258</v>
      </c>
    </row>
    <row r="164" spans="1:11" ht="14.4" customHeight="1" thickBot="1" x14ac:dyDescent="0.35">
      <c r="A164" s="396" t="s">
        <v>386</v>
      </c>
      <c r="B164" s="375">
        <v>0</v>
      </c>
      <c r="C164" s="375">
        <v>17337.158049999998</v>
      </c>
      <c r="D164" s="376">
        <v>17337.158049999998</v>
      </c>
      <c r="E164" s="377" t="s">
        <v>230</v>
      </c>
      <c r="F164" s="375">
        <v>0</v>
      </c>
      <c r="G164" s="376">
        <v>0</v>
      </c>
      <c r="H164" s="378">
        <v>1350.1719599999999</v>
      </c>
      <c r="I164" s="375">
        <v>2690.2122300000001</v>
      </c>
      <c r="J164" s="376">
        <v>2690.2122300000001</v>
      </c>
      <c r="K164" s="379" t="s">
        <v>258</v>
      </c>
    </row>
    <row r="165" spans="1:11" ht="14.4" customHeight="1" thickBot="1" x14ac:dyDescent="0.35">
      <c r="A165" s="393" t="s">
        <v>387</v>
      </c>
      <c r="B165" s="375">
        <v>0</v>
      </c>
      <c r="C165" s="375">
        <v>17337.158049999998</v>
      </c>
      <c r="D165" s="376">
        <v>17337.158049999998</v>
      </c>
      <c r="E165" s="377" t="s">
        <v>230</v>
      </c>
      <c r="F165" s="375">
        <v>0</v>
      </c>
      <c r="G165" s="376">
        <v>0</v>
      </c>
      <c r="H165" s="378">
        <v>1350.1719599999999</v>
      </c>
      <c r="I165" s="375">
        <v>2690.2122300000001</v>
      </c>
      <c r="J165" s="376">
        <v>2690.2122300000001</v>
      </c>
      <c r="K165" s="379" t="s">
        <v>258</v>
      </c>
    </row>
    <row r="166" spans="1:11" ht="14.4" customHeight="1" thickBot="1" x14ac:dyDescent="0.35">
      <c r="A166" s="395" t="s">
        <v>388</v>
      </c>
      <c r="B166" s="375">
        <v>0</v>
      </c>
      <c r="C166" s="375">
        <v>17337.158049999998</v>
      </c>
      <c r="D166" s="376">
        <v>17337.158049999998</v>
      </c>
      <c r="E166" s="377" t="s">
        <v>230</v>
      </c>
      <c r="F166" s="375">
        <v>0</v>
      </c>
      <c r="G166" s="376">
        <v>0</v>
      </c>
      <c r="H166" s="378">
        <v>1350.1719599999999</v>
      </c>
      <c r="I166" s="375">
        <v>2690.2122300000001</v>
      </c>
      <c r="J166" s="376">
        <v>2690.2122300000001</v>
      </c>
      <c r="K166" s="379" t="s">
        <v>258</v>
      </c>
    </row>
    <row r="167" spans="1:11" ht="14.4" customHeight="1" thickBot="1" x14ac:dyDescent="0.35">
      <c r="A167" s="391" t="s">
        <v>389</v>
      </c>
      <c r="B167" s="375">
        <v>0</v>
      </c>
      <c r="C167" s="375">
        <v>17337.158049999998</v>
      </c>
      <c r="D167" s="376">
        <v>17337.158049999998</v>
      </c>
      <c r="E167" s="377" t="s">
        <v>230</v>
      </c>
      <c r="F167" s="375">
        <v>0</v>
      </c>
      <c r="G167" s="376">
        <v>0</v>
      </c>
      <c r="H167" s="378">
        <v>1350.1719599999999</v>
      </c>
      <c r="I167" s="375">
        <v>2690.2122300000001</v>
      </c>
      <c r="J167" s="376">
        <v>2690.2122300000001</v>
      </c>
      <c r="K167" s="379" t="s">
        <v>258</v>
      </c>
    </row>
    <row r="168" spans="1:11" ht="14.4" customHeight="1" thickBot="1" x14ac:dyDescent="0.35">
      <c r="A168" s="392" t="s">
        <v>390</v>
      </c>
      <c r="B168" s="370">
        <v>0</v>
      </c>
      <c r="C168" s="370">
        <v>99.233999999999995</v>
      </c>
      <c r="D168" s="371">
        <v>99.233999999999995</v>
      </c>
      <c r="E168" s="380" t="s">
        <v>230</v>
      </c>
      <c r="F168" s="370">
        <v>0</v>
      </c>
      <c r="G168" s="371">
        <v>0</v>
      </c>
      <c r="H168" s="373">
        <v>0</v>
      </c>
      <c r="I168" s="370">
        <v>0</v>
      </c>
      <c r="J168" s="371">
        <v>0</v>
      </c>
      <c r="K168" s="374">
        <v>2</v>
      </c>
    </row>
    <row r="169" spans="1:11" ht="14.4" customHeight="1" thickBot="1" x14ac:dyDescent="0.35">
      <c r="A169" s="392" t="s">
        <v>391</v>
      </c>
      <c r="B169" s="370">
        <v>0</v>
      </c>
      <c r="C169" s="370">
        <v>17137.670289999998</v>
      </c>
      <c r="D169" s="371">
        <v>17137.670289999998</v>
      </c>
      <c r="E169" s="380" t="s">
        <v>230</v>
      </c>
      <c r="F169" s="370">
        <v>0</v>
      </c>
      <c r="G169" s="371">
        <v>0</v>
      </c>
      <c r="H169" s="373">
        <v>1320.1719599999999</v>
      </c>
      <c r="I169" s="370">
        <v>2660.2122300000001</v>
      </c>
      <c r="J169" s="371">
        <v>2660.2122300000001</v>
      </c>
      <c r="K169" s="381" t="s">
        <v>258</v>
      </c>
    </row>
    <row r="170" spans="1:11" ht="14.4" customHeight="1" thickBot="1" x14ac:dyDescent="0.35">
      <c r="A170" s="392" t="s">
        <v>392</v>
      </c>
      <c r="B170" s="370">
        <v>0</v>
      </c>
      <c r="C170" s="370">
        <v>100.25376</v>
      </c>
      <c r="D170" s="371">
        <v>100.25376</v>
      </c>
      <c r="E170" s="380" t="s">
        <v>230</v>
      </c>
      <c r="F170" s="370">
        <v>0</v>
      </c>
      <c r="G170" s="371">
        <v>0</v>
      </c>
      <c r="H170" s="373">
        <v>30</v>
      </c>
      <c r="I170" s="370">
        <v>30</v>
      </c>
      <c r="J170" s="371">
        <v>30</v>
      </c>
      <c r="K170" s="381" t="s">
        <v>258</v>
      </c>
    </row>
    <row r="171" spans="1:11" ht="14.4" customHeight="1" thickBot="1" x14ac:dyDescent="0.35">
      <c r="A171" s="397"/>
      <c r="B171" s="370">
        <v>21691.516454130899</v>
      </c>
      <c r="C171" s="370">
        <v>44518.496290000003</v>
      </c>
      <c r="D171" s="371">
        <v>22826.9798358691</v>
      </c>
      <c r="E171" s="372">
        <v>2.0523459659509999</v>
      </c>
      <c r="F171" s="370">
        <v>33993.913917390099</v>
      </c>
      <c r="G171" s="371">
        <v>5665.6523195650198</v>
      </c>
      <c r="H171" s="373">
        <v>4116.4913900000001</v>
      </c>
      <c r="I171" s="370">
        <v>7692.8424500000001</v>
      </c>
      <c r="J171" s="371">
        <v>2027.1901304349799</v>
      </c>
      <c r="K171" s="374">
        <v>0.22630058041199999</v>
      </c>
    </row>
    <row r="172" spans="1:11" ht="14.4" customHeight="1" thickBot="1" x14ac:dyDescent="0.35">
      <c r="A172" s="398" t="s">
        <v>53</v>
      </c>
      <c r="B172" s="384">
        <v>21691.516454130899</v>
      </c>
      <c r="C172" s="384">
        <v>44518.496290000003</v>
      </c>
      <c r="D172" s="385">
        <v>22826.9798358691</v>
      </c>
      <c r="E172" s="386" t="s">
        <v>230</v>
      </c>
      <c r="F172" s="384">
        <v>33993.913917390099</v>
      </c>
      <c r="G172" s="385">
        <v>5665.6523195650198</v>
      </c>
      <c r="H172" s="384">
        <v>4116.4913900000001</v>
      </c>
      <c r="I172" s="384">
        <v>7692.8424500000001</v>
      </c>
      <c r="J172" s="385">
        <v>2027.1901304349799</v>
      </c>
      <c r="K172" s="387">
        <v>0.22630058041199999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18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192" customWidth="1"/>
    <col min="2" max="2" width="61.109375" style="192" customWidth="1"/>
    <col min="3" max="3" width="9.5546875" style="116" customWidth="1"/>
    <col min="4" max="4" width="9.5546875" style="193" customWidth="1"/>
    <col min="5" max="5" width="2.21875" style="193" customWidth="1"/>
    <col min="6" max="6" width="9.5546875" style="194" customWidth="1"/>
    <col min="7" max="7" width="9.5546875" style="191" customWidth="1"/>
    <col min="8" max="9" width="9.5546875" style="116" customWidth="1"/>
    <col min="10" max="10" width="0" style="116" hidden="1" customWidth="1"/>
    <col min="11" max="16384" width="8.88671875" style="116"/>
  </cols>
  <sheetData>
    <row r="1" spans="1:10" ht="18.600000000000001" customHeight="1" thickBot="1" x14ac:dyDescent="0.4">
      <c r="A1" s="321" t="s">
        <v>123</v>
      </c>
      <c r="B1" s="322"/>
      <c r="C1" s="322"/>
      <c r="D1" s="322"/>
      <c r="E1" s="322"/>
      <c r="F1" s="322"/>
      <c r="G1" s="293"/>
      <c r="H1" s="323"/>
      <c r="I1" s="323"/>
    </row>
    <row r="2" spans="1:10" ht="14.4" customHeight="1" thickBot="1" x14ac:dyDescent="0.35">
      <c r="A2" s="214" t="s">
        <v>229</v>
      </c>
      <c r="B2" s="190"/>
      <c r="C2" s="190"/>
      <c r="D2" s="190"/>
      <c r="E2" s="190"/>
      <c r="F2" s="190"/>
    </row>
    <row r="3" spans="1:10" ht="14.4" customHeight="1" thickBot="1" x14ac:dyDescent="0.35">
      <c r="A3" s="214"/>
      <c r="B3" s="190"/>
      <c r="C3" s="260">
        <v>2014</v>
      </c>
      <c r="D3" s="261">
        <v>2015</v>
      </c>
      <c r="E3" s="7"/>
      <c r="F3" s="316">
        <v>2016</v>
      </c>
      <c r="G3" s="317"/>
      <c r="H3" s="317"/>
      <c r="I3" s="318"/>
    </row>
    <row r="4" spans="1:10" ht="14.4" customHeight="1" thickBot="1" x14ac:dyDescent="0.35">
      <c r="A4" s="265" t="s">
        <v>0</v>
      </c>
      <c r="B4" s="266" t="s">
        <v>186</v>
      </c>
      <c r="C4" s="319" t="s">
        <v>60</v>
      </c>
      <c r="D4" s="320"/>
      <c r="E4" s="267"/>
      <c r="F4" s="262" t="s">
        <v>60</v>
      </c>
      <c r="G4" s="263" t="s">
        <v>61</v>
      </c>
      <c r="H4" s="263" t="s">
        <v>55</v>
      </c>
      <c r="I4" s="264" t="s">
        <v>62</v>
      </c>
    </row>
    <row r="5" spans="1:10" ht="14.4" customHeight="1" x14ac:dyDescent="0.3">
      <c r="A5" s="399" t="s">
        <v>393</v>
      </c>
      <c r="B5" s="400" t="s">
        <v>394</v>
      </c>
      <c r="C5" s="401" t="s">
        <v>395</v>
      </c>
      <c r="D5" s="401" t="s">
        <v>395</v>
      </c>
      <c r="E5" s="401"/>
      <c r="F5" s="401" t="s">
        <v>395</v>
      </c>
      <c r="G5" s="401" t="s">
        <v>395</v>
      </c>
      <c r="H5" s="401" t="s">
        <v>395</v>
      </c>
      <c r="I5" s="402" t="s">
        <v>395</v>
      </c>
      <c r="J5" s="403" t="s">
        <v>56</v>
      </c>
    </row>
    <row r="6" spans="1:10" ht="14.4" customHeight="1" x14ac:dyDescent="0.3">
      <c r="A6" s="399" t="s">
        <v>393</v>
      </c>
      <c r="B6" s="400" t="s">
        <v>238</v>
      </c>
      <c r="C6" s="401">
        <v>7.4567899999999998</v>
      </c>
      <c r="D6" s="401">
        <v>7.0640800000000006</v>
      </c>
      <c r="E6" s="401"/>
      <c r="F6" s="401">
        <v>4.4075800000000003</v>
      </c>
      <c r="G6" s="401">
        <v>6.166668366543167</v>
      </c>
      <c r="H6" s="401">
        <v>-1.7590883665431667</v>
      </c>
      <c r="I6" s="402">
        <v>0.71474250567989372</v>
      </c>
      <c r="J6" s="403" t="s">
        <v>1</v>
      </c>
    </row>
    <row r="7" spans="1:10" ht="14.4" customHeight="1" x14ac:dyDescent="0.3">
      <c r="A7" s="399" t="s">
        <v>393</v>
      </c>
      <c r="B7" s="400" t="s">
        <v>239</v>
      </c>
      <c r="C7" s="401">
        <v>0.27600999999999998</v>
      </c>
      <c r="D7" s="401">
        <v>0.59514</v>
      </c>
      <c r="E7" s="401"/>
      <c r="F7" s="401">
        <v>0.53444000000000003</v>
      </c>
      <c r="G7" s="401">
        <v>3.6666676774039999</v>
      </c>
      <c r="H7" s="401">
        <v>-3.1322276774039999</v>
      </c>
      <c r="I7" s="402">
        <v>0.14575632345781156</v>
      </c>
      <c r="J7" s="403" t="s">
        <v>1</v>
      </c>
    </row>
    <row r="8" spans="1:10" ht="14.4" customHeight="1" x14ac:dyDescent="0.3">
      <c r="A8" s="399" t="s">
        <v>393</v>
      </c>
      <c r="B8" s="400" t="s">
        <v>240</v>
      </c>
      <c r="C8" s="401">
        <v>0.39301000000000003</v>
      </c>
      <c r="D8" s="401">
        <v>0</v>
      </c>
      <c r="E8" s="401"/>
      <c r="F8" s="401">
        <v>0</v>
      </c>
      <c r="G8" s="401">
        <v>0.15730004336049999</v>
      </c>
      <c r="H8" s="401">
        <v>-0.15730004336049999</v>
      </c>
      <c r="I8" s="402">
        <v>0</v>
      </c>
      <c r="J8" s="403" t="s">
        <v>1</v>
      </c>
    </row>
    <row r="9" spans="1:10" ht="14.4" customHeight="1" x14ac:dyDescent="0.3">
      <c r="A9" s="399" t="s">
        <v>393</v>
      </c>
      <c r="B9" s="400" t="s">
        <v>396</v>
      </c>
      <c r="C9" s="401">
        <v>8.1258099999999995</v>
      </c>
      <c r="D9" s="401">
        <v>7.6592200000000004</v>
      </c>
      <c r="E9" s="401"/>
      <c r="F9" s="401">
        <v>4.9420200000000003</v>
      </c>
      <c r="G9" s="401">
        <v>9.9906360873076672</v>
      </c>
      <c r="H9" s="401">
        <v>-5.0486160873076669</v>
      </c>
      <c r="I9" s="402">
        <v>0.49466520017463711</v>
      </c>
      <c r="J9" s="403" t="s">
        <v>397</v>
      </c>
    </row>
    <row r="11" spans="1:10" ht="14.4" customHeight="1" x14ac:dyDescent="0.3">
      <c r="A11" s="399" t="s">
        <v>393</v>
      </c>
      <c r="B11" s="400" t="s">
        <v>394</v>
      </c>
      <c r="C11" s="401" t="s">
        <v>395</v>
      </c>
      <c r="D11" s="401" t="s">
        <v>395</v>
      </c>
      <c r="E11" s="401"/>
      <c r="F11" s="401" t="s">
        <v>395</v>
      </c>
      <c r="G11" s="401" t="s">
        <v>395</v>
      </c>
      <c r="H11" s="401" t="s">
        <v>395</v>
      </c>
      <c r="I11" s="402" t="s">
        <v>395</v>
      </c>
      <c r="J11" s="403" t="s">
        <v>56</v>
      </c>
    </row>
    <row r="12" spans="1:10" ht="14.4" customHeight="1" x14ac:dyDescent="0.3">
      <c r="A12" s="399" t="s">
        <v>398</v>
      </c>
      <c r="B12" s="400" t="s">
        <v>399</v>
      </c>
      <c r="C12" s="401" t="s">
        <v>395</v>
      </c>
      <c r="D12" s="401" t="s">
        <v>395</v>
      </c>
      <c r="E12" s="401"/>
      <c r="F12" s="401" t="s">
        <v>395</v>
      </c>
      <c r="G12" s="401" t="s">
        <v>395</v>
      </c>
      <c r="H12" s="401" t="s">
        <v>395</v>
      </c>
      <c r="I12" s="402" t="s">
        <v>395</v>
      </c>
      <c r="J12" s="403" t="s">
        <v>0</v>
      </c>
    </row>
    <row r="13" spans="1:10" ht="14.4" customHeight="1" x14ac:dyDescent="0.3">
      <c r="A13" s="399" t="s">
        <v>398</v>
      </c>
      <c r="B13" s="400" t="s">
        <v>238</v>
      </c>
      <c r="C13" s="401">
        <v>7.4567899999999998</v>
      </c>
      <c r="D13" s="401">
        <v>7.0640800000000006</v>
      </c>
      <c r="E13" s="401"/>
      <c r="F13" s="401">
        <v>4.4075800000000003</v>
      </c>
      <c r="G13" s="401">
        <v>6.166668366543167</v>
      </c>
      <c r="H13" s="401">
        <v>-1.7590883665431667</v>
      </c>
      <c r="I13" s="402">
        <v>0.71474250567989372</v>
      </c>
      <c r="J13" s="403" t="s">
        <v>1</v>
      </c>
    </row>
    <row r="14" spans="1:10" ht="14.4" customHeight="1" x14ac:dyDescent="0.3">
      <c r="A14" s="399" t="s">
        <v>398</v>
      </c>
      <c r="B14" s="400" t="s">
        <v>239</v>
      </c>
      <c r="C14" s="401">
        <v>0.27600999999999998</v>
      </c>
      <c r="D14" s="401">
        <v>0.59514</v>
      </c>
      <c r="E14" s="401"/>
      <c r="F14" s="401">
        <v>0.53444000000000003</v>
      </c>
      <c r="G14" s="401">
        <v>3.6666676774039999</v>
      </c>
      <c r="H14" s="401">
        <v>-3.1322276774039999</v>
      </c>
      <c r="I14" s="402">
        <v>0.14575632345781156</v>
      </c>
      <c r="J14" s="403" t="s">
        <v>1</v>
      </c>
    </row>
    <row r="15" spans="1:10" ht="14.4" customHeight="1" x14ac:dyDescent="0.3">
      <c r="A15" s="399" t="s">
        <v>398</v>
      </c>
      <c r="B15" s="400" t="s">
        <v>240</v>
      </c>
      <c r="C15" s="401">
        <v>0.39301000000000003</v>
      </c>
      <c r="D15" s="401">
        <v>0</v>
      </c>
      <c r="E15" s="401"/>
      <c r="F15" s="401">
        <v>0</v>
      </c>
      <c r="G15" s="401">
        <v>0.15730004336049999</v>
      </c>
      <c r="H15" s="401">
        <v>-0.15730004336049999</v>
      </c>
      <c r="I15" s="402">
        <v>0</v>
      </c>
      <c r="J15" s="403" t="s">
        <v>1</v>
      </c>
    </row>
    <row r="16" spans="1:10" ht="14.4" customHeight="1" x14ac:dyDescent="0.3">
      <c r="A16" s="399" t="s">
        <v>398</v>
      </c>
      <c r="B16" s="400" t="s">
        <v>400</v>
      </c>
      <c r="C16" s="401">
        <v>8.1258099999999995</v>
      </c>
      <c r="D16" s="401">
        <v>7.6592200000000004</v>
      </c>
      <c r="E16" s="401"/>
      <c r="F16" s="401">
        <v>4.9420200000000003</v>
      </c>
      <c r="G16" s="401">
        <v>9.9906360873076672</v>
      </c>
      <c r="H16" s="401">
        <v>-5.0486160873076669</v>
      </c>
      <c r="I16" s="402">
        <v>0.49466520017463711</v>
      </c>
      <c r="J16" s="403" t="s">
        <v>401</v>
      </c>
    </row>
    <row r="17" spans="1:10" ht="14.4" customHeight="1" x14ac:dyDescent="0.3">
      <c r="A17" s="399" t="s">
        <v>395</v>
      </c>
      <c r="B17" s="400" t="s">
        <v>395</v>
      </c>
      <c r="C17" s="401" t="s">
        <v>395</v>
      </c>
      <c r="D17" s="401" t="s">
        <v>395</v>
      </c>
      <c r="E17" s="401"/>
      <c r="F17" s="401" t="s">
        <v>395</v>
      </c>
      <c r="G17" s="401" t="s">
        <v>395</v>
      </c>
      <c r="H17" s="401" t="s">
        <v>395</v>
      </c>
      <c r="I17" s="402" t="s">
        <v>395</v>
      </c>
      <c r="J17" s="403" t="s">
        <v>402</v>
      </c>
    </row>
    <row r="18" spans="1:10" ht="14.4" customHeight="1" x14ac:dyDescent="0.3">
      <c r="A18" s="399" t="s">
        <v>393</v>
      </c>
      <c r="B18" s="400" t="s">
        <v>396</v>
      </c>
      <c r="C18" s="401">
        <v>8.1258099999999995</v>
      </c>
      <c r="D18" s="401">
        <v>7.6592200000000004</v>
      </c>
      <c r="E18" s="401"/>
      <c r="F18" s="401">
        <v>4.9420200000000003</v>
      </c>
      <c r="G18" s="401">
        <v>9.9906360873076672</v>
      </c>
      <c r="H18" s="401">
        <v>-5.0486160873076669</v>
      </c>
      <c r="I18" s="402">
        <v>0.49466520017463711</v>
      </c>
      <c r="J18" s="403" t="s">
        <v>397</v>
      </c>
    </row>
  </sheetData>
  <mergeCells count="3">
    <mergeCell ref="F3:I3"/>
    <mergeCell ref="C4:D4"/>
    <mergeCell ref="A1:I1"/>
  </mergeCells>
  <conditionalFormatting sqref="F10 F19:F65537">
    <cfRule type="cellIs" dxfId="41" priority="18" stopIfTrue="1" operator="greaterThan">
      <formula>1</formula>
    </cfRule>
  </conditionalFormatting>
  <conditionalFormatting sqref="H5:H9">
    <cfRule type="expression" dxfId="40" priority="14">
      <formula>$H5&gt;0</formula>
    </cfRule>
  </conditionalFormatting>
  <conditionalFormatting sqref="I5:I9">
    <cfRule type="expression" dxfId="39" priority="15">
      <formula>$I5&gt;1</formula>
    </cfRule>
  </conditionalFormatting>
  <conditionalFormatting sqref="B5:B9">
    <cfRule type="expression" dxfId="38" priority="11">
      <formula>OR($J5="NS",$J5="SumaNS",$J5="Účet")</formula>
    </cfRule>
  </conditionalFormatting>
  <conditionalFormatting sqref="B5:D9 F5:I9">
    <cfRule type="expression" dxfId="37" priority="17">
      <formula>AND($J5&lt;&gt;"",$J5&lt;&gt;"mezeraKL")</formula>
    </cfRule>
  </conditionalFormatting>
  <conditionalFormatting sqref="B5:D9 F5:I9">
    <cfRule type="expression" dxfId="36" priority="12">
      <formula>OR($J5="KL",$J5="SumaKL")</formula>
    </cfRule>
    <cfRule type="expression" priority="16" stopIfTrue="1">
      <formula>OR($J5="mezeraNS",$J5="mezeraKL")</formula>
    </cfRule>
  </conditionalFormatting>
  <conditionalFormatting sqref="F5:I9 B5:D9">
    <cfRule type="expression" dxfId="35" priority="13">
      <formula>OR($J5="SumaNS",$J5="NS")</formula>
    </cfRule>
  </conditionalFormatting>
  <conditionalFormatting sqref="A5:A9">
    <cfRule type="expression" dxfId="34" priority="9">
      <formula>AND($J5&lt;&gt;"mezeraKL",$J5&lt;&gt;"")</formula>
    </cfRule>
  </conditionalFormatting>
  <conditionalFormatting sqref="A5:A9">
    <cfRule type="expression" dxfId="33" priority="10">
      <formula>AND($J5&lt;&gt;"",$J5&lt;&gt;"mezeraKL")</formula>
    </cfRule>
  </conditionalFormatting>
  <conditionalFormatting sqref="H11:H18">
    <cfRule type="expression" dxfId="32" priority="5">
      <formula>$H11&gt;0</formula>
    </cfRule>
  </conditionalFormatting>
  <conditionalFormatting sqref="A11:A18">
    <cfRule type="expression" dxfId="31" priority="2">
      <formula>AND($J11&lt;&gt;"mezeraKL",$J11&lt;&gt;"")</formula>
    </cfRule>
  </conditionalFormatting>
  <conditionalFormatting sqref="I11:I18">
    <cfRule type="expression" dxfId="30" priority="6">
      <formula>$I11&gt;1</formula>
    </cfRule>
  </conditionalFormatting>
  <conditionalFormatting sqref="B11:B18">
    <cfRule type="expression" dxfId="29" priority="1">
      <formula>OR($J11="NS",$J11="SumaNS",$J11="Účet")</formula>
    </cfRule>
  </conditionalFormatting>
  <conditionalFormatting sqref="A11:D18 F11:I18">
    <cfRule type="expression" dxfId="28" priority="8">
      <formula>AND($J11&lt;&gt;"",$J11&lt;&gt;"mezeraKL")</formula>
    </cfRule>
  </conditionalFormatting>
  <conditionalFormatting sqref="B11:D18 F11:I18">
    <cfRule type="expression" dxfId="27" priority="3">
      <formula>OR($J11="KL",$J11="SumaKL")</formula>
    </cfRule>
    <cfRule type="expression" priority="7" stopIfTrue="1">
      <formula>OR($J11="mezeraNS",$J11="mezeraKL")</formula>
    </cfRule>
  </conditionalFormatting>
  <conditionalFormatting sqref="B11:D18 F11:I18">
    <cfRule type="expression" dxfId="26" priority="4">
      <formula>OR($J11="SumaNS",$J11="NS")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23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116" hidden="1" customWidth="1" outlineLevel="1"/>
    <col min="2" max="2" width="28.33203125" style="116" hidden="1" customWidth="1" outlineLevel="1"/>
    <col min="3" max="3" width="5.33203125" style="193" bestFit="1" customWidth="1" collapsed="1"/>
    <col min="4" max="4" width="18.77734375" style="197" customWidth="1"/>
    <col min="5" max="5" width="9" style="193" bestFit="1" customWidth="1"/>
    <col min="6" max="6" width="18.77734375" style="197" customWidth="1"/>
    <col min="7" max="7" width="5" style="193" customWidth="1"/>
    <col min="8" max="8" width="12.44140625" style="193" hidden="1" customWidth="1" outlineLevel="1"/>
    <col min="9" max="9" width="8.5546875" style="193" hidden="1" customWidth="1" outlineLevel="1"/>
    <col min="10" max="10" width="25.77734375" style="193" customWidth="1" collapsed="1"/>
    <col min="11" max="11" width="8.77734375" style="193" customWidth="1"/>
    <col min="12" max="13" width="7.77734375" style="191" customWidth="1"/>
    <col min="14" max="14" width="11.109375" style="191" customWidth="1"/>
    <col min="15" max="16384" width="8.88671875" style="116"/>
  </cols>
  <sheetData>
    <row r="1" spans="1:14" ht="18.600000000000001" customHeight="1" thickBot="1" x14ac:dyDescent="0.4">
      <c r="A1" s="328" t="s">
        <v>142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  <c r="N1" s="293"/>
    </row>
    <row r="2" spans="1:14" ht="14.4" customHeight="1" thickBot="1" x14ac:dyDescent="0.35">
      <c r="A2" s="214" t="s">
        <v>229</v>
      </c>
      <c r="B2" s="62"/>
      <c r="C2" s="195"/>
      <c r="D2" s="195"/>
      <c r="E2" s="195"/>
      <c r="F2" s="195"/>
      <c r="G2" s="195"/>
      <c r="H2" s="195"/>
      <c r="I2" s="195"/>
      <c r="J2" s="195"/>
      <c r="K2" s="195"/>
      <c r="L2" s="196"/>
      <c r="M2" s="196"/>
      <c r="N2" s="196"/>
    </row>
    <row r="3" spans="1:14" ht="14.4" customHeight="1" thickBot="1" x14ac:dyDescent="0.35">
      <c r="A3" s="62"/>
      <c r="B3" s="62"/>
      <c r="C3" s="324"/>
      <c r="D3" s="325"/>
      <c r="E3" s="325"/>
      <c r="F3" s="325"/>
      <c r="G3" s="325"/>
      <c r="H3" s="325"/>
      <c r="I3" s="325"/>
      <c r="J3" s="326" t="s">
        <v>113</v>
      </c>
      <c r="K3" s="327"/>
      <c r="L3" s="84">
        <f>IF(M3&lt;&gt;0,N3/M3,0)</f>
        <v>38.038479904397548</v>
      </c>
      <c r="M3" s="84">
        <f>SUBTOTAL(9,M5:M1048576)</f>
        <v>145.6</v>
      </c>
      <c r="N3" s="85">
        <f>SUBTOTAL(9,N5:N1048576)</f>
        <v>5538.4026740802828</v>
      </c>
    </row>
    <row r="4" spans="1:14" s="192" customFormat="1" ht="14.4" customHeight="1" thickBot="1" x14ac:dyDescent="0.35">
      <c r="A4" s="404" t="s">
        <v>4</v>
      </c>
      <c r="B4" s="405" t="s">
        <v>5</v>
      </c>
      <c r="C4" s="405" t="s">
        <v>0</v>
      </c>
      <c r="D4" s="405" t="s">
        <v>6</v>
      </c>
      <c r="E4" s="405" t="s">
        <v>7</v>
      </c>
      <c r="F4" s="405" t="s">
        <v>1</v>
      </c>
      <c r="G4" s="405" t="s">
        <v>8</v>
      </c>
      <c r="H4" s="405" t="s">
        <v>9</v>
      </c>
      <c r="I4" s="405" t="s">
        <v>10</v>
      </c>
      <c r="J4" s="406" t="s">
        <v>11</v>
      </c>
      <c r="K4" s="406" t="s">
        <v>12</v>
      </c>
      <c r="L4" s="407" t="s">
        <v>127</v>
      </c>
      <c r="M4" s="407" t="s">
        <v>13</v>
      </c>
      <c r="N4" s="408" t="s">
        <v>138</v>
      </c>
    </row>
    <row r="5" spans="1:14" ht="14.4" customHeight="1" x14ac:dyDescent="0.3">
      <c r="A5" s="411" t="s">
        <v>393</v>
      </c>
      <c r="B5" s="412" t="s">
        <v>394</v>
      </c>
      <c r="C5" s="413" t="s">
        <v>398</v>
      </c>
      <c r="D5" s="414" t="s">
        <v>467</v>
      </c>
      <c r="E5" s="413" t="s">
        <v>403</v>
      </c>
      <c r="F5" s="414" t="s">
        <v>468</v>
      </c>
      <c r="G5" s="413" t="s">
        <v>404</v>
      </c>
      <c r="H5" s="413" t="s">
        <v>405</v>
      </c>
      <c r="I5" s="413" t="s">
        <v>405</v>
      </c>
      <c r="J5" s="413" t="s">
        <v>406</v>
      </c>
      <c r="K5" s="413" t="s">
        <v>407</v>
      </c>
      <c r="L5" s="415">
        <v>93.500000000000014</v>
      </c>
      <c r="M5" s="415">
        <v>1.4</v>
      </c>
      <c r="N5" s="416">
        <v>130.9</v>
      </c>
    </row>
    <row r="6" spans="1:14" ht="14.4" customHeight="1" x14ac:dyDescent="0.3">
      <c r="A6" s="417" t="s">
        <v>393</v>
      </c>
      <c r="B6" s="418" t="s">
        <v>394</v>
      </c>
      <c r="C6" s="419" t="s">
        <v>398</v>
      </c>
      <c r="D6" s="420" t="s">
        <v>467</v>
      </c>
      <c r="E6" s="419" t="s">
        <v>403</v>
      </c>
      <c r="F6" s="420" t="s">
        <v>468</v>
      </c>
      <c r="G6" s="419" t="s">
        <v>404</v>
      </c>
      <c r="H6" s="419" t="s">
        <v>408</v>
      </c>
      <c r="I6" s="419" t="s">
        <v>409</v>
      </c>
      <c r="J6" s="419" t="s">
        <v>410</v>
      </c>
      <c r="K6" s="419" t="s">
        <v>411</v>
      </c>
      <c r="L6" s="421">
        <v>97.729617195085126</v>
      </c>
      <c r="M6" s="421">
        <v>2</v>
      </c>
      <c r="N6" s="422">
        <v>195.45923439017025</v>
      </c>
    </row>
    <row r="7" spans="1:14" ht="14.4" customHeight="1" x14ac:dyDescent="0.3">
      <c r="A7" s="417" t="s">
        <v>393</v>
      </c>
      <c r="B7" s="418" t="s">
        <v>394</v>
      </c>
      <c r="C7" s="419" t="s">
        <v>398</v>
      </c>
      <c r="D7" s="420" t="s">
        <v>467</v>
      </c>
      <c r="E7" s="419" t="s">
        <v>403</v>
      </c>
      <c r="F7" s="420" t="s">
        <v>468</v>
      </c>
      <c r="G7" s="419" t="s">
        <v>404</v>
      </c>
      <c r="H7" s="419" t="s">
        <v>412</v>
      </c>
      <c r="I7" s="419" t="s">
        <v>413</v>
      </c>
      <c r="J7" s="419" t="s">
        <v>414</v>
      </c>
      <c r="K7" s="419" t="s">
        <v>415</v>
      </c>
      <c r="L7" s="421">
        <v>20.75982747899462</v>
      </c>
      <c r="M7" s="421">
        <v>15</v>
      </c>
      <c r="N7" s="422">
        <v>311.39741218491929</v>
      </c>
    </row>
    <row r="8" spans="1:14" ht="14.4" customHeight="1" x14ac:dyDescent="0.3">
      <c r="A8" s="417" t="s">
        <v>393</v>
      </c>
      <c r="B8" s="418" t="s">
        <v>394</v>
      </c>
      <c r="C8" s="419" t="s">
        <v>398</v>
      </c>
      <c r="D8" s="420" t="s">
        <v>467</v>
      </c>
      <c r="E8" s="419" t="s">
        <v>403</v>
      </c>
      <c r="F8" s="420" t="s">
        <v>468</v>
      </c>
      <c r="G8" s="419" t="s">
        <v>404</v>
      </c>
      <c r="H8" s="419" t="s">
        <v>416</v>
      </c>
      <c r="I8" s="419" t="s">
        <v>417</v>
      </c>
      <c r="J8" s="419" t="s">
        <v>418</v>
      </c>
      <c r="K8" s="419" t="s">
        <v>419</v>
      </c>
      <c r="L8" s="421">
        <v>98.45</v>
      </c>
      <c r="M8" s="421">
        <v>2</v>
      </c>
      <c r="N8" s="422">
        <v>196.9</v>
      </c>
    </row>
    <row r="9" spans="1:14" ht="14.4" customHeight="1" x14ac:dyDescent="0.3">
      <c r="A9" s="417" t="s">
        <v>393</v>
      </c>
      <c r="B9" s="418" t="s">
        <v>394</v>
      </c>
      <c r="C9" s="419" t="s">
        <v>398</v>
      </c>
      <c r="D9" s="420" t="s">
        <v>467</v>
      </c>
      <c r="E9" s="419" t="s">
        <v>403</v>
      </c>
      <c r="F9" s="420" t="s">
        <v>468</v>
      </c>
      <c r="G9" s="419" t="s">
        <v>404</v>
      </c>
      <c r="H9" s="419" t="s">
        <v>420</v>
      </c>
      <c r="I9" s="419" t="s">
        <v>421</v>
      </c>
      <c r="J9" s="419" t="s">
        <v>422</v>
      </c>
      <c r="K9" s="419"/>
      <c r="L9" s="421">
        <v>183.19084131799966</v>
      </c>
      <c r="M9" s="421">
        <v>9</v>
      </c>
      <c r="N9" s="422">
        <v>1648.7175718619969</v>
      </c>
    </row>
    <row r="10" spans="1:14" ht="14.4" customHeight="1" x14ac:dyDescent="0.3">
      <c r="A10" s="417" t="s">
        <v>393</v>
      </c>
      <c r="B10" s="418" t="s">
        <v>394</v>
      </c>
      <c r="C10" s="419" t="s">
        <v>398</v>
      </c>
      <c r="D10" s="420" t="s">
        <v>467</v>
      </c>
      <c r="E10" s="419" t="s">
        <v>403</v>
      </c>
      <c r="F10" s="420" t="s">
        <v>468</v>
      </c>
      <c r="G10" s="419" t="s">
        <v>404</v>
      </c>
      <c r="H10" s="419" t="s">
        <v>423</v>
      </c>
      <c r="I10" s="419" t="s">
        <v>424</v>
      </c>
      <c r="J10" s="419" t="s">
        <v>425</v>
      </c>
      <c r="K10" s="419" t="s">
        <v>426</v>
      </c>
      <c r="L10" s="421">
        <v>32.19941413558692</v>
      </c>
      <c r="M10" s="421">
        <v>1</v>
      </c>
      <c r="N10" s="422">
        <v>32.19941413558692</v>
      </c>
    </row>
    <row r="11" spans="1:14" ht="14.4" customHeight="1" x14ac:dyDescent="0.3">
      <c r="A11" s="417" t="s">
        <v>393</v>
      </c>
      <c r="B11" s="418" t="s">
        <v>394</v>
      </c>
      <c r="C11" s="419" t="s">
        <v>398</v>
      </c>
      <c r="D11" s="420" t="s">
        <v>467</v>
      </c>
      <c r="E11" s="419" t="s">
        <v>403</v>
      </c>
      <c r="F11" s="420" t="s">
        <v>468</v>
      </c>
      <c r="G11" s="419" t="s">
        <v>404</v>
      </c>
      <c r="H11" s="419" t="s">
        <v>427</v>
      </c>
      <c r="I11" s="419" t="s">
        <v>421</v>
      </c>
      <c r="J11" s="419" t="s">
        <v>428</v>
      </c>
      <c r="K11" s="419"/>
      <c r="L11" s="421">
        <v>569.20701993758496</v>
      </c>
      <c r="M11" s="421">
        <v>1</v>
      </c>
      <c r="N11" s="422">
        <v>569.20701993758496</v>
      </c>
    </row>
    <row r="12" spans="1:14" ht="14.4" customHeight="1" x14ac:dyDescent="0.3">
      <c r="A12" s="417" t="s">
        <v>393</v>
      </c>
      <c r="B12" s="418" t="s">
        <v>394</v>
      </c>
      <c r="C12" s="419" t="s">
        <v>398</v>
      </c>
      <c r="D12" s="420" t="s">
        <v>467</v>
      </c>
      <c r="E12" s="419" t="s">
        <v>403</v>
      </c>
      <c r="F12" s="420" t="s">
        <v>468</v>
      </c>
      <c r="G12" s="419" t="s">
        <v>404</v>
      </c>
      <c r="H12" s="419" t="s">
        <v>429</v>
      </c>
      <c r="I12" s="419" t="s">
        <v>421</v>
      </c>
      <c r="J12" s="419" t="s">
        <v>430</v>
      </c>
      <c r="K12" s="419"/>
      <c r="L12" s="421">
        <v>156.70704331581257</v>
      </c>
      <c r="M12" s="421">
        <v>1</v>
      </c>
      <c r="N12" s="422">
        <v>156.70704331581257</v>
      </c>
    </row>
    <row r="13" spans="1:14" ht="14.4" customHeight="1" x14ac:dyDescent="0.3">
      <c r="A13" s="417" t="s">
        <v>393</v>
      </c>
      <c r="B13" s="418" t="s">
        <v>394</v>
      </c>
      <c r="C13" s="419" t="s">
        <v>398</v>
      </c>
      <c r="D13" s="420" t="s">
        <v>467</v>
      </c>
      <c r="E13" s="419" t="s">
        <v>403</v>
      </c>
      <c r="F13" s="420" t="s">
        <v>468</v>
      </c>
      <c r="G13" s="419" t="s">
        <v>404</v>
      </c>
      <c r="H13" s="419" t="s">
        <v>431</v>
      </c>
      <c r="I13" s="419" t="s">
        <v>421</v>
      </c>
      <c r="J13" s="419" t="s">
        <v>432</v>
      </c>
      <c r="K13" s="419"/>
      <c r="L13" s="421">
        <v>8.1065999999999985</v>
      </c>
      <c r="M13" s="421">
        <v>100</v>
      </c>
      <c r="N13" s="422">
        <v>810.65999999999985</v>
      </c>
    </row>
    <row r="14" spans="1:14" ht="14.4" customHeight="1" x14ac:dyDescent="0.3">
      <c r="A14" s="417" t="s">
        <v>393</v>
      </c>
      <c r="B14" s="418" t="s">
        <v>394</v>
      </c>
      <c r="C14" s="419" t="s">
        <v>398</v>
      </c>
      <c r="D14" s="420" t="s">
        <v>467</v>
      </c>
      <c r="E14" s="419" t="s">
        <v>403</v>
      </c>
      <c r="F14" s="420" t="s">
        <v>468</v>
      </c>
      <c r="G14" s="419" t="s">
        <v>404</v>
      </c>
      <c r="H14" s="419" t="s">
        <v>433</v>
      </c>
      <c r="I14" s="419" t="s">
        <v>421</v>
      </c>
      <c r="J14" s="419" t="s">
        <v>434</v>
      </c>
      <c r="K14" s="419"/>
      <c r="L14" s="421">
        <v>124.65107107456281</v>
      </c>
      <c r="M14" s="421">
        <v>3</v>
      </c>
      <c r="N14" s="422">
        <v>373.95321322368841</v>
      </c>
    </row>
    <row r="15" spans="1:14" ht="14.4" customHeight="1" x14ac:dyDescent="0.3">
      <c r="A15" s="417" t="s">
        <v>393</v>
      </c>
      <c r="B15" s="418" t="s">
        <v>394</v>
      </c>
      <c r="C15" s="419" t="s">
        <v>398</v>
      </c>
      <c r="D15" s="420" t="s">
        <v>467</v>
      </c>
      <c r="E15" s="419" t="s">
        <v>403</v>
      </c>
      <c r="F15" s="420" t="s">
        <v>468</v>
      </c>
      <c r="G15" s="419" t="s">
        <v>404</v>
      </c>
      <c r="H15" s="419" t="s">
        <v>435</v>
      </c>
      <c r="I15" s="419" t="s">
        <v>435</v>
      </c>
      <c r="J15" s="419" t="s">
        <v>436</v>
      </c>
      <c r="K15" s="419" t="s">
        <v>437</v>
      </c>
      <c r="L15" s="421">
        <v>73.100000000000023</v>
      </c>
      <c r="M15" s="421">
        <v>1</v>
      </c>
      <c r="N15" s="422">
        <v>73.100000000000023</v>
      </c>
    </row>
    <row r="16" spans="1:14" ht="14.4" customHeight="1" x14ac:dyDescent="0.3">
      <c r="A16" s="417" t="s">
        <v>393</v>
      </c>
      <c r="B16" s="418" t="s">
        <v>394</v>
      </c>
      <c r="C16" s="419" t="s">
        <v>398</v>
      </c>
      <c r="D16" s="420" t="s">
        <v>467</v>
      </c>
      <c r="E16" s="419" t="s">
        <v>403</v>
      </c>
      <c r="F16" s="420" t="s">
        <v>468</v>
      </c>
      <c r="G16" s="419" t="s">
        <v>404</v>
      </c>
      <c r="H16" s="419" t="s">
        <v>438</v>
      </c>
      <c r="I16" s="419" t="s">
        <v>438</v>
      </c>
      <c r="J16" s="419" t="s">
        <v>439</v>
      </c>
      <c r="K16" s="419" t="s">
        <v>440</v>
      </c>
      <c r="L16" s="421">
        <v>78.44</v>
      </c>
      <c r="M16" s="421">
        <v>1</v>
      </c>
      <c r="N16" s="422">
        <v>78.44</v>
      </c>
    </row>
    <row r="17" spans="1:14" ht="14.4" customHeight="1" x14ac:dyDescent="0.3">
      <c r="A17" s="417" t="s">
        <v>393</v>
      </c>
      <c r="B17" s="418" t="s">
        <v>394</v>
      </c>
      <c r="C17" s="419" t="s">
        <v>398</v>
      </c>
      <c r="D17" s="420" t="s">
        <v>467</v>
      </c>
      <c r="E17" s="419" t="s">
        <v>403</v>
      </c>
      <c r="F17" s="420" t="s">
        <v>468</v>
      </c>
      <c r="G17" s="419" t="s">
        <v>404</v>
      </c>
      <c r="H17" s="419" t="s">
        <v>441</v>
      </c>
      <c r="I17" s="419" t="s">
        <v>421</v>
      </c>
      <c r="J17" s="419" t="s">
        <v>442</v>
      </c>
      <c r="K17" s="419"/>
      <c r="L17" s="421">
        <v>426.31976503052363</v>
      </c>
      <c r="M17" s="421">
        <v>1</v>
      </c>
      <c r="N17" s="422">
        <v>426.31976503052363</v>
      </c>
    </row>
    <row r="18" spans="1:14" ht="14.4" customHeight="1" x14ac:dyDescent="0.3">
      <c r="A18" s="417" t="s">
        <v>393</v>
      </c>
      <c r="B18" s="418" t="s">
        <v>394</v>
      </c>
      <c r="C18" s="419" t="s">
        <v>398</v>
      </c>
      <c r="D18" s="420" t="s">
        <v>467</v>
      </c>
      <c r="E18" s="419" t="s">
        <v>443</v>
      </c>
      <c r="F18" s="420" t="s">
        <v>469</v>
      </c>
      <c r="G18" s="419"/>
      <c r="H18" s="419" t="s">
        <v>444</v>
      </c>
      <c r="I18" s="419" t="s">
        <v>445</v>
      </c>
      <c r="J18" s="419" t="s">
        <v>446</v>
      </c>
      <c r="K18" s="419" t="s">
        <v>447</v>
      </c>
      <c r="L18" s="421">
        <v>128.07</v>
      </c>
      <c r="M18" s="421">
        <v>1</v>
      </c>
      <c r="N18" s="422">
        <v>128.07</v>
      </c>
    </row>
    <row r="19" spans="1:14" ht="14.4" customHeight="1" x14ac:dyDescent="0.3">
      <c r="A19" s="417" t="s">
        <v>393</v>
      </c>
      <c r="B19" s="418" t="s">
        <v>394</v>
      </c>
      <c r="C19" s="419" t="s">
        <v>398</v>
      </c>
      <c r="D19" s="420" t="s">
        <v>467</v>
      </c>
      <c r="E19" s="419" t="s">
        <v>443</v>
      </c>
      <c r="F19" s="420" t="s">
        <v>469</v>
      </c>
      <c r="G19" s="419" t="s">
        <v>404</v>
      </c>
      <c r="H19" s="419" t="s">
        <v>448</v>
      </c>
      <c r="I19" s="419" t="s">
        <v>449</v>
      </c>
      <c r="J19" s="419" t="s">
        <v>450</v>
      </c>
      <c r="K19" s="419" t="s">
        <v>451</v>
      </c>
      <c r="L19" s="421">
        <v>53.13000000000001</v>
      </c>
      <c r="M19" s="421">
        <v>1</v>
      </c>
      <c r="N19" s="422">
        <v>53.13000000000001</v>
      </c>
    </row>
    <row r="20" spans="1:14" ht="14.4" customHeight="1" x14ac:dyDescent="0.3">
      <c r="A20" s="417" t="s">
        <v>393</v>
      </c>
      <c r="B20" s="418" t="s">
        <v>394</v>
      </c>
      <c r="C20" s="419" t="s">
        <v>398</v>
      </c>
      <c r="D20" s="420" t="s">
        <v>467</v>
      </c>
      <c r="E20" s="419" t="s">
        <v>443</v>
      </c>
      <c r="F20" s="420" t="s">
        <v>469</v>
      </c>
      <c r="G20" s="419" t="s">
        <v>404</v>
      </c>
      <c r="H20" s="419" t="s">
        <v>452</v>
      </c>
      <c r="I20" s="419" t="s">
        <v>453</v>
      </c>
      <c r="J20" s="419" t="s">
        <v>454</v>
      </c>
      <c r="K20" s="419" t="s">
        <v>455</v>
      </c>
      <c r="L20" s="421">
        <v>73.986000000000004</v>
      </c>
      <c r="M20" s="421">
        <v>2</v>
      </c>
      <c r="N20" s="422">
        <v>147.97200000000001</v>
      </c>
    </row>
    <row r="21" spans="1:14" ht="14.4" customHeight="1" x14ac:dyDescent="0.3">
      <c r="A21" s="417" t="s">
        <v>393</v>
      </c>
      <c r="B21" s="418" t="s">
        <v>394</v>
      </c>
      <c r="C21" s="419" t="s">
        <v>398</v>
      </c>
      <c r="D21" s="420" t="s">
        <v>467</v>
      </c>
      <c r="E21" s="419" t="s">
        <v>443</v>
      </c>
      <c r="F21" s="420" t="s">
        <v>469</v>
      </c>
      <c r="G21" s="419" t="s">
        <v>404</v>
      </c>
      <c r="H21" s="419" t="s">
        <v>456</v>
      </c>
      <c r="I21" s="419" t="s">
        <v>456</v>
      </c>
      <c r="J21" s="419" t="s">
        <v>457</v>
      </c>
      <c r="K21" s="419" t="s">
        <v>458</v>
      </c>
      <c r="L21" s="421">
        <v>91.53</v>
      </c>
      <c r="M21" s="421">
        <v>1</v>
      </c>
      <c r="N21" s="422">
        <v>91.53</v>
      </c>
    </row>
    <row r="22" spans="1:14" ht="14.4" customHeight="1" x14ac:dyDescent="0.3">
      <c r="A22" s="417" t="s">
        <v>393</v>
      </c>
      <c r="B22" s="418" t="s">
        <v>394</v>
      </c>
      <c r="C22" s="419" t="s">
        <v>398</v>
      </c>
      <c r="D22" s="420" t="s">
        <v>467</v>
      </c>
      <c r="E22" s="419" t="s">
        <v>443</v>
      </c>
      <c r="F22" s="420" t="s">
        <v>469</v>
      </c>
      <c r="G22" s="419" t="s">
        <v>459</v>
      </c>
      <c r="H22" s="419" t="s">
        <v>460</v>
      </c>
      <c r="I22" s="419" t="s">
        <v>461</v>
      </c>
      <c r="J22" s="419" t="s">
        <v>462</v>
      </c>
      <c r="K22" s="419" t="s">
        <v>463</v>
      </c>
      <c r="L22" s="421">
        <v>35.089999999999996</v>
      </c>
      <c r="M22" s="421">
        <v>2</v>
      </c>
      <c r="N22" s="422">
        <v>70.179999999999993</v>
      </c>
    </row>
    <row r="23" spans="1:14" ht="14.4" customHeight="1" thickBot="1" x14ac:dyDescent="0.35">
      <c r="A23" s="423" t="s">
        <v>393</v>
      </c>
      <c r="B23" s="424" t="s">
        <v>394</v>
      </c>
      <c r="C23" s="425" t="s">
        <v>398</v>
      </c>
      <c r="D23" s="426" t="s">
        <v>467</v>
      </c>
      <c r="E23" s="425" t="s">
        <v>443</v>
      </c>
      <c r="F23" s="426" t="s">
        <v>469</v>
      </c>
      <c r="G23" s="425" t="s">
        <v>459</v>
      </c>
      <c r="H23" s="425" t="s">
        <v>464</v>
      </c>
      <c r="I23" s="425" t="s">
        <v>464</v>
      </c>
      <c r="J23" s="425" t="s">
        <v>465</v>
      </c>
      <c r="K23" s="425" t="s">
        <v>466</v>
      </c>
      <c r="L23" s="427">
        <v>217.8</v>
      </c>
      <c r="M23" s="427">
        <v>0.2</v>
      </c>
      <c r="N23" s="428">
        <v>43.56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0" tint="-0.249977111117893"/>
    <pageSetUpPr fitToPage="1"/>
  </sheetPr>
  <dimension ref="A1:F10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RowHeight="14.4" customHeight="1" x14ac:dyDescent="0.3"/>
  <cols>
    <col min="1" max="1" width="46.6640625" style="116" customWidth="1"/>
    <col min="2" max="2" width="10" style="191" customWidth="1"/>
    <col min="3" max="3" width="5.5546875" style="194" customWidth="1"/>
    <col min="4" max="4" width="10" style="191" customWidth="1"/>
    <col min="5" max="5" width="5.5546875" style="194" customWidth="1"/>
    <col min="6" max="6" width="10" style="191" customWidth="1"/>
    <col min="7" max="16384" width="8.88671875" style="116"/>
  </cols>
  <sheetData>
    <row r="1" spans="1:6" ht="37.200000000000003" customHeight="1" thickBot="1" x14ac:dyDescent="0.4">
      <c r="A1" s="329" t="s">
        <v>143</v>
      </c>
      <c r="B1" s="330"/>
      <c r="C1" s="330"/>
      <c r="D1" s="330"/>
      <c r="E1" s="330"/>
      <c r="F1" s="330"/>
    </row>
    <row r="2" spans="1:6" ht="14.4" customHeight="1" thickBot="1" x14ac:dyDescent="0.35">
      <c r="A2" s="214" t="s">
        <v>229</v>
      </c>
      <c r="B2" s="63"/>
      <c r="C2" s="64"/>
      <c r="D2" s="65"/>
      <c r="E2" s="64"/>
      <c r="F2" s="65"/>
    </row>
    <row r="3" spans="1:6" ht="14.4" customHeight="1" thickBot="1" x14ac:dyDescent="0.35">
      <c r="A3" s="86"/>
      <c r="B3" s="331" t="s">
        <v>115</v>
      </c>
      <c r="C3" s="332"/>
      <c r="D3" s="333" t="s">
        <v>114</v>
      </c>
      <c r="E3" s="332"/>
      <c r="F3" s="72" t="s">
        <v>3</v>
      </c>
    </row>
    <row r="4" spans="1:6" ht="14.4" customHeight="1" thickBot="1" x14ac:dyDescent="0.35">
      <c r="A4" s="429" t="s">
        <v>128</v>
      </c>
      <c r="B4" s="430" t="s">
        <v>14</v>
      </c>
      <c r="C4" s="431" t="s">
        <v>2</v>
      </c>
      <c r="D4" s="430" t="s">
        <v>14</v>
      </c>
      <c r="E4" s="431" t="s">
        <v>2</v>
      </c>
      <c r="F4" s="432" t="s">
        <v>14</v>
      </c>
    </row>
    <row r="5" spans="1:6" ht="14.4" customHeight="1" thickBot="1" x14ac:dyDescent="0.35">
      <c r="A5" s="441" t="s">
        <v>470</v>
      </c>
      <c r="B5" s="409">
        <v>128.07</v>
      </c>
      <c r="C5" s="433">
        <v>0.52963070179066207</v>
      </c>
      <c r="D5" s="409">
        <v>113.74</v>
      </c>
      <c r="E5" s="433">
        <v>0.47036929820933787</v>
      </c>
      <c r="F5" s="410">
        <v>241.81</v>
      </c>
    </row>
    <row r="6" spans="1:6" ht="14.4" customHeight="1" thickBot="1" x14ac:dyDescent="0.35">
      <c r="A6" s="437" t="s">
        <v>3</v>
      </c>
      <c r="B6" s="438">
        <v>128.07</v>
      </c>
      <c r="C6" s="439">
        <v>0.52963070179066207</v>
      </c>
      <c r="D6" s="438">
        <v>113.74</v>
      </c>
      <c r="E6" s="439">
        <v>0.47036929820933787</v>
      </c>
      <c r="F6" s="440">
        <v>241.81</v>
      </c>
    </row>
    <row r="7" spans="1:6" ht="14.4" customHeight="1" thickBot="1" x14ac:dyDescent="0.35"/>
    <row r="8" spans="1:6" ht="14.4" customHeight="1" x14ac:dyDescent="0.3">
      <c r="A8" s="447" t="s">
        <v>471</v>
      </c>
      <c r="B8" s="415">
        <v>128.07</v>
      </c>
      <c r="C8" s="434">
        <v>0.74619821709491341</v>
      </c>
      <c r="D8" s="415">
        <v>43.56</v>
      </c>
      <c r="E8" s="434">
        <v>0.25380178290508654</v>
      </c>
      <c r="F8" s="416">
        <v>171.63</v>
      </c>
    </row>
    <row r="9" spans="1:6" ht="14.4" customHeight="1" thickBot="1" x14ac:dyDescent="0.35">
      <c r="A9" s="448" t="s">
        <v>472</v>
      </c>
      <c r="B9" s="444"/>
      <c r="C9" s="445">
        <v>0</v>
      </c>
      <c r="D9" s="444">
        <v>70.179999999999993</v>
      </c>
      <c r="E9" s="445">
        <v>1</v>
      </c>
      <c r="F9" s="446">
        <v>70.179999999999993</v>
      </c>
    </row>
    <row r="10" spans="1:6" ht="14.4" customHeight="1" thickBot="1" x14ac:dyDescent="0.35">
      <c r="A10" s="437" t="s">
        <v>3</v>
      </c>
      <c r="B10" s="438">
        <v>128.07</v>
      </c>
      <c r="C10" s="439">
        <v>0.52963070179066207</v>
      </c>
      <c r="D10" s="438">
        <v>113.74</v>
      </c>
      <c r="E10" s="439">
        <v>0.47036929820933787</v>
      </c>
      <c r="F10" s="440">
        <v>241.81</v>
      </c>
    </row>
  </sheetData>
  <mergeCells count="3">
    <mergeCell ref="A1:F1"/>
    <mergeCell ref="B3:C3"/>
    <mergeCell ref="D3:E3"/>
  </mergeCells>
  <conditionalFormatting sqref="C5:C1048576">
    <cfRule type="cellIs" dxfId="25" priority="8" stopIfTrue="1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20</vt:i4>
      </vt:variant>
      <vt:variant>
        <vt:lpstr>Pojmenované oblasti</vt:lpstr>
      </vt:variant>
      <vt:variant>
        <vt:i4>1</vt:i4>
      </vt:variant>
    </vt:vector>
  </HeadingPairs>
  <TitlesOfParts>
    <vt:vector size="21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Vykáz.-H</vt:lpstr>
      <vt:lpstr>ZV Vykáz.-H Detail</vt:lpstr>
      <vt:lpstr>doměsíce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2014-08-21T08:13:26Z</cp:lastPrinted>
  <dcterms:created xsi:type="dcterms:W3CDTF">2013-04-17T20:15:29Z</dcterms:created>
  <dcterms:modified xsi:type="dcterms:W3CDTF">2016-03-30T20:55:15Z</dcterms:modified>
</cp:coreProperties>
</file>