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Q25" i="419" l="1"/>
  <c r="AQ26" i="419"/>
  <c r="AQ27" i="419" s="1"/>
  <c r="AQ28" i="419" l="1"/>
  <c r="F26" i="419"/>
  <c r="F25" i="419"/>
  <c r="C26" i="419" l="1"/>
  <c r="C27" i="419" s="1"/>
  <c r="C25" i="419"/>
  <c r="C28" i="419" l="1"/>
  <c r="AE3" i="418" l="1"/>
  <c r="I3" i="418"/>
  <c r="F28" i="419" l="1"/>
  <c r="F27" i="419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L26" i="419" l="1"/>
  <c r="L25" i="419" l="1"/>
  <c r="AS20" i="419"/>
  <c r="AR20" i="419"/>
  <c r="AQ20" i="419"/>
  <c r="AP20" i="419"/>
  <c r="AO20" i="419"/>
  <c r="AN20" i="419"/>
  <c r="AM20" i="419"/>
  <c r="AL20" i="419"/>
  <c r="AS19" i="419"/>
  <c r="AR19" i="419"/>
  <c r="AQ19" i="419"/>
  <c r="AP19" i="419"/>
  <c r="AO19" i="419"/>
  <c r="AN19" i="419"/>
  <c r="AM19" i="419"/>
  <c r="AL19" i="419"/>
  <c r="AS17" i="419"/>
  <c r="AR17" i="419"/>
  <c r="AQ17" i="419"/>
  <c r="AP17" i="419"/>
  <c r="AO17" i="419"/>
  <c r="AN17" i="419"/>
  <c r="AM17" i="419"/>
  <c r="AL17" i="419"/>
  <c r="AS16" i="419"/>
  <c r="AR16" i="419"/>
  <c r="AQ16" i="419"/>
  <c r="AP16" i="419"/>
  <c r="AP18" i="419" s="1"/>
  <c r="AO16" i="419"/>
  <c r="AN16" i="419"/>
  <c r="AM16" i="419"/>
  <c r="AL16" i="419"/>
  <c r="AL18" i="419" s="1"/>
  <c r="AS14" i="419"/>
  <c r="AR14" i="419"/>
  <c r="AQ14" i="419"/>
  <c r="AP14" i="419"/>
  <c r="AO14" i="419"/>
  <c r="AN14" i="419"/>
  <c r="AM14" i="419"/>
  <c r="AL14" i="419"/>
  <c r="AS13" i="419"/>
  <c r="AR13" i="419"/>
  <c r="AQ13" i="419"/>
  <c r="AP13" i="419"/>
  <c r="AO13" i="419"/>
  <c r="AN13" i="419"/>
  <c r="AM13" i="419"/>
  <c r="AL13" i="419"/>
  <c r="AS12" i="419"/>
  <c r="AR12" i="419"/>
  <c r="AQ12" i="419"/>
  <c r="AP12" i="419"/>
  <c r="AO12" i="419"/>
  <c r="AN12" i="419"/>
  <c r="AM12" i="419"/>
  <c r="AL12" i="419"/>
  <c r="AS11" i="419"/>
  <c r="AR11" i="419"/>
  <c r="AQ11" i="419"/>
  <c r="AP11" i="419"/>
  <c r="AO11" i="419"/>
  <c r="AN11" i="419"/>
  <c r="AM11" i="419"/>
  <c r="AL11" i="419"/>
  <c r="AW3" i="418"/>
  <c r="AV3" i="418"/>
  <c r="AU3" i="418"/>
  <c r="AT3" i="418"/>
  <c r="AS3" i="418"/>
  <c r="AR3" i="418"/>
  <c r="AO18" i="419" l="1"/>
  <c r="AS18" i="419"/>
  <c r="AM18" i="419"/>
  <c r="AQ18" i="419"/>
  <c r="AN18" i="419"/>
  <c r="AR18" i="419"/>
  <c r="B25" i="419"/>
  <c r="L27" i="419" l="1"/>
  <c r="B26" i="419"/>
  <c r="B27" i="419" s="1"/>
  <c r="L28" i="419"/>
  <c r="A9" i="414"/>
  <c r="A8" i="414"/>
  <c r="A7" i="414"/>
  <c r="AM21" i="419" l="1"/>
  <c r="AL21" i="419"/>
  <c r="AL22" i="419" s="1"/>
  <c r="AK21" i="419"/>
  <c r="AJ21" i="419"/>
  <c r="AJ22" i="419" s="1"/>
  <c r="AI21" i="419"/>
  <c r="AH21" i="419"/>
  <c r="AG21" i="419"/>
  <c r="AF21" i="419"/>
  <c r="AF22" i="419" s="1"/>
  <c r="AE21" i="419"/>
  <c r="AD21" i="419"/>
  <c r="AC21" i="419"/>
  <c r="AB21" i="419"/>
  <c r="AB22" i="419" s="1"/>
  <c r="Z21" i="419"/>
  <c r="Y21" i="419"/>
  <c r="Y22" i="419" s="1"/>
  <c r="X21" i="419"/>
  <c r="X22" i="419" s="1"/>
  <c r="W21" i="419"/>
  <c r="W22" i="419" s="1"/>
  <c r="V21" i="419"/>
  <c r="U21" i="419"/>
  <c r="T21" i="419"/>
  <c r="S21" i="419"/>
  <c r="S22" i="419" s="1"/>
  <c r="R21" i="419"/>
  <c r="Q21" i="419"/>
  <c r="Q22" i="419" s="1"/>
  <c r="P21" i="419"/>
  <c r="O21" i="419"/>
  <c r="O22" i="419" s="1"/>
  <c r="N21" i="419"/>
  <c r="M21" i="419"/>
  <c r="L21" i="419"/>
  <c r="K21" i="419"/>
  <c r="K22" i="419" s="1"/>
  <c r="J21" i="419"/>
  <c r="AK20" i="419"/>
  <c r="AJ20" i="419"/>
  <c r="AI20" i="419"/>
  <c r="AH20" i="419"/>
  <c r="AG20" i="419"/>
  <c r="AF20" i="419"/>
  <c r="AE20" i="419"/>
  <c r="AD20" i="419"/>
  <c r="AC20" i="419"/>
  <c r="AB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AK19" i="419"/>
  <c r="AJ19" i="419"/>
  <c r="AI19" i="419"/>
  <c r="AH19" i="419"/>
  <c r="AG19" i="419"/>
  <c r="AF19" i="419"/>
  <c r="AE19" i="419"/>
  <c r="AD19" i="419"/>
  <c r="AC19" i="419"/>
  <c r="AB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AK17" i="419"/>
  <c r="AJ17" i="419"/>
  <c r="AI17" i="419"/>
  <c r="AH17" i="419"/>
  <c r="AG17" i="419"/>
  <c r="AF17" i="419"/>
  <c r="AE17" i="419"/>
  <c r="AD17" i="419"/>
  <c r="AC17" i="419"/>
  <c r="AB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AK16" i="419"/>
  <c r="AJ16" i="419"/>
  <c r="AI16" i="419"/>
  <c r="AH16" i="419"/>
  <c r="AG16" i="419"/>
  <c r="AF16" i="419"/>
  <c r="AE16" i="419"/>
  <c r="AD16" i="419"/>
  <c r="AC16" i="419"/>
  <c r="AB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AK14" i="419"/>
  <c r="AJ14" i="419"/>
  <c r="AI14" i="419"/>
  <c r="AH14" i="419"/>
  <c r="AG14" i="419"/>
  <c r="AF14" i="419"/>
  <c r="AE14" i="419"/>
  <c r="AD14" i="419"/>
  <c r="AC14" i="419"/>
  <c r="AB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AK13" i="419"/>
  <c r="AJ13" i="419"/>
  <c r="AI13" i="419"/>
  <c r="AH13" i="419"/>
  <c r="AG13" i="419"/>
  <c r="AF13" i="419"/>
  <c r="AE13" i="419"/>
  <c r="AD13" i="419"/>
  <c r="AC13" i="419"/>
  <c r="AB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AK12" i="419"/>
  <c r="AJ12" i="419"/>
  <c r="AI12" i="419"/>
  <c r="AH12" i="419"/>
  <c r="AG12" i="419"/>
  <c r="AF12" i="419"/>
  <c r="AE12" i="419"/>
  <c r="AD12" i="419"/>
  <c r="AC12" i="419"/>
  <c r="AB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AK11" i="419"/>
  <c r="AJ11" i="419"/>
  <c r="AI11" i="419"/>
  <c r="AH11" i="419"/>
  <c r="AG11" i="419"/>
  <c r="AF11" i="419"/>
  <c r="AE11" i="419"/>
  <c r="AD11" i="419"/>
  <c r="AC11" i="419"/>
  <c r="AB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L18" i="419" l="1"/>
  <c r="P18" i="419"/>
  <c r="T18" i="419"/>
  <c r="AC18" i="419"/>
  <c r="AG18" i="419"/>
  <c r="AK18" i="419"/>
  <c r="L23" i="419"/>
  <c r="P23" i="419"/>
  <c r="T23" i="419"/>
  <c r="AC23" i="419"/>
  <c r="AG23" i="419"/>
  <c r="AK23" i="419"/>
  <c r="J18" i="419"/>
  <c r="N18" i="419"/>
  <c r="R18" i="419"/>
  <c r="V18" i="419"/>
  <c r="Z18" i="419"/>
  <c r="AE18" i="419"/>
  <c r="AI18" i="419"/>
  <c r="X18" i="419"/>
  <c r="P22" i="419"/>
  <c r="AG22" i="419"/>
  <c r="O23" i="419"/>
  <c r="W23" i="419"/>
  <c r="AF23" i="419"/>
  <c r="K18" i="419"/>
  <c r="O18" i="419"/>
  <c r="S18" i="419"/>
  <c r="W18" i="419"/>
  <c r="AB18" i="419"/>
  <c r="AF18" i="419"/>
  <c r="AJ18" i="419"/>
  <c r="M23" i="419"/>
  <c r="U23" i="419"/>
  <c r="AD23" i="419"/>
  <c r="AH23" i="419"/>
  <c r="T22" i="419"/>
  <c r="AK22" i="419"/>
  <c r="X23" i="419"/>
  <c r="J23" i="419"/>
  <c r="N23" i="419"/>
  <c r="R23" i="419"/>
  <c r="V23" i="419"/>
  <c r="Z23" i="419"/>
  <c r="AE23" i="419"/>
  <c r="AI23" i="419"/>
  <c r="AM23" i="419"/>
  <c r="K23" i="419"/>
  <c r="S23" i="419"/>
  <c r="AB23" i="419"/>
  <c r="AJ23" i="419"/>
  <c r="M18" i="419"/>
  <c r="Q18" i="419"/>
  <c r="U18" i="419"/>
  <c r="Y18" i="419"/>
  <c r="AD18" i="419"/>
  <c r="AH18" i="419"/>
  <c r="L22" i="419"/>
  <c r="AC22" i="419"/>
  <c r="M22" i="419"/>
  <c r="U22" i="419"/>
  <c r="AD22" i="419"/>
  <c r="AH22" i="419"/>
  <c r="J22" i="419"/>
  <c r="N22" i="419"/>
  <c r="R22" i="419"/>
  <c r="V22" i="419"/>
  <c r="Z22" i="419"/>
  <c r="AE22" i="419"/>
  <c r="AI22" i="419"/>
  <c r="AM22" i="419"/>
  <c r="Q23" i="419"/>
  <c r="Y23" i="419"/>
  <c r="AL23" i="419"/>
  <c r="N3" i="418"/>
  <c r="I21" i="419" l="1"/>
  <c r="I22" i="419" s="1"/>
  <c r="H21" i="419"/>
  <c r="H22" i="419" s="1"/>
  <c r="G21" i="419"/>
  <c r="G22" i="419" s="1"/>
  <c r="F21" i="419"/>
  <c r="D21" i="419"/>
  <c r="D22" i="419" s="1"/>
  <c r="C21" i="419"/>
  <c r="C22" i="419" s="1"/>
  <c r="I20" i="419"/>
  <c r="H20" i="419"/>
  <c r="G20" i="419"/>
  <c r="F20" i="419"/>
  <c r="D20" i="419"/>
  <c r="C20" i="419"/>
  <c r="I19" i="419"/>
  <c r="H19" i="419"/>
  <c r="G19" i="419"/>
  <c r="F19" i="419"/>
  <c r="D19" i="419"/>
  <c r="C19" i="419"/>
  <c r="I17" i="419"/>
  <c r="H17" i="419"/>
  <c r="G17" i="419"/>
  <c r="F17" i="419"/>
  <c r="D17" i="419"/>
  <c r="C17" i="419"/>
  <c r="I16" i="419"/>
  <c r="H16" i="419"/>
  <c r="G16" i="419"/>
  <c r="F16" i="419"/>
  <c r="D16" i="419"/>
  <c r="C16" i="419"/>
  <c r="I14" i="419"/>
  <c r="H14" i="419"/>
  <c r="G14" i="419"/>
  <c r="F14" i="419"/>
  <c r="D14" i="419"/>
  <c r="C14" i="419"/>
  <c r="I13" i="419"/>
  <c r="H13" i="419"/>
  <c r="G13" i="419"/>
  <c r="F13" i="419"/>
  <c r="D13" i="419"/>
  <c r="C13" i="419"/>
  <c r="I12" i="419"/>
  <c r="H12" i="419"/>
  <c r="G12" i="419"/>
  <c r="F12" i="419"/>
  <c r="D12" i="419"/>
  <c r="C12" i="419"/>
  <c r="I11" i="419"/>
  <c r="H11" i="419"/>
  <c r="G11" i="419"/>
  <c r="F11" i="419"/>
  <c r="D11" i="419"/>
  <c r="C11" i="419"/>
  <c r="F18" i="419" l="1"/>
  <c r="F23" i="419"/>
  <c r="G18" i="419"/>
  <c r="D18" i="419"/>
  <c r="I18" i="419"/>
  <c r="C18" i="419"/>
  <c r="H18" i="419"/>
  <c r="C23" i="419"/>
  <c r="H23" i="419"/>
  <c r="F22" i="419"/>
  <c r="G23" i="419"/>
  <c r="D23" i="419"/>
  <c r="I23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AS6" i="419" l="1"/>
  <c r="AO6" i="419"/>
  <c r="AK6" i="419"/>
  <c r="AG6" i="419"/>
  <c r="AC6" i="419"/>
  <c r="Y6" i="419"/>
  <c r="U6" i="419"/>
  <c r="Q6" i="419"/>
  <c r="M6" i="419"/>
  <c r="I6" i="419"/>
  <c r="E6" i="419"/>
  <c r="J6" i="419"/>
  <c r="AR6" i="419"/>
  <c r="AN6" i="419"/>
  <c r="AJ6" i="419"/>
  <c r="AF6" i="419"/>
  <c r="AB6" i="419"/>
  <c r="X6" i="419"/>
  <c r="T6" i="419"/>
  <c r="P6" i="419"/>
  <c r="L6" i="419"/>
  <c r="H6" i="419"/>
  <c r="N6" i="419"/>
  <c r="AQ6" i="419"/>
  <c r="AM6" i="419"/>
  <c r="AI6" i="419"/>
  <c r="AE6" i="419"/>
  <c r="AA6" i="419"/>
  <c r="W6" i="419"/>
  <c r="S6" i="419"/>
  <c r="O6" i="419"/>
  <c r="K6" i="419"/>
  <c r="G6" i="419"/>
  <c r="AP6" i="419"/>
  <c r="AL6" i="419"/>
  <c r="AH6" i="419"/>
  <c r="AD6" i="419"/>
  <c r="Z6" i="419"/>
  <c r="V6" i="419"/>
  <c r="R6" i="419"/>
  <c r="F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1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C17" i="414"/>
  <c r="D17" i="414"/>
  <c r="D4" i="414"/>
  <c r="C14" i="414"/>
  <c r="D14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H3" i="387"/>
  <c r="G3" i="387"/>
  <c r="F3" i="387"/>
  <c r="N3" i="220"/>
  <c r="L3" i="220" s="1"/>
  <c r="C22" i="414"/>
  <c r="D22" i="414"/>
  <c r="I12" i="339" l="1"/>
  <c r="I13" i="339" s="1"/>
  <c r="F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H13" i="339" l="1"/>
  <c r="F15" i="339"/>
  <c r="J13" i="339"/>
  <c r="B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<sst xmlns="http://schemas.openxmlformats.org/spreadsheetml/2006/main" count="6789" uniqueCount="1207">
  <si>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</si>
  <si>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</si>
  <si>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</si>
  <si>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</si>
  <si>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</si>
  <si>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</si>
  <si>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</si>
  <si>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</si>
  <si>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</si>
  <si>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</si>
  <si>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</si>
  <si>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</si>
  <si>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</si>
  <si>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</si>
  <si>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</si>
  <si>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</si>
  <si>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</si>
  <si>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</si>
  <si>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</si>
  <si>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</si>
  <si>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</si>
  <si>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</si>
  <si>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</si>
  <si>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</si>
  <si>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</si>
  <si>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</si>
  <si>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</si>
  <si>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</si>
  <si>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</si>
  <si>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</si>
  <si>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</si>
  <si>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</si>
  <si>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</si>
  <si>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</si>
  <si>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</si>
  <si>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</si>
  <si>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</si>
  <si>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</si>
  <si>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</si>
  <si>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</si>
  <si>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</si>
  <si>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</si>
  <si>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</si>
  <si>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</si>
  <si>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</si>
  <si>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</si>
  <si>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</si>
  <si>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</si>
  <si>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</si>
  <si>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</si>
  <si>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</si>
  <si>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</si>
  <si>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</si>
  <si>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</si>
  <si>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</si>
  <si>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</si>
  <si>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</si>
  <si>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</si>
  <si>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</si>
  <si>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</si>
  <si>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</si>
  <si>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</si>
  <si>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</si>
  <si>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</si>
  <si>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</si>
  <si>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</si>
  <si>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</si>
  <si>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</si>
  <si>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</si>
  <si>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</si>
  <si>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</si>
  <si>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</si>
  <si>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</si>
  <si>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</si>
  <si>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</si>
  <si>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</si>
  <si>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</si>
  <si>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</si>
  <si>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</si>
  <si>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</si>
  <si>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</si>
  <si>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</si>
  <si>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</si>
  <si>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</si>
  <si>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</si>
  <si>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</si>
  <si>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</si>
  <si>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</si>
  <si>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</si>
  <si>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</si>
  <si>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</si>
  <si>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</si>
  <si>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</si>
  <si>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</si>
  <si>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</si>
  <si>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</si>
  <si>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</si>
  <si>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</si>
  <si>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</si>
  <si>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</si>
  <si>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</si>
  <si>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</si>
  <si>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</si>
  <si>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</si>
  <si>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</si>
  <si>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</si>
  <si>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</si>
  <si>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</si>
  <si>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</si>
  <si>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</si>
  <si>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</si>
  <si>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</si>
  <si>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</si>
  <si>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</si>
  <si>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</si>
  <si>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</si>
  <si>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</si>
  <si>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</si>
  <si>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</si>
  <si>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</si>
  <si>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</si>
  <si>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</si>
  <si>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</si>
  <si>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</si>
  <si>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</si>
  <si>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</si>
  <si>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</si>
  <si>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</si>
  <si>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</si>
  <si>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</si>
  <si>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</si>
  <si>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</si>
  <si>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</si>
  <si>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</si>
  <si>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</si>
  <si>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</si>
  <si>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</si>
  <si>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</si>
  <si>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</si>
  <si>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</si>
  <si>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</si>
  <si>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</si>
  <si>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</si>
  <si>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</si>
  <si>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</si>
  <si>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</si>
  <si>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</si>
  <si>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</si>
  <si>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</si>
  <si>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</si>
  <si>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</si>
  <si>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</si>
  <si>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</si>
  <si>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</si>
  <si>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</si>
  <si>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</si>
  <si>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</si>
  <si>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</si>
  <si>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</si>
  <si>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</si>
  <si>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</si>
  <si>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</si>
  <si>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farmaceuti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</si>
  <si>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</si>
  <si>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</si>
  <si>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</si>
  <si>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</si>
  <si>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</si>
  <si>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</si>
  <si>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</si>
  <si>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</si>
  <si>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</si>
  <si>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</si>
  <si>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</si>
  <si>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</si>
  <si>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</si>
  <si>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</si>
  <si>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</si>
  <si>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</si>
  <si>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</si>
  <si>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</si>
  <si>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</si>
  <si>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</si>
  <si>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</si>
  <si>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NLZP *</t>
  </si>
  <si>
    <t>THP *</t>
  </si>
  <si>
    <t>Rozpočet na vzdělávání je plánován na rok, měsíční plány jsou v tabulce dvanáctinou ročního rozpočtu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</si>
  <si>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</si>
  <si>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</si>
  <si>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</si>
  <si>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</si>
  <si>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</si>
  <si>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</si>
  <si>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</si>
  <si>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</si>
  <si>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</si>
  <si>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</si>
  <si>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</si>
  <si>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</si>
  <si>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</si>
  <si>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</si>
  <si>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</si>
  <si>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</si>
  <si>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</si>
  <si>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</si>
  <si>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</si>
  <si>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</si>
  <si>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</si>
  <si>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</si>
  <si>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</si>
  <si>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</si>
  <si>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</si>
  <si>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</si>
  <si>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</si>
  <si>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</si>
  <si>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</si>
  <si>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</si>
  <si>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</si>
  <si>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</si>
  <si>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</si>
  <si>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</si>
  <si>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</si>
  <si>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</si>
  <si>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</si>
  <si>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</si>
  <si>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</si>
  <si>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</si>
  <si>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ergoterapeuti</t>
  </si>
  <si>
    <t>Sml.odb./NS</t>
  </si>
  <si>
    <t>lékaři bez dohledu</t>
  </si>
  <si>
    <t>lékaři specialisti</t>
  </si>
  <si>
    <t>zubní lékaři specialisti</t>
  </si>
  <si>
    <t>všeobecné sestry pod dohl.</t>
  </si>
  <si>
    <t>všeobecné sestry bez dohl.</t>
  </si>
  <si>
    <t>všeobecné sestry bez dohl., spec.</t>
  </si>
  <si>
    <t>všeobecné sestry VŠ</t>
  </si>
  <si>
    <t>kliničtí psychologové</t>
  </si>
  <si>
    <t>kliničtí psychologové spec.</t>
  </si>
  <si>
    <t>kliničtí psychologové spec. a zvl.odb.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</si>
  <si>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</si>
  <si>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</si>
  <si>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</si>
  <si>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</si>
  <si>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</si>
  <si>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</si>
  <si>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</si>
  <si>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</si>
  <si>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</si>
  <si>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</si>
  <si>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</si>
  <si>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</si>
  <si>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</si>
  <si>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</si>
  <si>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</si>
  <si>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</si>
  <si>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</si>
  <si>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</si>
  <si>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</si>
  <si>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</si>
  <si>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</si>
  <si>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</si>
  <si>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</si>
  <si>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</si>
  <si>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</si>
  <si>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</si>
  <si>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</si>
  <si>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biotechničtí asistenti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</si>
  <si>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</si>
  <si>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</si>
  <si>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</si>
  <si>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</si>
  <si>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</si>
  <si>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</si>
  <si>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</si>
  <si>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</si>
  <si>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</si>
  <si>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</si>
  <si>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</si>
  <si>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</si>
  <si>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</si>
  <si>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</si>
  <si>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</si>
  <si>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</si>
  <si>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</si>
  <si>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</si>
  <si>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</si>
  <si>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</si>
  <si>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</si>
  <si>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</si>
  <si>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</si>
  <si>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</si>
  <si>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</si>
  <si>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</si>
  <si>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</si>
  <si>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</si>
  <si>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</si>
  <si>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</si>
  <si>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50117008     spotřební materiál k PDS (potrubní pošta (sk.V22)</t>
  </si>
  <si>
    <t>--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</si>
  <si>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</si>
  <si>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</si>
  <si>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</si>
  <si>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</si>
  <si>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</si>
  <si>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50117201     obaly ostatní - LEK (sk.Z519)</t>
  </si>
  <si>
    <t>50118     Náhradní díly</t>
  </si>
  <si>
    <t>50118001     ND - ostatní (všeob.sklad) (sk.V38)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</si>
  <si>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</si>
  <si>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</si>
  <si>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</si>
  <si>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</si>
  <si>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</si>
  <si>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</si>
  <si>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</si>
  <si>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</si>
  <si>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</si>
  <si>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</si>
  <si>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</si>
  <si>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</si>
  <si>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</si>
  <si>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</si>
  <si>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</si>
  <si>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</si>
  <si>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</si>
  <si>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</si>
  <si>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</si>
  <si>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</si>
  <si>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</si>
  <si>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</si>
  <si>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</si>
  <si>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</si>
  <si>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</si>
  <si>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</si>
  <si>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</si>
  <si>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</si>
  <si>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</si>
  <si>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</si>
  <si>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</si>
  <si>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</si>
  <si>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</si>
  <si>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</si>
  <si>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</si>
  <si>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</si>
  <si>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</si>
  <si>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</si>
  <si>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</si>
  <si>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</si>
  <si>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</si>
  <si>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</si>
  <si>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</si>
  <si>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</si>
  <si>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</si>
  <si>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</si>
  <si>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</si>
  <si>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</si>
  <si>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</si>
  <si>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</si>
  <si>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</si>
  <si>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</si>
  <si>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</si>
  <si>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</si>
  <si>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</si>
  <si>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</si>
  <si>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</si>
  <si>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</si>
  <si>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</si>
  <si>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</si>
  <si>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</si>
  <si>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</si>
  <si>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</si>
  <si>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</si>
  <si>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</si>
  <si>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</si>
  <si>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</si>
  <si>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</si>
  <si>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</si>
  <si>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</si>
  <si>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</si>
  <si>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</si>
  <si>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</si>
  <si>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</si>
  <si>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</si>
  <si>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</si>
  <si>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</si>
  <si>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</si>
  <si>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</si>
  <si>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</si>
  <si>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</si>
  <si>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</si>
  <si>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</si>
  <si>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</si>
  <si>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</si>
  <si>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</si>
  <si>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</si>
  <si>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</si>
  <si>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</si>
  <si>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</si>
  <si>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</si>
  <si>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</si>
  <si>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</si>
  <si>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</si>
  <si>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</si>
  <si>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</si>
  <si>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</si>
  <si>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</si>
  <si>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</si>
  <si>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</si>
  <si>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</si>
  <si>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</si>
  <si>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</si>
  <si>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</si>
  <si>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</si>
  <si>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</si>
  <si>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</si>
  <si>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</si>
  <si>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</si>
  <si>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</si>
  <si>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</si>
  <si>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</si>
  <si>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</si>
  <si>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</si>
  <si>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</si>
  <si>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</si>
  <si>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</si>
  <si>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</si>
  <si>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</si>
  <si>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</si>
  <si>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</si>
  <si>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Ústav mikrobiologie</t>
  </si>
  <si>
    <t/>
  </si>
  <si>
    <t>Ústav mikrobiologie Celkem</t>
  </si>
  <si>
    <t>SumaKL</t>
  </si>
  <si>
    <t>4041</t>
  </si>
  <si>
    <t>mikrobiologie - laboratoř</t>
  </si>
  <si>
    <t>mikrobiologie - laboratoř Celkem</t>
  </si>
  <si>
    <t>SumaNS</t>
  </si>
  <si>
    <t>mezeraNS</t>
  </si>
  <si>
    <t>50113001</t>
  </si>
  <si>
    <t>O</t>
  </si>
  <si>
    <t>847713</t>
  </si>
  <si>
    <t>125526</t>
  </si>
  <si>
    <t>APO-IBUPROFEN 400 MG</t>
  </si>
  <si>
    <t>POR TBL FLM 100X400MG</t>
  </si>
  <si>
    <t>189244</t>
  </si>
  <si>
    <t>89244</t>
  </si>
  <si>
    <t>AQUA PRO INJECTIONE ARDEAPHARMA</t>
  </si>
  <si>
    <t>INF 1X250ML</t>
  </si>
  <si>
    <t>900321</t>
  </si>
  <si>
    <t>0</t>
  </si>
  <si>
    <t>KL PRIPRAVEK</t>
  </si>
  <si>
    <t>500038</t>
  </si>
  <si>
    <t>KL OBAL</t>
  </si>
  <si>
    <t>lékovky, kelímky</t>
  </si>
  <si>
    <t>920056</t>
  </si>
  <si>
    <t>KL ETHANOLUM 70% 800 g</t>
  </si>
  <si>
    <t>921175</t>
  </si>
  <si>
    <t>KL Formol 4% 100 g MIK</t>
  </si>
  <si>
    <t>203954</t>
  </si>
  <si>
    <t>BISEPTOL 480</t>
  </si>
  <si>
    <t>POR TBL NOB 28X480MG</t>
  </si>
  <si>
    <t>P</t>
  </si>
  <si>
    <t>112891</t>
  </si>
  <si>
    <t>12891</t>
  </si>
  <si>
    <t>AULIN</t>
  </si>
  <si>
    <t>TBL 15X100MG</t>
  </si>
  <si>
    <t>50113013</t>
  </si>
  <si>
    <t>207280</t>
  </si>
  <si>
    <t>FUROLIN TABLETY</t>
  </si>
  <si>
    <t>POR TBL NOB 30X100MG</t>
  </si>
  <si>
    <t>183812</t>
  </si>
  <si>
    <t>ARCHIFAR 500 MG</t>
  </si>
  <si>
    <t>INJ+INF PLV SOL 10X500MG</t>
  </si>
  <si>
    <t>MIKRO: mikrobiologie - laboratoř</t>
  </si>
  <si>
    <t>Lékárna - léčiva</t>
  </si>
  <si>
    <t>Lékárna - antibiotika</t>
  </si>
  <si>
    <t>4041 - MIKRO: mikrobiologie - laboratoř</t>
  </si>
  <si>
    <t>M01AX17 - Nimesulid</t>
  </si>
  <si>
    <t>J01DH02 - Meropenem</t>
  </si>
  <si>
    <t>J01DH02</t>
  </si>
  <si>
    <t>ARCHIFAR</t>
  </si>
  <si>
    <t>500MG INJ+INF PLV SOL 10</t>
  </si>
  <si>
    <t>M01AX17</t>
  </si>
  <si>
    <t>100MG TBL NOB 15</t>
  </si>
  <si>
    <t>Přehled plnění pozitivního listu - spotřeba léčivých přípravků - orientační přehled</t>
  </si>
  <si>
    <t>40 - Ústav mikrobiologie</t>
  </si>
  <si>
    <t>4041 - mikrobiologie - laboratoř</t>
  </si>
  <si>
    <t>ZA446</t>
  </si>
  <si>
    <t>Vata buničitá přířezy 20 x 30 cm 1230200129</t>
  </si>
  <si>
    <t>ZL995</t>
  </si>
  <si>
    <t>Obinadlo hyrofilní sterilní  6 cm x 5 m  004310190</t>
  </si>
  <si>
    <t>ZL999</t>
  </si>
  <si>
    <t>Rychloobvaz 8 x 4 cm / 3 ks 001445510</t>
  </si>
  <si>
    <t>ZN366</t>
  </si>
  <si>
    <t>Náplast poinjekční elastická tkaná jednotl. baleno 19 mm x 72 mm P-CURE1972ELAST</t>
  </si>
  <si>
    <t>ZA789</t>
  </si>
  <si>
    <t>Stříkačka injekční 2-dílná 2 ml L Inject Solo 4606027V</t>
  </si>
  <si>
    <t>ZA790</t>
  </si>
  <si>
    <t>Stříkačka injekční 2-dílná 5 ml L Inject Solo4606051V</t>
  </si>
  <si>
    <t>ZB370</t>
  </si>
  <si>
    <t>Pipeta pasteurova 1 ml nesterilní bal. á 500 ks 1501</t>
  </si>
  <si>
    <t>ZB863</t>
  </si>
  <si>
    <t>Klička inokulační 10 ul modrá bal. á 20 ks 1682</t>
  </si>
  <si>
    <t>ZA844</t>
  </si>
  <si>
    <t>Destička mikrotitr. U steril bal. á 240 ks 400916</t>
  </si>
  <si>
    <t>ZB290</t>
  </si>
  <si>
    <t>Špička žlutá 2-100ul bal. á 500 ks 70.760.002</t>
  </si>
  <si>
    <t>ZC774</t>
  </si>
  <si>
    <t>Sklo podložní řezané, čiré 76 x 26 mm bal. á 50 ks VTRA635901000076</t>
  </si>
  <si>
    <t>ZC831</t>
  </si>
  <si>
    <t>Sklo podložní mat. okraj bal. á 50 ks AA00000112E (2501)</t>
  </si>
  <si>
    <t>ZE719</t>
  </si>
  <si>
    <t>Špička pipetovací 0.5-10ul á 1000 ks BUN001P-BP(3110)</t>
  </si>
  <si>
    <t>ZL822</t>
  </si>
  <si>
    <t>Pipeta pasteurova 1 ml jednotlivě balená bal. á 500 ks FLME27040</t>
  </si>
  <si>
    <t>ZD868</t>
  </si>
  <si>
    <t>Mikrozkumavka eppendorf 1,5 ml FLME23053</t>
  </si>
  <si>
    <t>ZB828</t>
  </si>
  <si>
    <t>Klička bakteriologická 3,0 mm Mir.05</t>
  </si>
  <si>
    <t>ZM667</t>
  </si>
  <si>
    <t>Špička pipetovací s filtrem 1000ul ULTRAFINE bal. á 576 ks (732-0534) VWRI732-0534</t>
  </si>
  <si>
    <t>ZM992</t>
  </si>
  <si>
    <t>Špička pipetovací s filtrem 100ul bal. á 960 ks (732-0523) VWRI732-0523</t>
  </si>
  <si>
    <t>ZM986</t>
  </si>
  <si>
    <t>Zkumavka falcon sterilní do přístroje LIAISON (734-0442) BDAA352052</t>
  </si>
  <si>
    <t>ZL715</t>
  </si>
  <si>
    <t>Špička s filtrem SSNC filtertips 0,5 - 10 ul type bal. á 768 ks B95010</t>
  </si>
  <si>
    <t>ZC049</t>
  </si>
  <si>
    <t>Sklo krycí 20 x 20 mm, á 1000 ks BD2020</t>
  </si>
  <si>
    <t>ZA832</t>
  </si>
  <si>
    <t>Jehla injekční 0,9 x 40 mm žlutá 4657519</t>
  </si>
  <si>
    <t>ZB556</t>
  </si>
  <si>
    <t>Jehla injekční 1,2 x 40 mm růžová 4665120</t>
  </si>
  <si>
    <t>ZM292</t>
  </si>
  <si>
    <t>Rukavice nitril sempercare bez p. M bal. á 200 ks 30803</t>
  </si>
  <si>
    <t>ZM291</t>
  </si>
  <si>
    <t>Rukavice nitril sempercare bez p. S bal. á 200 ks 30802</t>
  </si>
  <si>
    <t>804536</t>
  </si>
  <si>
    <t xml:space="preserve">-Diagnostikum připr. </t>
  </si>
  <si>
    <t>804197</t>
  </si>
  <si>
    <t>-Pufr na sputa (MIK) 1000 ml</t>
  </si>
  <si>
    <t>DC862</t>
  </si>
  <si>
    <t>VAJECNA PUDA L-J</t>
  </si>
  <si>
    <t>DD598</t>
  </si>
  <si>
    <t>Anaerobní krevní agar(základ BHI)</t>
  </si>
  <si>
    <t>DG277</t>
  </si>
  <si>
    <t>Mueller-Hinton agar s koňskou krví</t>
  </si>
  <si>
    <t>DF859</t>
  </si>
  <si>
    <t>Játrový bujon (WASP)</t>
  </si>
  <si>
    <t>DC859</t>
  </si>
  <si>
    <t>COLUMBIA AGAR</t>
  </si>
  <si>
    <t>DC860</t>
  </si>
  <si>
    <t>GO AGAR</t>
  </si>
  <si>
    <t>DC923</t>
  </si>
  <si>
    <t>COLOREX MRSA</t>
  </si>
  <si>
    <t>DD671</t>
  </si>
  <si>
    <t>VL bujon (10ml)</t>
  </si>
  <si>
    <t>DE706</t>
  </si>
  <si>
    <t>Simons citrát</t>
  </si>
  <si>
    <t>DG145</t>
  </si>
  <si>
    <t>kyselina CHLOROVODÍKOVÁ 35% P.A.</t>
  </si>
  <si>
    <t>DB488</t>
  </si>
  <si>
    <t>Sabourad bujon</t>
  </si>
  <si>
    <t>DC930</t>
  </si>
  <si>
    <t>BACTEC MGIT 960 SUPPLEMENT</t>
  </si>
  <si>
    <t>DC929</t>
  </si>
  <si>
    <t>BBL MGIT 7 ML</t>
  </si>
  <si>
    <t>DD347</t>
  </si>
  <si>
    <t>Legionella BCYE</t>
  </si>
  <si>
    <t>DC017</t>
  </si>
  <si>
    <t>Thioglykolátový bujon</t>
  </si>
  <si>
    <t>DE708</t>
  </si>
  <si>
    <t>MIU</t>
  </si>
  <si>
    <t>DA229</t>
  </si>
  <si>
    <t>Columbia /MacConkey agar 1/2p</t>
  </si>
  <si>
    <t>DD596</t>
  </si>
  <si>
    <t>Sabouraud agar s CMP</t>
  </si>
  <si>
    <t>DD599</t>
  </si>
  <si>
    <t>Játrový bujon (5ml)</t>
  </si>
  <si>
    <t>DB129</t>
  </si>
  <si>
    <t>MacConkey/DC agar 1/2p</t>
  </si>
  <si>
    <t>DC931</t>
  </si>
  <si>
    <t>CIN agar</t>
  </si>
  <si>
    <t>DC863</t>
  </si>
  <si>
    <t>VAJECNA PUDA OGAWA</t>
  </si>
  <si>
    <t>DF860</t>
  </si>
  <si>
    <t>Selenitový bujon (WASP)</t>
  </si>
  <si>
    <t>DD554</t>
  </si>
  <si>
    <t>Agar pro C.jejuni</t>
  </si>
  <si>
    <t>DC992</t>
  </si>
  <si>
    <t>Legionella GVPC agar</t>
  </si>
  <si>
    <t>DG388</t>
  </si>
  <si>
    <t>Játrový bujon (10ml)</t>
  </si>
  <si>
    <t>DB172</t>
  </si>
  <si>
    <t>Set MIC PS rod Pseudomonas</t>
  </si>
  <si>
    <t>DB171</t>
  </si>
  <si>
    <t>Set MIC ST rod Staphylococcus</t>
  </si>
  <si>
    <t>DB169</t>
  </si>
  <si>
    <t>Set MIC MO Gram- bakterie</t>
  </si>
  <si>
    <t>DB170</t>
  </si>
  <si>
    <t>Set MIC GP Gram+ bakterie</t>
  </si>
  <si>
    <t>DB167</t>
  </si>
  <si>
    <t>Set MIC G1 Gram- bakterie</t>
  </si>
  <si>
    <t>DB168</t>
  </si>
  <si>
    <t>Set MIC G2 Gram- bakterie</t>
  </si>
  <si>
    <t>DG223</t>
  </si>
  <si>
    <t>ACETON CISTY</t>
  </si>
  <si>
    <t>DA184</t>
  </si>
  <si>
    <t>Liaison XL-HBc IgM (50test)</t>
  </si>
  <si>
    <t>DA153</t>
  </si>
  <si>
    <t>Liaison XL-HBeAg</t>
  </si>
  <si>
    <t>DA185</t>
  </si>
  <si>
    <t>Liaison XL-control anti HBc</t>
  </si>
  <si>
    <t>DD597</t>
  </si>
  <si>
    <t>DC agar</t>
  </si>
  <si>
    <t>DB746</t>
  </si>
  <si>
    <t>CHLAMYDIEN  ELISA IGG</t>
  </si>
  <si>
    <t>DB748</t>
  </si>
  <si>
    <t>CHLAMYDIEN  ELISA IGA</t>
  </si>
  <si>
    <t>DB747</t>
  </si>
  <si>
    <t>CHLAMYDIEN  ELISA IGM</t>
  </si>
  <si>
    <t>DB456</t>
  </si>
  <si>
    <t>Borrelia IgM Eco Line</t>
  </si>
  <si>
    <t>DA082</t>
  </si>
  <si>
    <t>Liaison XL-HCV Ab</t>
  </si>
  <si>
    <t>DG224</t>
  </si>
  <si>
    <t>XYLEN CISTY</t>
  </si>
  <si>
    <t>DE703</t>
  </si>
  <si>
    <t>Rýžový agar</t>
  </si>
  <si>
    <t>DE499</t>
  </si>
  <si>
    <t>Liaison a-Borrelia IgM QUANT</t>
  </si>
  <si>
    <t>DA088</t>
  </si>
  <si>
    <t>Liaison MCP-IgM</t>
  </si>
  <si>
    <t>DB008</t>
  </si>
  <si>
    <t>Yersinia Serokit</t>
  </si>
  <si>
    <t>DB952</t>
  </si>
  <si>
    <t>Borrelia IgG Eco Line</t>
  </si>
  <si>
    <t>DC843</t>
  </si>
  <si>
    <t>Liaison HBsAg</t>
  </si>
  <si>
    <t>DB194</t>
  </si>
  <si>
    <t>Cefotaxim 5ug</t>
  </si>
  <si>
    <t>DA124</t>
  </si>
  <si>
    <t>Clostridium diff. select. agar (10 ploten)</t>
  </si>
  <si>
    <t>DD112</t>
  </si>
  <si>
    <t>Liaison Borrelia IgG</t>
  </si>
  <si>
    <t>DA087</t>
  </si>
  <si>
    <t>Liaison MCP-IgG</t>
  </si>
  <si>
    <t>DB986</t>
  </si>
  <si>
    <t>Light Check for LIAISON</t>
  </si>
  <si>
    <t>DB087</t>
  </si>
  <si>
    <t>Liaison XL-EBV IgM</t>
  </si>
  <si>
    <t>DG393</t>
  </si>
  <si>
    <t>Ethanol 96%</t>
  </si>
  <si>
    <t>DB310</t>
  </si>
  <si>
    <t>Ethanolum benzino den. 4kg</t>
  </si>
  <si>
    <t>DC222</t>
  </si>
  <si>
    <t>BRAIN HEART INFUSION BROTH,500g</t>
  </si>
  <si>
    <t>DD367</t>
  </si>
  <si>
    <t>Mueller Hinton Broth</t>
  </si>
  <si>
    <t>DE353</t>
  </si>
  <si>
    <t>Amplified IDEIA Hp STAR</t>
  </si>
  <si>
    <t>DA110</t>
  </si>
  <si>
    <t>Liaison XL-CMV IgG</t>
  </si>
  <si>
    <t>DA079</t>
  </si>
  <si>
    <t>Liaison XL-HBsAg Quant</t>
  </si>
  <si>
    <t>DB088</t>
  </si>
  <si>
    <t>Liaison XL-VCA IgG</t>
  </si>
  <si>
    <t>DA111</t>
  </si>
  <si>
    <t>Liaison XL-CMV IgM</t>
  </si>
  <si>
    <t>DB303</t>
  </si>
  <si>
    <t>Anyplex II. RB5 Detection (50 reakcí)</t>
  </si>
  <si>
    <t>DB086</t>
  </si>
  <si>
    <t>Liaison XL-EBNA IgG</t>
  </si>
  <si>
    <t>DA116</t>
  </si>
  <si>
    <t>Liaison control Bor.liquor IgM</t>
  </si>
  <si>
    <t>DA083</t>
  </si>
  <si>
    <t>Liaison XL-HIV Ag/Ab</t>
  </si>
  <si>
    <t>DA080</t>
  </si>
  <si>
    <t>Liaison XL-WASH SYSTEM</t>
  </si>
  <si>
    <t>DG229</t>
  </si>
  <si>
    <t>METHANOL P.A.</t>
  </si>
  <si>
    <t>DA084</t>
  </si>
  <si>
    <t>Liaison XL-Control HCV Ab</t>
  </si>
  <si>
    <t>DA252</t>
  </si>
  <si>
    <t>EIA TBE Virus IgG</t>
  </si>
  <si>
    <t>DD601</t>
  </si>
  <si>
    <t>Mueller Hinton</t>
  </si>
  <si>
    <t>DB734</t>
  </si>
  <si>
    <t>ITEST ASO</t>
  </si>
  <si>
    <t>DG307</t>
  </si>
  <si>
    <t>EI Varicella zoster virus IgG</t>
  </si>
  <si>
    <t>DA154</t>
  </si>
  <si>
    <t>Liaison XL-anti-HBe</t>
  </si>
  <si>
    <t>DD145</t>
  </si>
  <si>
    <t>MYCOPLASMA IST II</t>
  </si>
  <si>
    <t>DG304</t>
  </si>
  <si>
    <t>EI Measles virus IgG</t>
  </si>
  <si>
    <t>DD646</t>
  </si>
  <si>
    <t>S.typhi-antigen 0 susp.(TO)</t>
  </si>
  <si>
    <t>DG305</t>
  </si>
  <si>
    <t>EI Mumps virus IgG</t>
  </si>
  <si>
    <t>DG272</t>
  </si>
  <si>
    <t>Liaison Chlamidia trachomatis IgA</t>
  </si>
  <si>
    <t>DC340</t>
  </si>
  <si>
    <t>EIA TOXOCARA CANIS IGG</t>
  </si>
  <si>
    <t>DA172</t>
  </si>
  <si>
    <t>Liaison XL cuvettes</t>
  </si>
  <si>
    <t>DD595</t>
  </si>
  <si>
    <t>Sabouraud</t>
  </si>
  <si>
    <t>DG302</t>
  </si>
  <si>
    <t>EI Epstein-Barr virus -capsid</t>
  </si>
  <si>
    <t>DA183</t>
  </si>
  <si>
    <t>Liaison XL-anti-HBc celkově</t>
  </si>
  <si>
    <t>DB624</t>
  </si>
  <si>
    <t>Liaison HSV 1+2 IgM</t>
  </si>
  <si>
    <t>DA253</t>
  </si>
  <si>
    <t>EIA TBE Virus IgM</t>
  </si>
  <si>
    <t>DC787</t>
  </si>
  <si>
    <t>AMIKACIN</t>
  </si>
  <si>
    <t>DD704</t>
  </si>
  <si>
    <t>S.enteritidis- antigen H susp.(ENH)</t>
  </si>
  <si>
    <t>DB390</t>
  </si>
  <si>
    <t>GeneProof PathogenFree DNA isol.</t>
  </si>
  <si>
    <t>DD703</t>
  </si>
  <si>
    <t>S.paratyphi-antigen 0 susp.(BO)</t>
  </si>
  <si>
    <t>DE805</t>
  </si>
  <si>
    <t>COLOREX Candida</t>
  </si>
  <si>
    <t>DD990</t>
  </si>
  <si>
    <t>S.typhimurium antigen H (TMH)</t>
  </si>
  <si>
    <t>DC066</t>
  </si>
  <si>
    <t>CEFUROXIME ,200 ks</t>
  </si>
  <si>
    <t>DG556</t>
  </si>
  <si>
    <t>Liaison Control Chlamydie trachomatis IgA</t>
  </si>
  <si>
    <t>DD782</t>
  </si>
  <si>
    <t>SALMO.PARA-B.SUSP.H (BH)</t>
  </si>
  <si>
    <t>DB162</t>
  </si>
  <si>
    <t>Liaison XL Cleaning Tool</t>
  </si>
  <si>
    <t>DG273</t>
  </si>
  <si>
    <t>Liaison Chlamidia trachomatis IgG</t>
  </si>
  <si>
    <t>DA146</t>
  </si>
  <si>
    <t>Liaison XL-anti-HAV</t>
  </si>
  <si>
    <t>DG303</t>
  </si>
  <si>
    <t>EI Herpes simplex virus IgG</t>
  </si>
  <si>
    <t>DF626</t>
  </si>
  <si>
    <t>Nitrocefin - diagnostics (50 proužků )</t>
  </si>
  <si>
    <t>DG306</t>
  </si>
  <si>
    <t>EI Rubella virus IgG</t>
  </si>
  <si>
    <t>DD705</t>
  </si>
  <si>
    <t>S.typhi-antigen H susp.(TH)</t>
  </si>
  <si>
    <t>DC900</t>
  </si>
  <si>
    <t>OXACILLIN /1MCG/, 4x50 ks</t>
  </si>
  <si>
    <t>DC441</t>
  </si>
  <si>
    <t>Reaction Modules for Liaison</t>
  </si>
  <si>
    <t>DG301</t>
  </si>
  <si>
    <t>EI Cytomegalovirus IgG</t>
  </si>
  <si>
    <t>DA086</t>
  </si>
  <si>
    <t>Liaison XL-Control HBsAg Quant</t>
  </si>
  <si>
    <t>DB610</t>
  </si>
  <si>
    <t>ITEST BACITRACIN H</t>
  </si>
  <si>
    <t>DC022</t>
  </si>
  <si>
    <t>EIA TOXOPLASMA IGG</t>
  </si>
  <si>
    <t>DB697</t>
  </si>
  <si>
    <t>EIA TOXOPLASMA IGA</t>
  </si>
  <si>
    <t>DC061</t>
  </si>
  <si>
    <t>AMOX+CLAVULINIC ACID 200 ks</t>
  </si>
  <si>
    <t>DC071</t>
  </si>
  <si>
    <t>ERYTHROMYCIN</t>
  </si>
  <si>
    <t>DB698</t>
  </si>
  <si>
    <t>EIA TOXOPLASMA IGM</t>
  </si>
  <si>
    <t>DA800</t>
  </si>
  <si>
    <t>Penicilin 0,6ug</t>
  </si>
  <si>
    <t>DC081</t>
  </si>
  <si>
    <t>TETRACYCLIN  (30IU)</t>
  </si>
  <si>
    <t>DG600</t>
  </si>
  <si>
    <t>Brilliance™ ESBL Agar</t>
  </si>
  <si>
    <t>DB570</t>
  </si>
  <si>
    <t>Antimyc.sens.test</t>
  </si>
  <si>
    <t>DB535</t>
  </si>
  <si>
    <t>N-ACETYL-L-CYSTEIN 100g</t>
  </si>
  <si>
    <t>DE766</t>
  </si>
  <si>
    <t>Karbolxylol - parazitologie</t>
  </si>
  <si>
    <t>DG614</t>
  </si>
  <si>
    <t>GeneProof Mycobacterium tbc PCR KIT</t>
  </si>
  <si>
    <t>DB085</t>
  </si>
  <si>
    <t>Liaison XL-EA-G</t>
  </si>
  <si>
    <t>DG594</t>
  </si>
  <si>
    <t>DEFIBR.KREV KRALICI V ALS. 20 ml</t>
  </si>
  <si>
    <t>DA312</t>
  </si>
  <si>
    <t>GO AGAR/GO agar s ATB(biplate)</t>
  </si>
  <si>
    <t>DG071</t>
  </si>
  <si>
    <t>GeneProof PathogenFree RNA Isolation Kit</t>
  </si>
  <si>
    <t>DB585</t>
  </si>
  <si>
    <t>Liaison HSV 1+2 IgG</t>
  </si>
  <si>
    <t>DG602</t>
  </si>
  <si>
    <t>C.difficile toxin A+B Card</t>
  </si>
  <si>
    <t>DA186</t>
  </si>
  <si>
    <t>Liaison XL-Control HBc IgM</t>
  </si>
  <si>
    <t>DE765</t>
  </si>
  <si>
    <t>Malachitová zeleň - parazitologie</t>
  </si>
  <si>
    <t>DA081</t>
  </si>
  <si>
    <t>Liaison XL-STARTER KIT</t>
  </si>
  <si>
    <t>DE857</t>
  </si>
  <si>
    <t>Anilinxylen (100ml)</t>
  </si>
  <si>
    <t>DG601</t>
  </si>
  <si>
    <t>C.difficile Ag (GDH) Card</t>
  </si>
  <si>
    <t>DA629</t>
  </si>
  <si>
    <t>WASP-LOOP CLEANING SOLUTION (1 X 50 ML)</t>
  </si>
  <si>
    <t>DC068</t>
  </si>
  <si>
    <t>CIPROFLOXACIN</t>
  </si>
  <si>
    <t>DC023</t>
  </si>
  <si>
    <t>ITEST BACITRACIN S</t>
  </si>
  <si>
    <t>DB193</t>
  </si>
  <si>
    <t>SÁČKY STŘEDNÍ PRO anaerob. kultivaci</t>
  </si>
  <si>
    <t>DD652</t>
  </si>
  <si>
    <t>Imersní olej pro mikroskopii 500 ml OLYMPUS</t>
  </si>
  <si>
    <t>DA085</t>
  </si>
  <si>
    <t>Liaison XL-Control HIV Ab/Ag</t>
  </si>
  <si>
    <t>DF795</t>
  </si>
  <si>
    <t>E Coli Mixture I:(0111+055+026)</t>
  </si>
  <si>
    <t>DG826</t>
  </si>
  <si>
    <t>Pufr.fyziologický roztok 2ml</t>
  </si>
  <si>
    <t>DA187</t>
  </si>
  <si>
    <t>Piperacillin sodium salt 1 g</t>
  </si>
  <si>
    <t>DC521</t>
  </si>
  <si>
    <t>OXITEST</t>
  </si>
  <si>
    <t>DF840</t>
  </si>
  <si>
    <t>MGIT TB IDENTIFICATION TEST</t>
  </si>
  <si>
    <t>DC069</t>
  </si>
  <si>
    <t>CLINDAMYCIN 2IU</t>
  </si>
  <si>
    <t>DB609</t>
  </si>
  <si>
    <t>ITEST VK</t>
  </si>
  <si>
    <t>DC664</t>
  </si>
  <si>
    <t>PLATELIA ASPERGILLUS AG 96t</t>
  </si>
  <si>
    <t>DC082</t>
  </si>
  <si>
    <t>TRIMETHOPRIME-SULFAM (1,25+23,75)</t>
  </si>
  <si>
    <t>DE603</t>
  </si>
  <si>
    <t>Ceftazidime + clavulanic acid 30+10 ug</t>
  </si>
  <si>
    <t>DG315</t>
  </si>
  <si>
    <t>EliGene Adenovirus RT</t>
  </si>
  <si>
    <t>DB068</t>
  </si>
  <si>
    <t>Liaison XL Disposable Tips</t>
  </si>
  <si>
    <t>DD358</t>
  </si>
  <si>
    <t>SOUPRAVA LISTERIOZA PA</t>
  </si>
  <si>
    <t>DA779</t>
  </si>
  <si>
    <t>LINEZOLID LZ 256 (30 testů)</t>
  </si>
  <si>
    <t>DC502</t>
  </si>
  <si>
    <t>IMMUNOQuick NoRotAdeno - 20 testů</t>
  </si>
  <si>
    <t>DG163</t>
  </si>
  <si>
    <t>HYDROXID SODNY P.A.</t>
  </si>
  <si>
    <t>DB470</t>
  </si>
  <si>
    <t>Metronidazole MZH 256 (30 testů)</t>
  </si>
  <si>
    <t>DC397</t>
  </si>
  <si>
    <t>Liaison Cleaning kit</t>
  </si>
  <si>
    <t>DH250</t>
  </si>
  <si>
    <t>Parvovirus B19</t>
  </si>
  <si>
    <t>DH251</t>
  </si>
  <si>
    <t>Parvovirus B19 + IgG/RF absorbent</t>
  </si>
  <si>
    <t>DA719</t>
  </si>
  <si>
    <t>Burghorderia Cepacia Agar</t>
  </si>
  <si>
    <t>DB197</t>
  </si>
  <si>
    <t>gentamycin 30ug</t>
  </si>
  <si>
    <t>DH404</t>
  </si>
  <si>
    <t>α-Cyano-4-hydroxycinnamic acid</t>
  </si>
  <si>
    <t>DG089</t>
  </si>
  <si>
    <t>Detection of COLISTIN resistence</t>
  </si>
  <si>
    <t>DH478</t>
  </si>
  <si>
    <t>Varicella zoster virus IgM</t>
  </si>
  <si>
    <t>DA914</t>
  </si>
  <si>
    <t>Benzylpenicillin PGL 32 (30 testu)</t>
  </si>
  <si>
    <t>DA778</t>
  </si>
  <si>
    <t>VANCOMICINA VA 256 (30 testů)</t>
  </si>
  <si>
    <t>DC657</t>
  </si>
  <si>
    <t>Binax NOW - PBP 2a Culture Colony test</t>
  </si>
  <si>
    <t>DF919</t>
  </si>
  <si>
    <t>SERODIA TP-PA (Gali)</t>
  </si>
  <si>
    <t>DE559</t>
  </si>
  <si>
    <t>CARBA set</t>
  </si>
  <si>
    <t>DC168</t>
  </si>
  <si>
    <t>H.INFLUENZAE B</t>
  </si>
  <si>
    <t>DE768</t>
  </si>
  <si>
    <t>Trichrom (100ml)</t>
  </si>
  <si>
    <t>DA149</t>
  </si>
  <si>
    <t>Liaison XL-Control HAV IgM</t>
  </si>
  <si>
    <t>DA194</t>
  </si>
  <si>
    <t>Liaison XL-Control-Anti-HBe</t>
  </si>
  <si>
    <t>DH524</t>
  </si>
  <si>
    <t>Anti-Hepatitis E Virus ELISA IgM</t>
  </si>
  <si>
    <t>DH523</t>
  </si>
  <si>
    <t>Anti-Hepatitis E Virus ELISA IgG</t>
  </si>
  <si>
    <t>DH527</t>
  </si>
  <si>
    <t>TIGECYCLINE   15 ug (bal.=4x50)</t>
  </si>
  <si>
    <t>DC540</t>
  </si>
  <si>
    <t>Linezolid 10ug (balení 4x50</t>
  </si>
  <si>
    <t>DF477</t>
  </si>
  <si>
    <t>E.coli 0128</t>
  </si>
  <si>
    <t>DC164</t>
  </si>
  <si>
    <t>ATB ID 32 C</t>
  </si>
  <si>
    <t>DA089</t>
  </si>
  <si>
    <t>Liaison controls MCP-IgG</t>
  </si>
  <si>
    <t>DC904</t>
  </si>
  <si>
    <t>TB COLOR KARBOL-FUCHSIN 2,5 l</t>
  </si>
  <si>
    <t>DB099</t>
  </si>
  <si>
    <t>Immutrep-RPR (500t)</t>
  </si>
  <si>
    <t>DF770</t>
  </si>
  <si>
    <t>GeneProof Chlamydia trachomatis PCR kit</t>
  </si>
  <si>
    <t>DB199</t>
  </si>
  <si>
    <t>vankomycin 5ug</t>
  </si>
  <si>
    <t>DA688</t>
  </si>
  <si>
    <t>Ampicillin (2ug), 200 ks</t>
  </si>
  <si>
    <t>DG700</t>
  </si>
  <si>
    <t>Francisella tularensis 50 vyšetř.</t>
  </si>
  <si>
    <t>DF794</t>
  </si>
  <si>
    <t>E Coli mixture I+II+III</t>
  </si>
  <si>
    <t>DF612</t>
  </si>
  <si>
    <t>IMMUNOQUICK S. Pneumoniae (moč, likvor)</t>
  </si>
  <si>
    <t>DH546</t>
  </si>
  <si>
    <t>Allplex™ Respiratory Panel 1</t>
  </si>
  <si>
    <t>DA594</t>
  </si>
  <si>
    <t>Aztreonam 50mg</t>
  </si>
  <si>
    <t>DC891</t>
  </si>
  <si>
    <t>Gentamycin (10ug) 200ks</t>
  </si>
  <si>
    <t>DC740</t>
  </si>
  <si>
    <t>Liaison Borrelia IgG control</t>
  </si>
  <si>
    <t>DA748</t>
  </si>
  <si>
    <t>Ciprofloxacin CI32 (30 testů)</t>
  </si>
  <si>
    <t>DB974</t>
  </si>
  <si>
    <t>croBEE 201A Nucleaic Acid Extraction Kit</t>
  </si>
  <si>
    <t>DF154</t>
  </si>
  <si>
    <t>Colorex VRE</t>
  </si>
  <si>
    <t>DA193</t>
  </si>
  <si>
    <t>Liaison XL-Control-HBeAg</t>
  </si>
  <si>
    <t>DA160</t>
  </si>
  <si>
    <t>Sabouraud Dextrose agar s CMP (šikmý)</t>
  </si>
  <si>
    <t>DC754</t>
  </si>
  <si>
    <t>SIRAN ZINECNATY 7H2O P.A.</t>
  </si>
  <si>
    <t>DB198</t>
  </si>
  <si>
    <t>Piperacilin + tazobaktam 30ug+6ug</t>
  </si>
  <si>
    <t>DH665</t>
  </si>
  <si>
    <t>Brillance VRE agar</t>
  </si>
  <si>
    <t>DC269</t>
  </si>
  <si>
    <t>CEFTAZIDIME</t>
  </si>
  <si>
    <t>DB722</t>
  </si>
  <si>
    <t>Ampicillin (10ug), 200 ks</t>
  </si>
  <si>
    <t>DF392</t>
  </si>
  <si>
    <t>Geneproof Aspergillus Sample Pretreatment set</t>
  </si>
  <si>
    <t>DE760</t>
  </si>
  <si>
    <t>Ofloxacin</t>
  </si>
  <si>
    <t>DE201</t>
  </si>
  <si>
    <t>Geneproof Aspergilus PCR kit</t>
  </si>
  <si>
    <t>DB611</t>
  </si>
  <si>
    <t>ITEST NOVOBIOCIN</t>
  </si>
  <si>
    <t>DA161</t>
  </si>
  <si>
    <t>Sabouraud Dextrose agar s CMP a CHM (šikmý)</t>
  </si>
  <si>
    <t>DH743</t>
  </si>
  <si>
    <t>Alere BinaxNOW Legionella Urinary Antigen</t>
  </si>
  <si>
    <t>DA969</t>
  </si>
  <si>
    <t>ONP TEST diagnostics</t>
  </si>
  <si>
    <t>DE620</t>
  </si>
  <si>
    <t>Cefepime 30ug</t>
  </si>
  <si>
    <t>DC988</t>
  </si>
  <si>
    <t>AZTREONAM 30 MCG, 4x50</t>
  </si>
  <si>
    <t>DF761</t>
  </si>
  <si>
    <t>2-Propanol, CHROMASOLV, for HPLC 99,9%</t>
  </si>
  <si>
    <t>DF803</t>
  </si>
  <si>
    <t>Monovalent E Coli (0119:B14)</t>
  </si>
  <si>
    <t>DD852</t>
  </si>
  <si>
    <t>Meropenem 4x50</t>
  </si>
  <si>
    <t>DB196</t>
  </si>
  <si>
    <t>Furantoin 100ug</t>
  </si>
  <si>
    <t>DF691</t>
  </si>
  <si>
    <t>anti - Salmonella O:4</t>
  </si>
  <si>
    <t>DG328</t>
  </si>
  <si>
    <t>Anti-Salmonella O 5</t>
  </si>
  <si>
    <t>DG329</t>
  </si>
  <si>
    <t>Anti-Salmonella O 7</t>
  </si>
  <si>
    <t>DH172</t>
  </si>
  <si>
    <t>Salmonella y</t>
  </si>
  <si>
    <t>DF942</t>
  </si>
  <si>
    <t>Aglutin. sérum Salmonella H:d</t>
  </si>
  <si>
    <t>DH171</t>
  </si>
  <si>
    <t>Salmonella k</t>
  </si>
  <si>
    <t>DA497</t>
  </si>
  <si>
    <t>S.SALMO ANTI H:i</t>
  </si>
  <si>
    <t>DH170</t>
  </si>
  <si>
    <t>Salmonella (mix eh+ enx)</t>
  </si>
  <si>
    <t>DA144</t>
  </si>
  <si>
    <t>Yersinia Polyvalent Antiserum 03 (2 ml)</t>
  </si>
  <si>
    <t>DF426</t>
  </si>
  <si>
    <t>S.SALMO ANTI H 7</t>
  </si>
  <si>
    <t>DC033</t>
  </si>
  <si>
    <t>AMOXI/CLAV 2/1XL 0,016-256ug/ml</t>
  </si>
  <si>
    <t>DH682</t>
  </si>
  <si>
    <t>Laison XL Murex control anti- HBS</t>
  </si>
  <si>
    <t>DC817</t>
  </si>
  <si>
    <t>Cefotaxime CTL 32</t>
  </si>
  <si>
    <t>DG643</t>
  </si>
  <si>
    <t>Bordetella parapertusis</t>
  </si>
  <si>
    <t>DD901</t>
  </si>
  <si>
    <t>Safranin O 100g</t>
  </si>
  <si>
    <t>DH681</t>
  </si>
  <si>
    <t>Laison XL  Murex anti-HBS</t>
  </si>
  <si>
    <t>DC190</t>
  </si>
  <si>
    <t>Liaison Wash/System liquid</t>
  </si>
  <si>
    <t>DG379</t>
  </si>
  <si>
    <t>Doprava 21%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</si>
  <si>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</si>
  <si>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</si>
  <si>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</si>
  <si>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</si>
  <si>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</si>
  <si>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</si>
  <si>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</si>
  <si>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</si>
  <si>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</si>
  <si>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</si>
  <si>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</si>
  <si>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</si>
  <si>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</si>
  <si>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</si>
  <si>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</si>
  <si>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</si>
  <si>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</si>
  <si>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</si>
  <si>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 xml:space="preserve"> 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</si>
  <si>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</si>
  <si>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</si>
  <si>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</si>
  <si>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</si>
  <si>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</si>
  <si>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</si>
  <si>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</si>
  <si>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</si>
  <si>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</si>
  <si>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</si>
  <si>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</si>
  <si>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</si>
  <si>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</si>
  <si>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</si>
  <si>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</si>
  <si>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</si>
  <si>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</si>
  <si>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</si>
  <si>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</si>
  <si>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</si>
  <si>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</si>
  <si>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</si>
  <si>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</si>
  <si>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</si>
  <si>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</si>
  <si>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</si>
  <si>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</si>
  <si>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</si>
  <si>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</si>
  <si>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</si>
  <si>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</si>
  <si>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</si>
  <si>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</si>
  <si>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</si>
  <si>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</si>
  <si>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</si>
  <si>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</si>
  <si>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</si>
  <si>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</si>
  <si>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</si>
  <si>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</si>
  <si>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</si>
  <si>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</si>
  <si>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</si>
  <si>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</si>
  <si>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</si>
  <si>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</si>
  <si>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</si>
  <si>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</si>
  <si>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</si>
  <si>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</si>
  <si>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</si>
  <si>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</si>
  <si>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</si>
  <si>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</si>
  <si>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</si>
  <si>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</si>
  <si>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</si>
  <si>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</si>
  <si>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</si>
  <si>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</si>
  <si>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</si>
  <si>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</si>
  <si>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</si>
  <si>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</si>
  <si>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</si>
  <si>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</si>
  <si>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</si>
  <si>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</si>
  <si>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</si>
  <si>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</si>
  <si>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</si>
  <si>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</si>
  <si>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</si>
  <si>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</si>
  <si>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</si>
  <si>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</si>
  <si>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</si>
  <si>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</si>
  <si>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</si>
  <si>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</si>
  <si>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</si>
  <si>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</si>
  <si>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</si>
  <si>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</si>
  <si>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</si>
  <si>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</si>
  <si>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</si>
  <si>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</si>
  <si>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</si>
  <si>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</si>
  <si>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</si>
  <si>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</si>
  <si>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</si>
  <si>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</si>
  <si>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</si>
  <si>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</si>
  <si>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</si>
  <si>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</si>
  <si>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</si>
  <si>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</si>
  <si>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</si>
  <si>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</si>
  <si>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</si>
  <si>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</si>
  <si>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</si>
  <si>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</si>
  <si>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</si>
  <si>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</si>
  <si>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</si>
  <si>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</si>
  <si>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</si>
  <si>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</si>
  <si>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</si>
  <si>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</si>
  <si>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82053</t>
  </si>
  <si>
    <t>MIKROSKOPICKÉ VYŠETŘENÍ NATIVNÍHO PREPARÁTU</t>
  </si>
  <si>
    <t>82129</t>
  </si>
  <si>
    <t xml:space="preserve">PŘÍMÁ IDENTIFIKACE BAKTERIÁLNÍHO NEBO MYKOTICKÉHO </t>
  </si>
  <si>
    <t>84015</t>
  </si>
  <si>
    <t>VYŠETŘENÍ STOLICE NA KRYPTOSPORIDIÓZU</t>
  </si>
  <si>
    <t>82036</t>
  </si>
  <si>
    <t>82034</t>
  </si>
  <si>
    <t>82040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</si>
  <si>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</si>
  <si>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lékaře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</si>
  <si>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</si>
  <si>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</si>
  <si>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</si>
  <si>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</si>
  <si>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</si>
  <si>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</si>
  <si>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</si>
  <si>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</si>
  <si>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</si>
  <si>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</si>
  <si>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</si>
  <si>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</si>
  <si>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</si>
  <si>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</si>
  <si>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</si>
  <si>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</si>
  <si>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</si>
  <si>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</si>
  <si>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</si>
  <si>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</si>
  <si>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</si>
  <si>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</si>
  <si>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</si>
  <si>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</si>
  <si>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</si>
  <si>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</si>
  <si>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</si>
  <si>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</si>
  <si>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</si>
  <si>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</si>
  <si>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</si>
  <si>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</si>
  <si>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</si>
  <si>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</si>
  <si>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</si>
  <si>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</si>
  <si>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</si>
  <si>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82033</t>
  </si>
  <si>
    <t>KONTROLA STERILITY KLINICKÉHO VZORKU</t>
  </si>
  <si>
    <t>12</t>
  </si>
  <si>
    <t>13</t>
  </si>
  <si>
    <t>14</t>
  </si>
  <si>
    <t>84021</t>
  </si>
  <si>
    <t>PROTOZOOLOGICKÉ KULTIVAČNÍ VYŠETŘENÍ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</si>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</sst>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78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5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4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3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4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51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3" fontId="0" fillId="7" borderId="64" xfId="0" applyNumberFormat="1" applyFont="1" applyFill="1" applyBorder="1"/>
    <xf numFmtId="3" fontId="53" fillId="8" borderId="65" xfId="0" applyNumberFormat="1" applyFont="1" applyFill="1" applyBorder="1"/>
    <xf numFmtId="3" fontId="53" fillId="8" borderId="6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8" xfId="0" applyNumberFormat="1" applyFont="1" applyFill="1" applyBorder="1" applyAlignment="1">
      <alignment horizontal="center" vertical="center"/>
    </xf>
    <xf numFmtId="0" fontId="39" fillId="2" borderId="69" xfId="0" applyFont="1" applyFill="1" applyBorder="1" applyAlignment="1">
      <alignment horizontal="center" vertical="center"/>
    </xf>
    <xf numFmtId="3" fontId="55" fillId="2" borderId="71" xfId="0" applyNumberFormat="1" applyFont="1" applyFill="1" applyBorder="1" applyAlignment="1">
      <alignment horizontal="center" vertical="center" wrapText="1"/>
    </xf>
    <xf numFmtId="0" fontId="55" fillId="2" borderId="72" xfId="0" applyFont="1" applyFill="1" applyBorder="1" applyAlignment="1">
      <alignment horizontal="center" vertical="center" wrapText="1"/>
    </xf>
    <xf numFmtId="0" fontId="39" fillId="2" borderId="74" xfId="0" applyFont="1" applyFill="1" applyBorder="1" applyAlignment="1"/>
    <xf numFmtId="0" fontId="39" fillId="2" borderId="76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4" xfId="0" applyFont="1" applyFill="1" applyBorder="1" applyAlignment="1"/>
    <xf numFmtId="0" fontId="39" fillId="4" borderId="76" xfId="0" applyFont="1" applyFill="1" applyBorder="1" applyAlignment="1">
      <alignment horizontal="left" indent="1"/>
    </xf>
    <xf numFmtId="0" fontId="39" fillId="4" borderId="87" xfId="0" applyFont="1" applyFill="1" applyBorder="1" applyAlignment="1">
      <alignment horizontal="left" indent="1"/>
    </xf>
    <xf numFmtId="0" fontId="32" fillId="2" borderId="76" xfId="0" quotePrefix="1" applyFont="1" applyFill="1" applyBorder="1" applyAlignment="1">
      <alignment horizontal="left" indent="2"/>
    </xf>
    <xf numFmtId="0" fontId="32" fillId="2" borderId="82" xfId="0" quotePrefix="1" applyFont="1" applyFill="1" applyBorder="1" applyAlignment="1">
      <alignment horizontal="left" indent="2"/>
    </xf>
    <xf numFmtId="0" fontId="39" fillId="2" borderId="74" xfId="0" applyFont="1" applyFill="1" applyBorder="1" applyAlignment="1">
      <alignment horizontal="left" indent="1"/>
    </xf>
    <xf numFmtId="0" fontId="39" fillId="2" borderId="87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0" borderId="92" xfId="0" applyFont="1" applyBorder="1"/>
    <xf numFmtId="3" fontId="32" fillId="0" borderId="92" xfId="0" applyNumberFormat="1" applyFont="1" applyBorder="1"/>
    <xf numFmtId="0" fontId="39" fillId="4" borderId="66" xfId="0" applyFont="1" applyFill="1" applyBorder="1" applyAlignment="1">
      <alignment horizontal="center" vertical="center"/>
    </xf>
    <xf numFmtId="0" fontId="39" fillId="4" borderId="55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91" xfId="0" applyNumberFormat="1" applyFont="1" applyFill="1" applyBorder="1" applyAlignment="1">
      <alignment horizontal="center" vertical="center"/>
    </xf>
    <xf numFmtId="3" fontId="55" fillId="2" borderId="89" xfId="0" applyNumberFormat="1" applyFont="1" applyFill="1" applyBorder="1" applyAlignment="1">
      <alignment horizontal="center" vertical="center" wrapText="1"/>
    </xf>
    <xf numFmtId="173" fontId="39" fillId="4" borderId="75" xfId="0" applyNumberFormat="1" applyFont="1" applyFill="1" applyBorder="1" applyAlignment="1"/>
    <xf numFmtId="173" fontId="39" fillId="4" borderId="68" xfId="0" applyNumberFormat="1" applyFont="1" applyFill="1" applyBorder="1" applyAlignment="1"/>
    <xf numFmtId="173" fontId="39" fillId="4" borderId="69" xfId="0" applyNumberFormat="1" applyFont="1" applyFill="1" applyBorder="1" applyAlignment="1"/>
    <xf numFmtId="173" fontId="39" fillId="0" borderId="77" xfId="0" applyNumberFormat="1" applyFont="1" applyBorder="1"/>
    <xf numFmtId="173" fontId="32" fillId="0" borderId="81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88" xfId="0" applyNumberFormat="1" applyFont="1" applyBorder="1"/>
    <xf numFmtId="173" fontId="32" fillId="0" borderId="89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2" borderId="90" xfId="0" applyNumberFormat="1" applyFont="1" applyFill="1" applyBorder="1" applyAlignment="1"/>
    <xf numFmtId="173" fontId="39" fillId="2" borderId="68" xfId="0" applyNumberFormat="1" applyFont="1" applyFill="1" applyBorder="1" applyAlignment="1"/>
    <xf numFmtId="173" fontId="39" fillId="2" borderId="69" xfId="0" applyNumberFormat="1" applyFont="1" applyFill="1" applyBorder="1" applyAlignment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85" xfId="0" applyNumberFormat="1" applyFont="1" applyBorder="1"/>
    <xf numFmtId="173" fontId="39" fillId="0" borderId="75" xfId="0" applyNumberFormat="1" applyFont="1" applyBorder="1"/>
    <xf numFmtId="173" fontId="32" fillId="0" borderId="91" xfId="0" applyNumberFormat="1" applyFont="1" applyBorder="1"/>
    <xf numFmtId="173" fontId="32" fillId="0" borderId="69" xfId="0" applyNumberFormat="1" applyFont="1" applyBorder="1"/>
    <xf numFmtId="174" fontId="39" fillId="2" borderId="75" xfId="0" applyNumberFormat="1" applyFont="1" applyFill="1" applyBorder="1" applyAlignment="1"/>
    <xf numFmtId="174" fontId="32" fillId="2" borderId="68" xfId="0" applyNumberFormat="1" applyFont="1" applyFill="1" applyBorder="1" applyAlignment="1"/>
    <xf numFmtId="174" fontId="32" fillId="2" borderId="69" xfId="0" applyNumberFormat="1" applyFont="1" applyFill="1" applyBorder="1" applyAlignment="1"/>
    <xf numFmtId="174" fontId="39" fillId="0" borderId="77" xfId="0" applyNumberFormat="1" applyFont="1" applyBorder="1"/>
    <xf numFmtId="174" fontId="32" fillId="0" borderId="78" xfId="0" applyNumberFormat="1" applyFont="1" applyBorder="1"/>
    <xf numFmtId="174" fontId="32" fillId="0" borderId="79" xfId="0" applyNumberFormat="1" applyFont="1" applyBorder="1"/>
    <xf numFmtId="174" fontId="32" fillId="0" borderId="81" xfId="0" applyNumberFormat="1" applyFont="1" applyBorder="1"/>
    <xf numFmtId="174" fontId="39" fillId="0" borderId="83" xfId="0" applyNumberFormat="1" applyFont="1" applyBorder="1"/>
    <xf numFmtId="174" fontId="32" fillId="0" borderId="84" xfId="0" applyNumberFormat="1" applyFont="1" applyBorder="1"/>
    <xf numFmtId="174" fontId="32" fillId="0" borderId="85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5" xfId="0" applyNumberFormat="1" applyFont="1" applyFill="1" applyBorder="1" applyAlignment="1">
      <alignment horizontal="center"/>
    </xf>
    <xf numFmtId="175" fontId="39" fillId="0" borderId="83" xfId="0" applyNumberFormat="1" applyFont="1" applyBorder="1"/>
    <xf numFmtId="0" fontId="31" fillId="2" borderId="98" xfId="74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80" xfId="0" applyFont="1" applyFill="1" applyBorder="1"/>
    <xf numFmtId="0" fontId="32" fillId="0" borderId="81" xfId="0" applyFont="1" applyBorder="1" applyAlignment="1"/>
    <xf numFmtId="9" fontId="32" fillId="0" borderId="79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7" xfId="0" applyNumberFormat="1" applyFont="1" applyBorder="1"/>
    <xf numFmtId="9" fontId="32" fillId="0" borderId="81" xfId="0" applyNumberFormat="1" applyFont="1" applyBorder="1"/>
    <xf numFmtId="9" fontId="32" fillId="0" borderId="79" xfId="0" applyNumberFormat="1" applyFont="1" applyBorder="1"/>
    <xf numFmtId="9" fontId="32" fillId="0" borderId="80" xfId="0" applyNumberFormat="1" applyFont="1" applyBorder="1"/>
    <xf numFmtId="0" fontId="55" fillId="2" borderId="89" xfId="0" applyFont="1" applyFill="1" applyBorder="1" applyAlignment="1">
      <alignment horizontal="center" vertical="center" wrapText="1"/>
    </xf>
    <xf numFmtId="174" fontId="32" fillId="2" borderId="91" xfId="0" applyNumberFormat="1" applyFont="1" applyFill="1" applyBorder="1" applyAlignment="1"/>
    <xf numFmtId="173" fontId="39" fillId="4" borderId="91" xfId="0" applyNumberFormat="1" applyFont="1" applyFill="1" applyBorder="1" applyAlignment="1"/>
    <xf numFmtId="173" fontId="39" fillId="2" borderId="91" xfId="0" applyNumberFormat="1" applyFont="1" applyFill="1" applyBorder="1" applyAlignment="1"/>
    <xf numFmtId="49" fontId="37" fillId="2" borderId="79" xfId="0" quotePrefix="1" applyNumberFormat="1" applyFont="1" applyFill="1" applyBorder="1" applyAlignment="1">
      <alignment horizontal="center" vertical="center"/>
    </xf>
    <xf numFmtId="0" fontId="25" fillId="4" borderId="76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8" xfId="0" applyFont="1" applyBorder="1"/>
    <xf numFmtId="0" fontId="31" fillId="2" borderId="66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3" fontId="39" fillId="2" borderId="69" xfId="0" applyNumberFormat="1" applyFont="1" applyFill="1" applyBorder="1" applyAlignment="1">
      <alignment horizontal="center" vertical="center"/>
    </xf>
    <xf numFmtId="3" fontId="55" fillId="2" borderId="72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1" fillId="2" borderId="24" xfId="74" applyFont="1" applyFill="1" applyBorder="1" applyAlignment="1">
      <alignment horizontal="center"/>
    </xf>
    <xf numFmtId="0" fontId="6" fillId="0" borderId="2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2" xfId="81" applyFont="1" applyFill="1" applyBorder="1" applyAlignment="1">
      <alignment horizontal="center"/>
    </xf>
    <xf numFmtId="0" fontId="31" fillId="2" borderId="43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98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7" xfId="81" applyFont="1" applyFill="1" applyBorder="1" applyAlignment="1">
      <alignment horizontal="center"/>
    </xf>
    <xf numFmtId="0" fontId="31" fillId="2" borderId="8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4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5" xfId="0" applyNumberFormat="1" applyFont="1" applyFill="1" applyBorder="1" applyAlignment="1">
      <alignment horizontal="left"/>
    </xf>
    <xf numFmtId="9" fontId="3" fillId="2" borderId="101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100" xfId="80" applyNumberFormat="1" applyFont="1" applyFill="1" applyBorder="1" applyAlignment="1">
      <alignment horizontal="left"/>
    </xf>
    <xf numFmtId="3" fontId="3" fillId="2" borderId="90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7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92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99" xfId="26" applyNumberFormat="1" applyFont="1" applyFill="1" applyBorder="1" applyAlignment="1">
      <alignment horizontal="center"/>
    </xf>
    <xf numFmtId="3" fontId="31" fillId="2" borderId="67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6" xfId="0" applyNumberFormat="1" applyFont="1" applyFill="1" applyBorder="1" applyAlignment="1">
      <alignment horizontal="center" vertical="top"/>
    </xf>
    <xf numFmtId="0" fontId="31" fillId="2" borderId="66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9" borderId="105" xfId="0" applyNumberFormat="1" applyFont="1" applyFill="1" applyBorder="1" applyAlignment="1">
      <alignment horizontal="right" vertical="top"/>
    </xf>
    <xf numFmtId="3" fontId="33" fillId="9" borderId="106" xfId="0" applyNumberFormat="1" applyFont="1" applyFill="1" applyBorder="1" applyAlignment="1">
      <alignment horizontal="right" vertical="top"/>
    </xf>
    <xf numFmtId="176" fontId="33" fillId="9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6" fontId="33" fillId="9" borderId="108" xfId="0" applyNumberFormat="1" applyFont="1" applyFill="1" applyBorder="1" applyAlignment="1">
      <alignment horizontal="right" vertical="top"/>
    </xf>
    <xf numFmtId="3" fontId="35" fillId="9" borderId="110" xfId="0" applyNumberFormat="1" applyFont="1" applyFill="1" applyBorder="1" applyAlignment="1">
      <alignment horizontal="right" vertical="top"/>
    </xf>
    <xf numFmtId="3" fontId="35" fillId="9" borderId="111" xfId="0" applyNumberFormat="1" applyFont="1" applyFill="1" applyBorder="1" applyAlignment="1">
      <alignment horizontal="right" vertical="top"/>
    </xf>
    <xf numFmtId="0" fontId="35" fillId="9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9" borderId="113" xfId="0" applyFont="1" applyFill="1" applyBorder="1" applyAlignment="1">
      <alignment horizontal="right" vertical="top"/>
    </xf>
    <xf numFmtId="0" fontId="33" fillId="9" borderId="107" xfId="0" applyFont="1" applyFill="1" applyBorder="1" applyAlignment="1">
      <alignment horizontal="right" vertical="top"/>
    </xf>
    <xf numFmtId="0" fontId="33" fillId="9" borderId="108" xfId="0" applyFont="1" applyFill="1" applyBorder="1" applyAlignment="1">
      <alignment horizontal="right" vertical="top"/>
    </xf>
    <xf numFmtId="176" fontId="35" fillId="9" borderId="112" xfId="0" applyNumberFormat="1" applyFont="1" applyFill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0" fontId="35" fillId="0" borderId="116" xfId="0" applyFont="1" applyBorder="1" applyAlignment="1">
      <alignment horizontal="right" vertical="top"/>
    </xf>
    <xf numFmtId="176" fontId="35" fillId="9" borderId="117" xfId="0" applyNumberFormat="1" applyFont="1" applyFill="1" applyBorder="1" applyAlignment="1">
      <alignment horizontal="right" vertical="top"/>
    </xf>
    <xf numFmtId="0" fontId="37" fillId="10" borderId="104" xfId="0" applyFont="1" applyFill="1" applyBorder="1" applyAlignment="1">
      <alignment vertical="top"/>
    </xf>
    <xf numFmtId="0" fontId="37" fillId="10" borderId="104" xfId="0" applyFont="1" applyFill="1" applyBorder="1" applyAlignment="1">
      <alignment vertical="top" indent="2"/>
    </xf>
    <xf numFmtId="0" fontId="37" fillId="10" borderId="104" xfId="0" applyFont="1" applyFill="1" applyBorder="1" applyAlignment="1">
      <alignment vertical="top" indent="4"/>
    </xf>
    <xf numFmtId="0" fontId="38" fillId="10" borderId="109" xfId="0" applyFont="1" applyFill="1" applyBorder="1" applyAlignment="1">
      <alignment vertical="top" indent="6"/>
    </xf>
    <xf numFmtId="0" fontId="37" fillId="10" borderId="104" xfId="0" applyFont="1" applyFill="1" applyBorder="1" applyAlignment="1">
      <alignment vertical="top" indent="8"/>
    </xf>
    <xf numFmtId="0" fontId="38" fillId="10" borderId="109" xfId="0" applyFont="1" applyFill="1" applyBorder="1" applyAlignment="1">
      <alignment vertical="top" indent="2"/>
    </xf>
    <xf numFmtId="0" fontId="37" fillId="10" borderId="104" xfId="0" applyFont="1" applyFill="1" applyBorder="1" applyAlignment="1">
      <alignment vertical="top" indent="6"/>
    </xf>
    <xf numFmtId="0" fontId="38" fillId="10" borderId="109" xfId="0" applyFont="1" applyFill="1" applyBorder="1" applyAlignment="1">
      <alignment vertical="top" indent="4"/>
    </xf>
    <xf numFmtId="0" fontId="38" fillId="10" borderId="109" xfId="0" applyFont="1" applyFill="1" applyBorder="1" applyAlignment="1">
      <alignment vertical="top"/>
    </xf>
    <xf numFmtId="0" fontId="32" fillId="10" borderId="104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8" xfId="53" applyNumberFormat="1" applyFont="1" applyFill="1" applyBorder="1" applyAlignment="1">
      <alignment horizontal="left"/>
    </xf>
    <xf numFmtId="164" fontId="31" fillId="2" borderId="119" xfId="53" applyNumberFormat="1" applyFont="1" applyFill="1" applyBorder="1" applyAlignment="1">
      <alignment horizontal="left"/>
    </xf>
    <xf numFmtId="164" fontId="31" fillId="2" borderId="52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19" xfId="0" applyNumberFormat="1" applyFont="1" applyFill="1" applyBorder="1"/>
    <xf numFmtId="3" fontId="32" fillId="0" borderId="120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2" fillId="0" borderId="78" xfId="0" applyFont="1" applyFill="1" applyBorder="1"/>
    <xf numFmtId="0" fontId="32" fillId="0" borderId="79" xfId="0" applyFont="1" applyFill="1" applyBorder="1"/>
    <xf numFmtId="164" fontId="32" fillId="0" borderId="79" xfId="0" applyNumberFormat="1" applyFont="1" applyFill="1" applyBorder="1"/>
    <xf numFmtId="164" fontId="32" fillId="0" borderId="79" xfId="0" applyNumberFormat="1" applyFont="1" applyFill="1" applyBorder="1" applyAlignment="1">
      <alignment horizontal="right"/>
    </xf>
    <xf numFmtId="3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9" fillId="2" borderId="118" xfId="0" applyFont="1" applyFill="1" applyBorder="1"/>
    <xf numFmtId="3" fontId="39" fillId="2" borderId="102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19" xfId="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8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9" xfId="0" applyNumberFormat="1" applyFont="1" applyFill="1" applyBorder="1"/>
    <xf numFmtId="3" fontId="32" fillId="0" borderId="85" xfId="0" applyNumberFormat="1" applyFont="1" applyFill="1" applyBorder="1"/>
    <xf numFmtId="9" fontId="32" fillId="0" borderId="85" xfId="0" applyNumberFormat="1" applyFont="1" applyFill="1" applyBorder="1"/>
    <xf numFmtId="3" fontId="32" fillId="0" borderId="86" xfId="0" applyNumberFormat="1" applyFont="1" applyFill="1" applyBorder="1"/>
    <xf numFmtId="0" fontId="39" fillId="0" borderId="68" xfId="0" applyFont="1" applyFill="1" applyBorder="1"/>
    <xf numFmtId="0" fontId="39" fillId="0" borderId="103" xfId="0" applyFont="1" applyFill="1" applyBorder="1"/>
    <xf numFmtId="0" fontId="39" fillId="2" borderId="119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8" xfId="79" applyFont="1" applyFill="1" applyBorder="1" applyAlignment="1">
      <alignment horizontal="left"/>
    </xf>
    <xf numFmtId="3" fontId="3" fillId="2" borderId="85" xfId="80" applyNumberFormat="1" applyFont="1" applyFill="1" applyBorder="1"/>
    <xf numFmtId="3" fontId="3" fillId="2" borderId="86" xfId="80" applyNumberFormat="1" applyFont="1" applyFill="1" applyBorder="1"/>
    <xf numFmtId="9" fontId="3" fillId="2" borderId="84" xfId="80" applyNumberFormat="1" applyFont="1" applyFill="1" applyBorder="1"/>
    <xf numFmtId="9" fontId="3" fillId="2" borderId="85" xfId="80" applyNumberFormat="1" applyFont="1" applyFill="1" applyBorder="1"/>
    <xf numFmtId="9" fontId="3" fillId="2" borderId="86" xfId="80" applyNumberFormat="1" applyFont="1" applyFill="1" applyBorder="1"/>
    <xf numFmtId="9" fontId="32" fillId="0" borderId="70" xfId="0" applyNumberFormat="1" applyFont="1" applyFill="1" applyBorder="1"/>
    <xf numFmtId="9" fontId="32" fillId="0" borderId="73" xfId="0" applyNumberFormat="1" applyFont="1" applyFill="1" applyBorder="1"/>
    <xf numFmtId="0" fontId="39" fillId="0" borderId="98" xfId="0" applyFont="1" applyFill="1" applyBorder="1"/>
    <xf numFmtId="0" fontId="39" fillId="0" borderId="97" xfId="0" applyFont="1" applyFill="1" applyBorder="1" applyAlignment="1">
      <alignment horizontal="left" indent="1"/>
    </xf>
    <xf numFmtId="9" fontId="32" fillId="0" borderId="91" xfId="0" applyNumberFormat="1" applyFont="1" applyFill="1" applyBorder="1"/>
    <xf numFmtId="9" fontId="32" fillId="0" borderId="89" xfId="0" applyNumberFormat="1" applyFont="1" applyFill="1" applyBorder="1"/>
    <xf numFmtId="3" fontId="32" fillId="0" borderId="68" xfId="0" applyNumberFormat="1" applyFont="1" applyFill="1" applyBorder="1"/>
    <xf numFmtId="3" fontId="32" fillId="0" borderId="71" xfId="0" applyNumberFormat="1" applyFont="1" applyFill="1" applyBorder="1"/>
    <xf numFmtId="9" fontId="32" fillId="0" borderId="95" xfId="0" applyNumberFormat="1" applyFont="1" applyFill="1" applyBorder="1"/>
    <xf numFmtId="9" fontId="32" fillId="0" borderId="94" xfId="0" applyNumberFormat="1" applyFont="1" applyFill="1" applyBorder="1"/>
    <xf numFmtId="0" fontId="0" fillId="0" borderId="121" xfId="0" applyBorder="1" applyAlignment="1">
      <alignment horizontal="center"/>
    </xf>
    <xf numFmtId="0" fontId="0" fillId="0" borderId="122" xfId="0" applyBorder="1" applyAlignment="1">
      <alignment horizontal="center"/>
    </xf>
    <xf numFmtId="173" fontId="39" fillId="4" borderId="122" xfId="0" applyNumberFormat="1" applyFont="1" applyFill="1" applyBorder="1" applyAlignment="1">
      <alignment horizontal="center"/>
    </xf>
    <xf numFmtId="0" fontId="0" fillId="0" borderId="122" xfId="0" applyBorder="1" applyAlignment="1"/>
    <xf numFmtId="0" fontId="0" fillId="0" borderId="123" xfId="0" applyBorder="1" applyAlignment="1">
      <alignment horizontal="right"/>
    </xf>
    <xf numFmtId="0" fontId="0" fillId="0" borderId="124" xfId="0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173" fontId="32" fillId="0" borderId="124" xfId="0" applyNumberFormat="1" applyFont="1" applyBorder="1" applyAlignment="1">
      <alignment horizontal="right" wrapText="1"/>
    </xf>
    <xf numFmtId="0" fontId="0" fillId="0" borderId="124" xfId="0" applyBorder="1" applyAlignment="1">
      <alignment horizontal="right" wrapText="1"/>
    </xf>
    <xf numFmtId="175" fontId="32" fillId="0" borderId="124" xfId="0" applyNumberFormat="1" applyFont="1" applyBorder="1" applyAlignment="1">
      <alignment horizontal="right"/>
    </xf>
    <xf numFmtId="0" fontId="0" fillId="0" borderId="125" xfId="0" applyBorder="1" applyAlignment="1">
      <alignment horizontal="right"/>
    </xf>
    <xf numFmtId="0" fontId="0" fillId="0" borderId="126" xfId="0" applyBorder="1" applyAlignment="1">
      <alignment horizontal="right"/>
    </xf>
    <xf numFmtId="173" fontId="32" fillId="0" borderId="126" xfId="0" applyNumberFormat="1" applyFont="1" applyBorder="1" applyAlignment="1">
      <alignment horizontal="right"/>
    </xf>
    <xf numFmtId="0" fontId="39" fillId="2" borderId="95" xfId="0" applyFont="1" applyFill="1" applyBorder="1" applyAlignment="1">
      <alignment horizontal="center" vertical="center"/>
    </xf>
    <xf numFmtId="0" fontId="55" fillId="2" borderId="94" xfId="0" applyFont="1" applyFill="1" applyBorder="1" applyAlignment="1">
      <alignment horizontal="center" vertical="center" wrapText="1"/>
    </xf>
    <xf numFmtId="174" fontId="32" fillId="2" borderId="95" xfId="0" applyNumberFormat="1" applyFont="1" applyFill="1" applyBorder="1" applyAlignment="1"/>
    <xf numFmtId="174" fontId="32" fillId="0" borderId="93" xfId="0" applyNumberFormat="1" applyFont="1" applyBorder="1"/>
    <xf numFmtId="174" fontId="32" fillId="0" borderId="128" xfId="0" applyNumberFormat="1" applyFont="1" applyBorder="1"/>
    <xf numFmtId="173" fontId="39" fillId="4" borderId="95" xfId="0" applyNumberFormat="1" applyFont="1" applyFill="1" applyBorder="1" applyAlignment="1"/>
    <xf numFmtId="173" fontId="32" fillId="0" borderId="93" xfId="0" applyNumberFormat="1" applyFont="1" applyBorder="1"/>
    <xf numFmtId="173" fontId="32" fillId="0" borderId="94" xfId="0" applyNumberFormat="1" applyFont="1" applyBorder="1"/>
    <xf numFmtId="173" fontId="39" fillId="2" borderId="95" xfId="0" applyNumberFormat="1" applyFont="1" applyFill="1" applyBorder="1" applyAlignment="1"/>
    <xf numFmtId="173" fontId="32" fillId="0" borderId="128" xfId="0" applyNumberFormat="1" applyFont="1" applyBorder="1"/>
    <xf numFmtId="173" fontId="32" fillId="0" borderId="95" xfId="0" applyNumberFormat="1" applyFont="1" applyBorder="1"/>
    <xf numFmtId="0" fontId="0" fillId="0" borderId="129" xfId="0" applyBorder="1" applyAlignment="1">
      <alignment horizontal="center"/>
    </xf>
    <xf numFmtId="0" fontId="0" fillId="0" borderId="130" xfId="0" applyBorder="1" applyAlignment="1">
      <alignment horizontal="right"/>
    </xf>
    <xf numFmtId="0" fontId="0" fillId="0" borderId="130" xfId="0" applyBorder="1" applyAlignment="1">
      <alignment horizontal="right" wrapText="1"/>
    </xf>
    <xf numFmtId="0" fontId="0" fillId="0" borderId="131" xfId="0" applyBorder="1" applyAlignment="1">
      <alignment horizontal="right"/>
    </xf>
    <xf numFmtId="0" fontId="0" fillId="0" borderId="127" xfId="0" applyBorder="1"/>
    <xf numFmtId="173" fontId="39" fillId="4" borderId="74" xfId="0" applyNumberFormat="1" applyFont="1" applyFill="1" applyBorder="1" applyAlignment="1">
      <alignment horizontal="center"/>
    </xf>
    <xf numFmtId="173" fontId="32" fillId="0" borderId="76" xfId="0" applyNumberFormat="1" applyFont="1" applyBorder="1" applyAlignment="1">
      <alignment horizontal="right"/>
    </xf>
    <xf numFmtId="175" fontId="32" fillId="0" borderId="76" xfId="0" applyNumberFormat="1" applyFont="1" applyBorder="1" applyAlignment="1">
      <alignment horizontal="right"/>
    </xf>
    <xf numFmtId="173" fontId="32" fillId="0" borderId="87" xfId="0" applyNumberFormat="1" applyFont="1" applyBorder="1" applyAlignment="1">
      <alignment horizontal="right"/>
    </xf>
    <xf numFmtId="0" fontId="32" fillId="2" borderId="57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8" xfId="0" applyFont="1" applyFill="1" applyBorder="1" applyAlignment="1">
      <alignment horizontal="left"/>
    </xf>
    <xf numFmtId="169" fontId="59" fillId="4" borderId="69" xfId="0" applyNumberFormat="1" applyFont="1" applyFill="1" applyBorder="1"/>
    <xf numFmtId="9" fontId="59" fillId="4" borderId="69" xfId="0" applyNumberFormat="1" applyFont="1" applyFill="1" applyBorder="1"/>
    <xf numFmtId="9" fontId="59" fillId="4" borderId="70" xfId="0" applyNumberFormat="1" applyFont="1" applyFill="1" applyBorder="1"/>
    <xf numFmtId="169" fontId="0" fillId="0" borderId="72" xfId="0" applyNumberFormat="1" applyBorder="1"/>
    <xf numFmtId="9" fontId="0" fillId="0" borderId="72" xfId="0" applyNumberFormat="1" applyBorder="1"/>
    <xf numFmtId="9" fontId="0" fillId="0" borderId="73" xfId="0" applyNumberFormat="1" applyBorder="1"/>
    <xf numFmtId="0" fontId="59" fillId="0" borderId="71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6" xfId="26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169" fontId="32" fillId="0" borderId="69" xfId="0" applyNumberFormat="1" applyFont="1" applyFill="1" applyBorder="1"/>
    <xf numFmtId="169" fontId="32" fillId="0" borderId="79" xfId="0" applyNumberFormat="1" applyFont="1" applyFill="1" applyBorder="1"/>
    <xf numFmtId="9" fontId="32" fillId="0" borderId="80" xfId="0" applyNumberFormat="1" applyFont="1" applyFill="1" applyBorder="1"/>
    <xf numFmtId="169" fontId="32" fillId="0" borderId="72" xfId="0" applyNumberFormat="1" applyFont="1" applyFill="1" applyBorder="1"/>
    <xf numFmtId="0" fontId="39" fillId="0" borderId="78" xfId="0" applyFont="1" applyFill="1" applyBorder="1"/>
    <xf numFmtId="0" fontId="39" fillId="0" borderId="71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0.75726327899173185</c:v>
                </c:pt>
                <c:pt idx="1">
                  <c:v>0.76523631760327504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5012576"/>
        <c:axId val="-97501312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0.86639162004212378</c:v>
                </c:pt>
                <c:pt idx="1">
                  <c:v>0.86639162004212378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75015840"/>
        <c:axId val="-975015296"/>
      </c:scatterChart>
      <c:catAx>
        <c:axId val="-975012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975013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750131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975012576"/>
        <c:crosses val="autoZero"/>
        <c:crossBetween val="between"/>
      </c:valAx>
      <c:valAx>
        <c:axId val="-97501584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975015296"/>
        <c:crosses val="max"/>
        <c:crossBetween val="midCat"/>
      </c:valAx>
      <c:valAx>
        <c:axId val="-9750152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97501584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6"/>
  <sheetViews>
    <sheetView showGridLine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26" t="s">
        <v>95</v>
      </c>
      <c r="B1" s="326"/>
    </row>
    <row r="2" spans="1:3" ht="14.4" customHeight="1" thickBot="1" x14ac:dyDescent="0.35">
      <c r="A2" s="215" t="s">
        <v>273</v>
      </c>
      <c r="B2" s="46"/>
    </row>
    <row r="3" spans="1:3" ht="14.4" customHeight="1" thickBot="1" x14ac:dyDescent="0.35">
      <c r="A3" s="322" t="s">
        <v>125</v>
      </c>
      <c r="B3" s="323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106</v>
      </c>
      <c r="C4" s="47" t="s">
        <v>107</v>
      </c>
    </row>
    <row r="5" spans="1:3" ht="14.4" customHeight="1" x14ac:dyDescent="0.3">
      <c r="A5" s="129" t="str">
        <f t="shared" si="0"/>
        <v>HI</v>
      </c>
      <c r="B5" s="75" t="s">
        <v>122</v>
      </c>
      <c r="C5" s="47" t="s">
        <v>98</v>
      </c>
    </row>
    <row r="6" spans="1:3" ht="14.4" customHeight="1" x14ac:dyDescent="0.3">
      <c r="A6" s="130" t="str">
        <f t="shared" si="0"/>
        <v>HI Graf</v>
      </c>
      <c r="B6" s="76" t="s">
        <v>91</v>
      </c>
      <c r="C6" s="47" t="s">
        <v>99</v>
      </c>
    </row>
    <row r="7" spans="1:3" ht="14.4" customHeight="1" x14ac:dyDescent="0.3">
      <c r="A7" s="130" t="str">
        <f t="shared" si="0"/>
        <v>Man Tab</v>
      </c>
      <c r="B7" s="76" t="s">
        <v>275</v>
      </c>
      <c r="C7" s="47" t="s">
        <v>100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24" t="s">
        <v>96</v>
      </c>
      <c r="B10" s="323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123</v>
      </c>
      <c r="C11" s="47" t="s">
        <v>101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142</v>
      </c>
      <c r="C12" s="47" t="s">
        <v>102</v>
      </c>
    </row>
    <row r="13" spans="1:3" ht="28.8" customHeight="1" x14ac:dyDescent="0.3">
      <c r="A13" s="130" t="str">
        <f t="shared" si="2"/>
        <v>LŽ PL</v>
      </c>
      <c r="B13" s="477" t="s">
        <v>143</v>
      </c>
      <c r="C13" s="47" t="s">
        <v>129</v>
      </c>
    </row>
    <row r="14" spans="1:3" ht="14.4" customHeight="1" x14ac:dyDescent="0.3">
      <c r="A14" s="130" t="str">
        <f t="shared" si="2"/>
        <v>LŽ PL Detail</v>
      </c>
      <c r="B14" s="76" t="s">
        <v>483</v>
      </c>
      <c r="C14" s="47" t="s">
        <v>130</v>
      </c>
    </row>
    <row r="15" spans="1:3" ht="14.4" customHeight="1" x14ac:dyDescent="0.3">
      <c r="A15" s="130" t="str">
        <f t="shared" si="2"/>
        <v>LŽ Statim</v>
      </c>
      <c r="B15" s="291" t="s">
        <v>213</v>
      </c>
      <c r="C15" s="47" t="s">
        <v>223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124</v>
      </c>
      <c r="C16" s="47" t="s">
        <v>103</v>
      </c>
    </row>
    <row r="17" spans="1:3" ht="14.4" customHeight="1" x14ac:dyDescent="0.3">
      <c r="A17" s="130" t="str">
        <f t="shared" si="2"/>
        <v>MŽ Detail</v>
      </c>
      <c r="B17" s="76" t="s">
        <v>1016</v>
      </c>
      <c r="C17" s="47" t="s">
        <v>104</v>
      </c>
    </row>
    <row r="18" spans="1:3" ht="14.4" customHeight="1" thickBot="1" x14ac:dyDescent="0.35">
      <c r="A18" s="132" t="str">
        <f t="shared" si="2"/>
        <v>Osobní náklady</v>
      </c>
      <c r="B18" s="76" t="s">
        <v>93</v>
      </c>
      <c r="C18" s="47" t="s">
        <v>105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25" t="s">
        <v>97</v>
      </c>
      <c r="B20" s="323"/>
    </row>
    <row r="21" spans="1:3" ht="14.4" customHeight="1" x14ac:dyDescent="0.3">
      <c r="A21" s="133" t="str">
        <f t="shared" ref="A21:A26" si="4">HYPERLINK("#'"&amp;C21&amp;"'!A1",C21)</f>
        <v>ZV Vykáz.-A</v>
      </c>
      <c r="B21" s="75" t="s">
        <v>1020</v>
      </c>
      <c r="C21" s="47" t="s">
        <v>108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1026</v>
      </c>
      <c r="C22" s="47" t="s">
        <v>226</v>
      </c>
    </row>
    <row r="23" spans="1:3" ht="14.4" customHeight="1" x14ac:dyDescent="0.3">
      <c r="A23" s="130" t="str">
        <f t="shared" si="4"/>
        <v>ZV Vykáz.-A Detail</v>
      </c>
      <c r="B23" s="76" t="s">
        <v>1147</v>
      </c>
      <c r="C23" s="47" t="s">
        <v>109</v>
      </c>
    </row>
    <row r="24" spans="1:3" ht="14.4" customHeight="1" x14ac:dyDescent="0.3">
      <c r="A24" s="312" t="str">
        <f>HYPERLINK("#'"&amp;C24&amp;"'!A1",C24)</f>
        <v>ZV Vykáz.-A Det.Lék.</v>
      </c>
      <c r="B24" s="76" t="s">
        <v>1148</v>
      </c>
      <c r="C24" s="47" t="s">
        <v>262</v>
      </c>
    </row>
    <row r="25" spans="1:3" ht="14.4" customHeight="1" x14ac:dyDescent="0.3">
      <c r="A25" s="130" t="str">
        <f t="shared" si="4"/>
        <v>ZV Vykáz.-H</v>
      </c>
      <c r="B25" s="76" t="s">
        <v>112</v>
      </c>
      <c r="C25" s="47" t="s">
        <v>110</v>
      </c>
    </row>
    <row r="26" spans="1:3" ht="14.4" customHeight="1" x14ac:dyDescent="0.3">
      <c r="A26" s="130" t="str">
        <f t="shared" si="4"/>
        <v>ZV Vykáz.-H Detail</v>
      </c>
      <c r="B26" s="76" t="s">
        <v>1206</v>
      </c>
      <c r="C26" s="47" t="s">
        <v>111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5"/>
  </cols>
  <sheetData>
    <row r="1" spans="1:13" ht="18.600000000000001" customHeight="1" thickBot="1" x14ac:dyDescent="0.4">
      <c r="A1" s="365" t="s">
        <v>483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26"/>
      <c r="M1" s="326"/>
    </row>
    <row r="2" spans="1:13" ht="14.4" customHeight="1" thickBot="1" x14ac:dyDescent="0.35">
      <c r="A2" s="215" t="s">
        <v>273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113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2.2000000000000002</v>
      </c>
      <c r="J3" s="43">
        <f>SUBTOTAL(9,J6:J1048576)</f>
        <v>227.43580312714437</v>
      </c>
      <c r="K3" s="44">
        <f>IF(M3=0,0,J3/M3)</f>
        <v>1</v>
      </c>
      <c r="L3" s="43">
        <f>SUBTOTAL(9,L6:L1048576)</f>
        <v>2.2000000000000002</v>
      </c>
      <c r="M3" s="45">
        <f>SUBTOTAL(9,M6:M1048576)</f>
        <v>227.43580312714437</v>
      </c>
    </row>
    <row r="4" spans="1:13" ht="14.4" customHeight="1" thickBot="1" x14ac:dyDescent="0.35">
      <c r="A4" s="41"/>
      <c r="B4" s="41"/>
      <c r="C4" s="41"/>
      <c r="D4" s="41"/>
      <c r="E4" s="42"/>
      <c r="F4" s="369" t="s">
        <v>115</v>
      </c>
      <c r="G4" s="370"/>
      <c r="H4" s="371"/>
      <c r="I4" s="372" t="s">
        <v>114</v>
      </c>
      <c r="J4" s="370"/>
      <c r="K4" s="371"/>
      <c r="L4" s="373" t="s">
        <v>3</v>
      </c>
      <c r="M4" s="374"/>
    </row>
    <row r="5" spans="1:13" ht="14.4" customHeight="1" thickBot="1" x14ac:dyDescent="0.35">
      <c r="A5" s="464" t="s">
        <v>116</v>
      </c>
      <c r="B5" s="484" t="s">
        <v>117</v>
      </c>
      <c r="C5" s="484" t="s">
        <v>58</v>
      </c>
      <c r="D5" s="484" t="s">
        <v>118</v>
      </c>
      <c r="E5" s="484" t="s">
        <v>119</v>
      </c>
      <c r="F5" s="485" t="s">
        <v>15</v>
      </c>
      <c r="G5" s="485" t="s">
        <v>14</v>
      </c>
      <c r="H5" s="466" t="s">
        <v>120</v>
      </c>
      <c r="I5" s="465" t="s">
        <v>15</v>
      </c>
      <c r="J5" s="485" t="s">
        <v>14</v>
      </c>
      <c r="K5" s="466" t="s">
        <v>120</v>
      </c>
      <c r="L5" s="465" t="s">
        <v>15</v>
      </c>
      <c r="M5" s="486" t="s">
        <v>14</v>
      </c>
    </row>
    <row r="6" spans="1:13" ht="14.4" customHeight="1" x14ac:dyDescent="0.3">
      <c r="A6" s="446" t="s">
        <v>432</v>
      </c>
      <c r="B6" s="447" t="s">
        <v>478</v>
      </c>
      <c r="C6" s="447" t="s">
        <v>469</v>
      </c>
      <c r="D6" s="447" t="s">
        <v>479</v>
      </c>
      <c r="E6" s="447" t="s">
        <v>480</v>
      </c>
      <c r="F6" s="450"/>
      <c r="G6" s="450"/>
      <c r="H6" s="469">
        <v>0</v>
      </c>
      <c r="I6" s="450">
        <v>0.2</v>
      </c>
      <c r="J6" s="450">
        <v>109.95580312714435</v>
      </c>
      <c r="K6" s="469">
        <v>1</v>
      </c>
      <c r="L6" s="450">
        <v>0.2</v>
      </c>
      <c r="M6" s="451">
        <v>109.95580312714435</v>
      </c>
    </row>
    <row r="7" spans="1:13" ht="14.4" customHeight="1" thickBot="1" x14ac:dyDescent="0.35">
      <c r="A7" s="458" t="s">
        <v>432</v>
      </c>
      <c r="B7" s="459" t="s">
        <v>481</v>
      </c>
      <c r="C7" s="459" t="s">
        <v>462</v>
      </c>
      <c r="D7" s="459" t="s">
        <v>463</v>
      </c>
      <c r="E7" s="459" t="s">
        <v>482</v>
      </c>
      <c r="F7" s="462"/>
      <c r="G7" s="462"/>
      <c r="H7" s="470">
        <v>0</v>
      </c>
      <c r="I7" s="462">
        <v>2</v>
      </c>
      <c r="J7" s="462">
        <v>117.48000000000002</v>
      </c>
      <c r="K7" s="470">
        <v>1</v>
      </c>
      <c r="L7" s="462">
        <v>2</v>
      </c>
      <c r="M7" s="463">
        <v>117.48000000000002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5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5"/>
  </cols>
  <sheetData>
    <row r="1" spans="1:17" ht="18.600000000000001" customHeight="1" thickBot="1" x14ac:dyDescent="0.4">
      <c r="A1" s="365" t="s">
        <v>213</v>
      </c>
      <c r="B1" s="365"/>
      <c r="C1" s="365"/>
      <c r="D1" s="365"/>
      <c r="E1" s="365"/>
      <c r="F1" s="327"/>
      <c r="G1" s="327"/>
      <c r="H1" s="327"/>
      <c r="I1" s="327"/>
      <c r="J1" s="358"/>
      <c r="K1" s="358"/>
      <c r="L1" s="358"/>
      <c r="M1" s="358"/>
      <c r="N1" s="358"/>
      <c r="O1" s="358"/>
      <c r="P1" s="358"/>
      <c r="Q1" s="358"/>
    </row>
    <row r="2" spans="1:17" ht="14.4" customHeight="1" thickBot="1" x14ac:dyDescent="0.35">
      <c r="A2" s="215" t="s">
        <v>273</v>
      </c>
      <c r="B2" s="198"/>
      <c r="C2" s="198"/>
      <c r="D2" s="198"/>
      <c r="E2" s="198"/>
    </row>
    <row r="3" spans="1:17" ht="14.4" customHeight="1" thickBot="1" x14ac:dyDescent="0.35">
      <c r="A3" s="284" t="s">
        <v>3</v>
      </c>
      <c r="B3" s="288">
        <f>SUM(B6:B1048576)</f>
        <v>28</v>
      </c>
      <c r="C3" s="289">
        <f>SUM(C6:C1048576)</f>
        <v>0</v>
      </c>
      <c r="D3" s="289">
        <f>SUM(D6:D1048576)</f>
        <v>0</v>
      </c>
      <c r="E3" s="290">
        <f>SUM(E6:E1048576)</f>
        <v>0</v>
      </c>
      <c r="F3" s="287">
        <f>IF(SUM($B3:$E3)=0,"",B3/SUM($B3:$E3))</f>
        <v>1</v>
      </c>
      <c r="G3" s="285">
        <f t="shared" ref="G3:I3" si="0">IF(SUM($B3:$E3)=0,"",C3/SUM($B3:$E3))</f>
        <v>0</v>
      </c>
      <c r="H3" s="285">
        <f t="shared" si="0"/>
        <v>0</v>
      </c>
      <c r="I3" s="286">
        <f t="shared" si="0"/>
        <v>0</v>
      </c>
      <c r="J3" s="289">
        <f>SUM(J6:J1048576)</f>
        <v>21</v>
      </c>
      <c r="K3" s="289">
        <f>SUM(K6:K1048576)</f>
        <v>0</v>
      </c>
      <c r="L3" s="289">
        <f>SUM(L6:L1048576)</f>
        <v>0</v>
      </c>
      <c r="M3" s="290">
        <f>SUM(M6:M1048576)</f>
        <v>0</v>
      </c>
      <c r="N3" s="287">
        <f>IF(SUM($J3:$M3)=0,"",J3/SUM($J3:$M3))</f>
        <v>1</v>
      </c>
      <c r="O3" s="285">
        <f t="shared" ref="O3:Q3" si="1">IF(SUM($J3:$M3)=0,"",K3/SUM($J3:$M3))</f>
        <v>0</v>
      </c>
      <c r="P3" s="285">
        <f t="shared" si="1"/>
        <v>0</v>
      </c>
      <c r="Q3" s="286">
        <f t="shared" si="1"/>
        <v>0</v>
      </c>
    </row>
    <row r="4" spans="1:17" ht="14.4" customHeight="1" thickBot="1" x14ac:dyDescent="0.35">
      <c r="A4" s="283"/>
      <c r="B4" s="378" t="s">
        <v>215</v>
      </c>
      <c r="C4" s="379"/>
      <c r="D4" s="379"/>
      <c r="E4" s="380"/>
      <c r="F4" s="375" t="s">
        <v>220</v>
      </c>
      <c r="G4" s="376"/>
      <c r="H4" s="376"/>
      <c r="I4" s="377"/>
      <c r="J4" s="378" t="s">
        <v>221</v>
      </c>
      <c r="K4" s="379"/>
      <c r="L4" s="379"/>
      <c r="M4" s="380"/>
      <c r="N4" s="375" t="s">
        <v>222</v>
      </c>
      <c r="O4" s="376"/>
      <c r="P4" s="376"/>
      <c r="Q4" s="377"/>
    </row>
    <row r="5" spans="1:17" ht="14.4" customHeight="1" thickBot="1" x14ac:dyDescent="0.35">
      <c r="A5" s="487" t="s">
        <v>214</v>
      </c>
      <c r="B5" s="488" t="s">
        <v>216</v>
      </c>
      <c r="C5" s="488" t="s">
        <v>217</v>
      </c>
      <c r="D5" s="488" t="s">
        <v>218</v>
      </c>
      <c r="E5" s="489" t="s">
        <v>219</v>
      </c>
      <c r="F5" s="490" t="s">
        <v>216</v>
      </c>
      <c r="G5" s="491" t="s">
        <v>217</v>
      </c>
      <c r="H5" s="491" t="s">
        <v>218</v>
      </c>
      <c r="I5" s="492" t="s">
        <v>219</v>
      </c>
      <c r="J5" s="488" t="s">
        <v>216</v>
      </c>
      <c r="K5" s="488" t="s">
        <v>217</v>
      </c>
      <c r="L5" s="488" t="s">
        <v>218</v>
      </c>
      <c r="M5" s="489" t="s">
        <v>219</v>
      </c>
      <c r="N5" s="490" t="s">
        <v>216</v>
      </c>
      <c r="O5" s="491" t="s">
        <v>217</v>
      </c>
      <c r="P5" s="491" t="s">
        <v>218</v>
      </c>
      <c r="Q5" s="492" t="s">
        <v>219</v>
      </c>
    </row>
    <row r="6" spans="1:17" ht="14.4" customHeight="1" x14ac:dyDescent="0.3">
      <c r="A6" s="495" t="s">
        <v>484</v>
      </c>
      <c r="B6" s="499"/>
      <c r="C6" s="450"/>
      <c r="D6" s="450"/>
      <c r="E6" s="451"/>
      <c r="F6" s="497"/>
      <c r="G6" s="469"/>
      <c r="H6" s="469"/>
      <c r="I6" s="501"/>
      <c r="J6" s="499"/>
      <c r="K6" s="450"/>
      <c r="L6" s="450"/>
      <c r="M6" s="451"/>
      <c r="N6" s="497"/>
      <c r="O6" s="469"/>
      <c r="P6" s="469"/>
      <c r="Q6" s="493"/>
    </row>
    <row r="7" spans="1:17" ht="14.4" customHeight="1" thickBot="1" x14ac:dyDescent="0.35">
      <c r="A7" s="496" t="s">
        <v>485</v>
      </c>
      <c r="B7" s="500">
        <v>28</v>
      </c>
      <c r="C7" s="462"/>
      <c r="D7" s="462"/>
      <c r="E7" s="463"/>
      <c r="F7" s="498">
        <v>1</v>
      </c>
      <c r="G7" s="470">
        <v>0</v>
      </c>
      <c r="H7" s="470">
        <v>0</v>
      </c>
      <c r="I7" s="502">
        <v>0</v>
      </c>
      <c r="J7" s="500">
        <v>21</v>
      </c>
      <c r="K7" s="462"/>
      <c r="L7" s="462"/>
      <c r="M7" s="463"/>
      <c r="N7" s="498">
        <v>1</v>
      </c>
      <c r="O7" s="470">
        <v>0</v>
      </c>
      <c r="P7" s="470">
        <v>0</v>
      </c>
      <c r="Q7" s="49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56" t="s">
        <v>124</v>
      </c>
      <c r="B1" s="357"/>
      <c r="C1" s="357"/>
      <c r="D1" s="357"/>
      <c r="E1" s="357"/>
      <c r="F1" s="357"/>
      <c r="G1" s="327"/>
      <c r="H1" s="358"/>
      <c r="I1" s="358"/>
    </row>
    <row r="2" spans="1:10" ht="14.4" customHeight="1" thickBot="1" x14ac:dyDescent="0.35">
      <c r="A2" s="215" t="s">
        <v>273</v>
      </c>
      <c r="B2" s="190"/>
      <c r="C2" s="190"/>
      <c r="D2" s="190"/>
      <c r="E2" s="190"/>
      <c r="F2" s="190"/>
    </row>
    <row r="3" spans="1:10" ht="14.4" customHeight="1" thickBot="1" x14ac:dyDescent="0.35">
      <c r="A3" s="215"/>
      <c r="B3" s="319"/>
      <c r="C3" s="275">
        <v>2015</v>
      </c>
      <c r="D3" s="276">
        <v>2016</v>
      </c>
      <c r="E3" s="7"/>
      <c r="F3" s="335">
        <v>2017</v>
      </c>
      <c r="G3" s="353"/>
      <c r="H3" s="353"/>
      <c r="I3" s="336"/>
    </row>
    <row r="4" spans="1:10" ht="14.4" customHeight="1" thickBot="1" x14ac:dyDescent="0.35">
      <c r="A4" s="280" t="s">
        <v>0</v>
      </c>
      <c r="B4" s="281" t="s">
        <v>212</v>
      </c>
      <c r="C4" s="354" t="s">
        <v>60</v>
      </c>
      <c r="D4" s="355"/>
      <c r="E4" s="282"/>
      <c r="F4" s="277" t="s">
        <v>60</v>
      </c>
      <c r="G4" s="278" t="s">
        <v>61</v>
      </c>
      <c r="H4" s="278" t="s">
        <v>55</v>
      </c>
      <c r="I4" s="279" t="s">
        <v>62</v>
      </c>
    </row>
    <row r="5" spans="1:10" ht="14.4" customHeight="1" x14ac:dyDescent="0.3">
      <c r="A5" s="434" t="s">
        <v>427</v>
      </c>
      <c r="B5" s="435" t="s">
        <v>428</v>
      </c>
      <c r="C5" s="436" t="s">
        <v>429</v>
      </c>
      <c r="D5" s="436" t="s">
        <v>429</v>
      </c>
      <c r="E5" s="436"/>
      <c r="F5" s="436" t="s">
        <v>429</v>
      </c>
      <c r="G5" s="436" t="s">
        <v>429</v>
      </c>
      <c r="H5" s="436" t="s">
        <v>429</v>
      </c>
      <c r="I5" s="437" t="s">
        <v>429</v>
      </c>
      <c r="J5" s="438" t="s">
        <v>56</v>
      </c>
    </row>
    <row r="6" spans="1:10" ht="14.4" customHeight="1" x14ac:dyDescent="0.3">
      <c r="A6" s="434" t="s">
        <v>427</v>
      </c>
      <c r="B6" s="435" t="s">
        <v>286</v>
      </c>
      <c r="C6" s="436">
        <v>3039.3741200000004</v>
      </c>
      <c r="D6" s="436">
        <v>3440.8294500000002</v>
      </c>
      <c r="E6" s="436"/>
      <c r="F6" s="436">
        <v>4151.9106300000003</v>
      </c>
      <c r="G6" s="436">
        <v>3583.2662439508331</v>
      </c>
      <c r="H6" s="436">
        <v>568.64438604916722</v>
      </c>
      <c r="I6" s="437">
        <v>1.1586944277470692</v>
      </c>
      <c r="J6" s="438" t="s">
        <v>1</v>
      </c>
    </row>
    <row r="7" spans="1:10" ht="14.4" customHeight="1" x14ac:dyDescent="0.3">
      <c r="A7" s="434" t="s">
        <v>427</v>
      </c>
      <c r="B7" s="435" t="s">
        <v>287</v>
      </c>
      <c r="C7" s="436">
        <v>28.96537</v>
      </c>
      <c r="D7" s="436">
        <v>20.694130000000001</v>
      </c>
      <c r="E7" s="436"/>
      <c r="F7" s="436">
        <v>32.765320000000003</v>
      </c>
      <c r="G7" s="436">
        <v>23.2578232686955</v>
      </c>
      <c r="H7" s="436">
        <v>9.5074967313045029</v>
      </c>
      <c r="I7" s="437">
        <v>1.4087870400194062</v>
      </c>
      <c r="J7" s="438" t="s">
        <v>1</v>
      </c>
    </row>
    <row r="8" spans="1:10" ht="14.4" customHeight="1" x14ac:dyDescent="0.3">
      <c r="A8" s="434" t="s">
        <v>427</v>
      </c>
      <c r="B8" s="435" t="s">
        <v>288</v>
      </c>
      <c r="C8" s="436">
        <v>2.24674</v>
      </c>
      <c r="D8" s="436">
        <v>2.4207200000000002</v>
      </c>
      <c r="E8" s="436"/>
      <c r="F8" s="436">
        <v>1.4668299999999999</v>
      </c>
      <c r="G8" s="436">
        <v>3.3333333333333335</v>
      </c>
      <c r="H8" s="436">
        <v>-1.8665033333333336</v>
      </c>
      <c r="I8" s="437">
        <v>0.44004899999999991</v>
      </c>
      <c r="J8" s="438" t="s">
        <v>1</v>
      </c>
    </row>
    <row r="9" spans="1:10" ht="14.4" customHeight="1" x14ac:dyDescent="0.3">
      <c r="A9" s="434" t="s">
        <v>427</v>
      </c>
      <c r="B9" s="435" t="s">
        <v>289</v>
      </c>
      <c r="C9" s="436">
        <v>8.9676100000000005</v>
      </c>
      <c r="D9" s="436">
        <v>7.3175600000000003</v>
      </c>
      <c r="E9" s="436"/>
      <c r="F9" s="436">
        <v>24.586030000000001</v>
      </c>
      <c r="G9" s="436">
        <v>16.666666666666668</v>
      </c>
      <c r="H9" s="436">
        <v>7.9193633333333331</v>
      </c>
      <c r="I9" s="437">
        <v>1.4751618</v>
      </c>
      <c r="J9" s="438" t="s">
        <v>1</v>
      </c>
    </row>
    <row r="10" spans="1:10" ht="14.4" customHeight="1" x14ac:dyDescent="0.3">
      <c r="A10" s="434" t="s">
        <v>427</v>
      </c>
      <c r="B10" s="435" t="s">
        <v>290</v>
      </c>
      <c r="C10" s="436">
        <v>0.14100000000000001</v>
      </c>
      <c r="D10" s="436">
        <v>0.17499999999999999</v>
      </c>
      <c r="E10" s="436"/>
      <c r="F10" s="436">
        <v>0.28500000000000003</v>
      </c>
      <c r="G10" s="436">
        <v>0.16666666666666666</v>
      </c>
      <c r="H10" s="436">
        <v>0.11833333333333337</v>
      </c>
      <c r="I10" s="437">
        <v>1.7100000000000002</v>
      </c>
      <c r="J10" s="438" t="s">
        <v>1</v>
      </c>
    </row>
    <row r="11" spans="1:10" ht="14.4" customHeight="1" x14ac:dyDescent="0.3">
      <c r="A11" s="434" t="s">
        <v>427</v>
      </c>
      <c r="B11" s="435" t="s">
        <v>291</v>
      </c>
      <c r="C11" s="436">
        <v>2.13</v>
      </c>
      <c r="D11" s="436">
        <v>2.4139999999999997</v>
      </c>
      <c r="E11" s="436"/>
      <c r="F11" s="436">
        <v>3.45</v>
      </c>
      <c r="G11" s="436">
        <v>3.3333333333333335</v>
      </c>
      <c r="H11" s="436">
        <v>0.1166666666666667</v>
      </c>
      <c r="I11" s="437">
        <v>1.0349999999999999</v>
      </c>
      <c r="J11" s="438" t="s">
        <v>1</v>
      </c>
    </row>
    <row r="12" spans="1:10" ht="14.4" customHeight="1" x14ac:dyDescent="0.3">
      <c r="A12" s="434" t="s">
        <v>427</v>
      </c>
      <c r="B12" s="435" t="s">
        <v>430</v>
      </c>
      <c r="C12" s="436">
        <v>3081.8248400000007</v>
      </c>
      <c r="D12" s="436">
        <v>3473.8508600000005</v>
      </c>
      <c r="E12" s="436"/>
      <c r="F12" s="436">
        <v>4214.4638100000011</v>
      </c>
      <c r="G12" s="436">
        <v>3630.0240672195287</v>
      </c>
      <c r="H12" s="436">
        <v>584.43974278047244</v>
      </c>
      <c r="I12" s="437">
        <v>1.1610016165066732</v>
      </c>
      <c r="J12" s="438" t="s">
        <v>431</v>
      </c>
    </row>
    <row r="14" spans="1:10" ht="14.4" customHeight="1" x14ac:dyDescent="0.3">
      <c r="A14" s="434" t="s">
        <v>427</v>
      </c>
      <c r="B14" s="435" t="s">
        <v>428</v>
      </c>
      <c r="C14" s="436" t="s">
        <v>429</v>
      </c>
      <c r="D14" s="436" t="s">
        <v>429</v>
      </c>
      <c r="E14" s="436"/>
      <c r="F14" s="436" t="s">
        <v>429</v>
      </c>
      <c r="G14" s="436" t="s">
        <v>429</v>
      </c>
      <c r="H14" s="436" t="s">
        <v>429</v>
      </c>
      <c r="I14" s="437" t="s">
        <v>429</v>
      </c>
      <c r="J14" s="438" t="s">
        <v>56</v>
      </c>
    </row>
    <row r="15" spans="1:10" ht="14.4" customHeight="1" x14ac:dyDescent="0.3">
      <c r="A15" s="434" t="s">
        <v>432</v>
      </c>
      <c r="B15" s="435" t="s">
        <v>433</v>
      </c>
      <c r="C15" s="436" t="s">
        <v>429</v>
      </c>
      <c r="D15" s="436" t="s">
        <v>429</v>
      </c>
      <c r="E15" s="436"/>
      <c r="F15" s="436" t="s">
        <v>429</v>
      </c>
      <c r="G15" s="436" t="s">
        <v>429</v>
      </c>
      <c r="H15" s="436" t="s">
        <v>429</v>
      </c>
      <c r="I15" s="437" t="s">
        <v>429</v>
      </c>
      <c r="J15" s="438" t="s">
        <v>0</v>
      </c>
    </row>
    <row r="16" spans="1:10" ht="14.4" customHeight="1" x14ac:dyDescent="0.3">
      <c r="A16" s="434" t="s">
        <v>432</v>
      </c>
      <c r="B16" s="435" t="s">
        <v>286</v>
      </c>
      <c r="C16" s="436">
        <v>3039.3741200000004</v>
      </c>
      <c r="D16" s="436">
        <v>3440.8294500000002</v>
      </c>
      <c r="E16" s="436"/>
      <c r="F16" s="436">
        <v>4151.9106300000003</v>
      </c>
      <c r="G16" s="436">
        <v>3583.2662439508331</v>
      </c>
      <c r="H16" s="436">
        <v>568.64438604916722</v>
      </c>
      <c r="I16" s="437">
        <v>1.1586944277470692</v>
      </c>
      <c r="J16" s="438" t="s">
        <v>1</v>
      </c>
    </row>
    <row r="17" spans="1:10" ht="14.4" customHeight="1" x14ac:dyDescent="0.3">
      <c r="A17" s="434" t="s">
        <v>432</v>
      </c>
      <c r="B17" s="435" t="s">
        <v>287</v>
      </c>
      <c r="C17" s="436">
        <v>28.96537</v>
      </c>
      <c r="D17" s="436">
        <v>20.694130000000001</v>
      </c>
      <c r="E17" s="436"/>
      <c r="F17" s="436">
        <v>32.765320000000003</v>
      </c>
      <c r="G17" s="436">
        <v>23.2578232686955</v>
      </c>
      <c r="H17" s="436">
        <v>9.5074967313045029</v>
      </c>
      <c r="I17" s="437">
        <v>1.4087870400194062</v>
      </c>
      <c r="J17" s="438" t="s">
        <v>1</v>
      </c>
    </row>
    <row r="18" spans="1:10" ht="14.4" customHeight="1" x14ac:dyDescent="0.3">
      <c r="A18" s="434" t="s">
        <v>432</v>
      </c>
      <c r="B18" s="435" t="s">
        <v>288</v>
      </c>
      <c r="C18" s="436">
        <v>2.24674</v>
      </c>
      <c r="D18" s="436">
        <v>2.4207200000000002</v>
      </c>
      <c r="E18" s="436"/>
      <c r="F18" s="436">
        <v>1.4668299999999999</v>
      </c>
      <c r="G18" s="436">
        <v>3.3333333333333335</v>
      </c>
      <c r="H18" s="436">
        <v>-1.8665033333333336</v>
      </c>
      <c r="I18" s="437">
        <v>0.44004899999999991</v>
      </c>
      <c r="J18" s="438" t="s">
        <v>1</v>
      </c>
    </row>
    <row r="19" spans="1:10" ht="14.4" customHeight="1" x14ac:dyDescent="0.3">
      <c r="A19" s="434" t="s">
        <v>432</v>
      </c>
      <c r="B19" s="435" t="s">
        <v>289</v>
      </c>
      <c r="C19" s="436">
        <v>8.9676100000000005</v>
      </c>
      <c r="D19" s="436">
        <v>7.3175600000000003</v>
      </c>
      <c r="E19" s="436"/>
      <c r="F19" s="436">
        <v>24.586030000000001</v>
      </c>
      <c r="G19" s="436">
        <v>16.666666666666668</v>
      </c>
      <c r="H19" s="436">
        <v>7.9193633333333331</v>
      </c>
      <c r="I19" s="437">
        <v>1.4751618</v>
      </c>
      <c r="J19" s="438" t="s">
        <v>1</v>
      </c>
    </row>
    <row r="20" spans="1:10" ht="14.4" customHeight="1" x14ac:dyDescent="0.3">
      <c r="A20" s="434" t="s">
        <v>432</v>
      </c>
      <c r="B20" s="435" t="s">
        <v>290</v>
      </c>
      <c r="C20" s="436">
        <v>0.14100000000000001</v>
      </c>
      <c r="D20" s="436">
        <v>0.17499999999999999</v>
      </c>
      <c r="E20" s="436"/>
      <c r="F20" s="436">
        <v>0.28500000000000003</v>
      </c>
      <c r="G20" s="436">
        <v>0.16666666666666666</v>
      </c>
      <c r="H20" s="436">
        <v>0.11833333333333337</v>
      </c>
      <c r="I20" s="437">
        <v>1.7100000000000002</v>
      </c>
      <c r="J20" s="438" t="s">
        <v>1</v>
      </c>
    </row>
    <row r="21" spans="1:10" ht="14.4" customHeight="1" x14ac:dyDescent="0.3">
      <c r="A21" s="434" t="s">
        <v>432</v>
      </c>
      <c r="B21" s="435" t="s">
        <v>291</v>
      </c>
      <c r="C21" s="436">
        <v>2.13</v>
      </c>
      <c r="D21" s="436">
        <v>2.4139999999999997</v>
      </c>
      <c r="E21" s="436"/>
      <c r="F21" s="436">
        <v>3.45</v>
      </c>
      <c r="G21" s="436">
        <v>3.3333333333333335</v>
      </c>
      <c r="H21" s="436">
        <v>0.1166666666666667</v>
      </c>
      <c r="I21" s="437">
        <v>1.0349999999999999</v>
      </c>
      <c r="J21" s="438" t="s">
        <v>1</v>
      </c>
    </row>
    <row r="22" spans="1:10" ht="14.4" customHeight="1" x14ac:dyDescent="0.3">
      <c r="A22" s="434" t="s">
        <v>432</v>
      </c>
      <c r="B22" s="435" t="s">
        <v>434</v>
      </c>
      <c r="C22" s="436">
        <v>3081.8248400000007</v>
      </c>
      <c r="D22" s="436">
        <v>3473.8508600000005</v>
      </c>
      <c r="E22" s="436"/>
      <c r="F22" s="436">
        <v>4214.4638100000011</v>
      </c>
      <c r="G22" s="436">
        <v>3630.0240672195287</v>
      </c>
      <c r="H22" s="436">
        <v>584.43974278047244</v>
      </c>
      <c r="I22" s="437">
        <v>1.1610016165066732</v>
      </c>
      <c r="J22" s="438" t="s">
        <v>435</v>
      </c>
    </row>
    <row r="23" spans="1:10" ht="14.4" customHeight="1" x14ac:dyDescent="0.3">
      <c r="A23" s="434" t="s">
        <v>429</v>
      </c>
      <c r="B23" s="435" t="s">
        <v>429</v>
      </c>
      <c r="C23" s="436" t="s">
        <v>429</v>
      </c>
      <c r="D23" s="436" t="s">
        <v>429</v>
      </c>
      <c r="E23" s="436"/>
      <c r="F23" s="436" t="s">
        <v>429</v>
      </c>
      <c r="G23" s="436" t="s">
        <v>429</v>
      </c>
      <c r="H23" s="436" t="s">
        <v>429</v>
      </c>
      <c r="I23" s="437" t="s">
        <v>429</v>
      </c>
      <c r="J23" s="438" t="s">
        <v>436</v>
      </c>
    </row>
    <row r="24" spans="1:10" ht="14.4" customHeight="1" x14ac:dyDescent="0.3">
      <c r="A24" s="434" t="s">
        <v>427</v>
      </c>
      <c r="B24" s="435" t="s">
        <v>430</v>
      </c>
      <c r="C24" s="436">
        <v>3081.8248400000007</v>
      </c>
      <c r="D24" s="436">
        <v>3473.8508600000005</v>
      </c>
      <c r="E24" s="436"/>
      <c r="F24" s="436">
        <v>4214.4638100000011</v>
      </c>
      <c r="G24" s="436">
        <v>3630.0240672195287</v>
      </c>
      <c r="H24" s="436">
        <v>584.43974278047244</v>
      </c>
      <c r="I24" s="437">
        <v>1.1610016165066732</v>
      </c>
      <c r="J24" s="438" t="s">
        <v>431</v>
      </c>
    </row>
  </sheetData>
  <mergeCells count="3">
    <mergeCell ref="A1:I1"/>
    <mergeCell ref="F3:I3"/>
    <mergeCell ref="C4:D4"/>
  </mergeCells>
  <conditionalFormatting sqref="F13 F25:F65537">
    <cfRule type="cellIs" dxfId="26" priority="18" stopIfTrue="1" operator="greaterThan">
      <formula>1</formula>
    </cfRule>
  </conditionalFormatting>
  <conditionalFormatting sqref="H5:H12">
    <cfRule type="expression" dxfId="25" priority="14">
      <formula>$H5&gt;0</formula>
    </cfRule>
  </conditionalFormatting>
  <conditionalFormatting sqref="I5:I12">
    <cfRule type="expression" dxfId="24" priority="15">
      <formula>$I5&gt;1</formula>
    </cfRule>
  </conditionalFormatting>
  <conditionalFormatting sqref="B5:B12">
    <cfRule type="expression" dxfId="23" priority="11">
      <formula>OR($J5="NS",$J5="SumaNS",$J5="Účet")</formula>
    </cfRule>
  </conditionalFormatting>
  <conditionalFormatting sqref="F5:I12 B5:D12">
    <cfRule type="expression" dxfId="22" priority="17">
      <formula>AND($J5&lt;&gt;"",$J5&lt;&gt;"mezeraKL")</formula>
    </cfRule>
  </conditionalFormatting>
  <conditionalFormatting sqref="B5:D12 F5:I12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20" priority="13">
      <formula>OR($J5="SumaNS",$J5="NS")</formula>
    </cfRule>
  </conditionalFormatting>
  <conditionalFormatting sqref="A5:A12">
    <cfRule type="expression" dxfId="19" priority="9">
      <formula>AND($J5&lt;&gt;"mezeraKL",$J5&lt;&gt;"")</formula>
    </cfRule>
  </conditionalFormatting>
  <conditionalFormatting sqref="A5:A12">
    <cfRule type="expression" dxfId="18" priority="10">
      <formula>AND($J5&lt;&gt;"",$J5&lt;&gt;"mezeraKL")</formula>
    </cfRule>
  </conditionalFormatting>
  <conditionalFormatting sqref="H14:H24">
    <cfRule type="expression" dxfId="17" priority="5">
      <formula>$H14&gt;0</formula>
    </cfRule>
  </conditionalFormatting>
  <conditionalFormatting sqref="A14:A24">
    <cfRule type="expression" dxfId="16" priority="2">
      <formula>AND($J14&lt;&gt;"mezeraKL",$J14&lt;&gt;"")</formula>
    </cfRule>
  </conditionalFormatting>
  <conditionalFormatting sqref="I14:I24">
    <cfRule type="expression" dxfId="15" priority="6">
      <formula>$I14&gt;1</formula>
    </cfRule>
  </conditionalFormatting>
  <conditionalFormatting sqref="B14:B24">
    <cfRule type="expression" dxfId="14" priority="1">
      <formula>OR($J14="NS",$J14="SumaNS",$J14="Účet")</formula>
    </cfRule>
  </conditionalFormatting>
  <conditionalFormatting sqref="A14:D24 F14:I24">
    <cfRule type="expression" dxfId="13" priority="8">
      <formula>AND($J14&lt;&gt;"",$J14&lt;&gt;"mezeraKL")</formula>
    </cfRule>
  </conditionalFormatting>
  <conditionalFormatting sqref="B14:D24 F14:I24">
    <cfRule type="expression" dxfId="12" priority="3">
      <formula>OR($J14="KL",$J14="SumaKL")</formula>
    </cfRule>
    <cfRule type="expression" priority="7" stopIfTrue="1">
      <formula>OR($J14="mezeraNS",$J14="mezeraKL")</formula>
    </cfRule>
  </conditionalFormatting>
  <conditionalFormatting sqref="B14:D24 F14:I24">
    <cfRule type="expression" dxfId="11" priority="4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6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5"/>
  </cols>
  <sheetData>
    <row r="1" spans="1:11" ht="18.600000000000001" customHeight="1" thickBot="1" x14ac:dyDescent="0.4">
      <c r="A1" s="363" t="s">
        <v>1016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ht="14.4" customHeight="1" thickBot="1" x14ac:dyDescent="0.35">
      <c r="A2" s="215" t="s">
        <v>273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59"/>
      <c r="D3" s="360"/>
      <c r="E3" s="360"/>
      <c r="F3" s="360"/>
      <c r="G3" s="360"/>
      <c r="H3" s="127" t="s">
        <v>113</v>
      </c>
      <c r="I3" s="84">
        <f>IF(J3&lt;&gt;0,K3/J3,0)</f>
        <v>54.714389966446994</v>
      </c>
      <c r="J3" s="84">
        <f>SUBTOTAL(9,J5:J1048576)</f>
        <v>77088</v>
      </c>
      <c r="K3" s="85">
        <f>SUBTOTAL(9,K5:K1048576)</f>
        <v>4217822.893733466</v>
      </c>
    </row>
    <row r="4" spans="1:11" s="192" customFormat="1" ht="14.4" customHeight="1" thickBot="1" x14ac:dyDescent="0.35">
      <c r="A4" s="439" t="s">
        <v>4</v>
      </c>
      <c r="B4" s="440" t="s">
        <v>5</v>
      </c>
      <c r="C4" s="440" t="s">
        <v>0</v>
      </c>
      <c r="D4" s="440" t="s">
        <v>6</v>
      </c>
      <c r="E4" s="440" t="s">
        <v>7</v>
      </c>
      <c r="F4" s="440" t="s">
        <v>1</v>
      </c>
      <c r="G4" s="440" t="s">
        <v>58</v>
      </c>
      <c r="H4" s="441" t="s">
        <v>11</v>
      </c>
      <c r="I4" s="442" t="s">
        <v>127</v>
      </c>
      <c r="J4" s="442" t="s">
        <v>13</v>
      </c>
      <c r="K4" s="443" t="s">
        <v>138</v>
      </c>
    </row>
    <row r="5" spans="1:11" ht="14.4" customHeight="1" x14ac:dyDescent="0.3">
      <c r="A5" s="446" t="s">
        <v>427</v>
      </c>
      <c r="B5" s="447" t="s">
        <v>428</v>
      </c>
      <c r="C5" s="448" t="s">
        <v>432</v>
      </c>
      <c r="D5" s="449" t="s">
        <v>472</v>
      </c>
      <c r="E5" s="448" t="s">
        <v>1004</v>
      </c>
      <c r="F5" s="449" t="s">
        <v>1005</v>
      </c>
      <c r="G5" s="448" t="s">
        <v>486</v>
      </c>
      <c r="H5" s="448" t="s">
        <v>487</v>
      </c>
      <c r="I5" s="450">
        <v>28.74</v>
      </c>
      <c r="J5" s="450">
        <v>50</v>
      </c>
      <c r="K5" s="451">
        <v>1437</v>
      </c>
    </row>
    <row r="6" spans="1:11" ht="14.4" customHeight="1" x14ac:dyDescent="0.3">
      <c r="A6" s="452" t="s">
        <v>427</v>
      </c>
      <c r="B6" s="453" t="s">
        <v>428</v>
      </c>
      <c r="C6" s="454" t="s">
        <v>432</v>
      </c>
      <c r="D6" s="455" t="s">
        <v>472</v>
      </c>
      <c r="E6" s="454" t="s">
        <v>1004</v>
      </c>
      <c r="F6" s="455" t="s">
        <v>1005</v>
      </c>
      <c r="G6" s="454" t="s">
        <v>488</v>
      </c>
      <c r="H6" s="454" t="s">
        <v>489</v>
      </c>
      <c r="I6" s="456">
        <v>6.93</v>
      </c>
      <c r="J6" s="456">
        <v>1</v>
      </c>
      <c r="K6" s="457">
        <v>6.93</v>
      </c>
    </row>
    <row r="7" spans="1:11" ht="14.4" customHeight="1" x14ac:dyDescent="0.3">
      <c r="A7" s="452" t="s">
        <v>427</v>
      </c>
      <c r="B7" s="453" t="s">
        <v>428</v>
      </c>
      <c r="C7" s="454" t="s">
        <v>432</v>
      </c>
      <c r="D7" s="455" t="s">
        <v>472</v>
      </c>
      <c r="E7" s="454" t="s">
        <v>1004</v>
      </c>
      <c r="F7" s="455" t="s">
        <v>1005</v>
      </c>
      <c r="G7" s="454" t="s">
        <v>490</v>
      </c>
      <c r="H7" s="454" t="s">
        <v>491</v>
      </c>
      <c r="I7" s="456">
        <v>2.68</v>
      </c>
      <c r="J7" s="456">
        <v>5</v>
      </c>
      <c r="K7" s="457">
        <v>13.4</v>
      </c>
    </row>
    <row r="8" spans="1:11" ht="14.4" customHeight="1" x14ac:dyDescent="0.3">
      <c r="A8" s="452" t="s">
        <v>427</v>
      </c>
      <c r="B8" s="453" t="s">
        <v>428</v>
      </c>
      <c r="C8" s="454" t="s">
        <v>432</v>
      </c>
      <c r="D8" s="455" t="s">
        <v>472</v>
      </c>
      <c r="E8" s="454" t="s">
        <v>1004</v>
      </c>
      <c r="F8" s="455" t="s">
        <v>1005</v>
      </c>
      <c r="G8" s="454" t="s">
        <v>492</v>
      </c>
      <c r="H8" s="454" t="s">
        <v>493</v>
      </c>
      <c r="I8" s="456">
        <v>0.38</v>
      </c>
      <c r="J8" s="456">
        <v>25</v>
      </c>
      <c r="K8" s="457">
        <v>9.5</v>
      </c>
    </row>
    <row r="9" spans="1:11" ht="14.4" customHeight="1" x14ac:dyDescent="0.3">
      <c r="A9" s="452" t="s">
        <v>427</v>
      </c>
      <c r="B9" s="453" t="s">
        <v>428</v>
      </c>
      <c r="C9" s="454" t="s">
        <v>432</v>
      </c>
      <c r="D9" s="455" t="s">
        <v>472</v>
      </c>
      <c r="E9" s="454" t="s">
        <v>1006</v>
      </c>
      <c r="F9" s="455" t="s">
        <v>1007</v>
      </c>
      <c r="G9" s="454" t="s">
        <v>494</v>
      </c>
      <c r="H9" s="454" t="s">
        <v>495</v>
      </c>
      <c r="I9" s="456">
        <v>0.48</v>
      </c>
      <c r="J9" s="456">
        <v>300</v>
      </c>
      <c r="K9" s="457">
        <v>144</v>
      </c>
    </row>
    <row r="10" spans="1:11" ht="14.4" customHeight="1" x14ac:dyDescent="0.3">
      <c r="A10" s="452" t="s">
        <v>427</v>
      </c>
      <c r="B10" s="453" t="s">
        <v>428</v>
      </c>
      <c r="C10" s="454" t="s">
        <v>432</v>
      </c>
      <c r="D10" s="455" t="s">
        <v>472</v>
      </c>
      <c r="E10" s="454" t="s">
        <v>1006</v>
      </c>
      <c r="F10" s="455" t="s">
        <v>1007</v>
      </c>
      <c r="G10" s="454" t="s">
        <v>496</v>
      </c>
      <c r="H10" s="454" t="s">
        <v>497</v>
      </c>
      <c r="I10" s="456">
        <v>0.67</v>
      </c>
      <c r="J10" s="456">
        <v>200</v>
      </c>
      <c r="K10" s="457">
        <v>134</v>
      </c>
    </row>
    <row r="11" spans="1:11" ht="14.4" customHeight="1" x14ac:dyDescent="0.3">
      <c r="A11" s="452" t="s">
        <v>427</v>
      </c>
      <c r="B11" s="453" t="s">
        <v>428</v>
      </c>
      <c r="C11" s="454" t="s">
        <v>432</v>
      </c>
      <c r="D11" s="455" t="s">
        <v>472</v>
      </c>
      <c r="E11" s="454" t="s">
        <v>1006</v>
      </c>
      <c r="F11" s="455" t="s">
        <v>1007</v>
      </c>
      <c r="G11" s="454" t="s">
        <v>498</v>
      </c>
      <c r="H11" s="454" t="s">
        <v>499</v>
      </c>
      <c r="I11" s="456">
        <v>0.59</v>
      </c>
      <c r="J11" s="456">
        <v>3000</v>
      </c>
      <c r="K11" s="457">
        <v>1778.8</v>
      </c>
    </row>
    <row r="12" spans="1:11" ht="14.4" customHeight="1" x14ac:dyDescent="0.3">
      <c r="A12" s="452" t="s">
        <v>427</v>
      </c>
      <c r="B12" s="453" t="s">
        <v>428</v>
      </c>
      <c r="C12" s="454" t="s">
        <v>432</v>
      </c>
      <c r="D12" s="455" t="s">
        <v>472</v>
      </c>
      <c r="E12" s="454" t="s">
        <v>1006</v>
      </c>
      <c r="F12" s="455" t="s">
        <v>1007</v>
      </c>
      <c r="G12" s="454" t="s">
        <v>500</v>
      </c>
      <c r="H12" s="454" t="s">
        <v>501</v>
      </c>
      <c r="I12" s="456">
        <v>1.02</v>
      </c>
      <c r="J12" s="456">
        <v>1000</v>
      </c>
      <c r="K12" s="457">
        <v>1016.4</v>
      </c>
    </row>
    <row r="13" spans="1:11" ht="14.4" customHeight="1" x14ac:dyDescent="0.3">
      <c r="A13" s="452" t="s">
        <v>427</v>
      </c>
      <c r="B13" s="453" t="s">
        <v>428</v>
      </c>
      <c r="C13" s="454" t="s">
        <v>432</v>
      </c>
      <c r="D13" s="455" t="s">
        <v>472</v>
      </c>
      <c r="E13" s="454" t="s">
        <v>1006</v>
      </c>
      <c r="F13" s="455" t="s">
        <v>1007</v>
      </c>
      <c r="G13" s="454" t="s">
        <v>502</v>
      </c>
      <c r="H13" s="454" t="s">
        <v>503</v>
      </c>
      <c r="I13" s="456">
        <v>8.9600000000000009</v>
      </c>
      <c r="J13" s="456">
        <v>2400</v>
      </c>
      <c r="K13" s="457">
        <v>21512.83</v>
      </c>
    </row>
    <row r="14" spans="1:11" ht="14.4" customHeight="1" x14ac:dyDescent="0.3">
      <c r="A14" s="452" t="s">
        <v>427</v>
      </c>
      <c r="B14" s="453" t="s">
        <v>428</v>
      </c>
      <c r="C14" s="454" t="s">
        <v>432</v>
      </c>
      <c r="D14" s="455" t="s">
        <v>472</v>
      </c>
      <c r="E14" s="454" t="s">
        <v>1008</v>
      </c>
      <c r="F14" s="455" t="s">
        <v>1009</v>
      </c>
      <c r="G14" s="454" t="s">
        <v>504</v>
      </c>
      <c r="H14" s="454" t="s">
        <v>505</v>
      </c>
      <c r="I14" s="456">
        <v>0.16</v>
      </c>
      <c r="J14" s="456">
        <v>12000</v>
      </c>
      <c r="K14" s="457">
        <v>1873.1</v>
      </c>
    </row>
    <row r="15" spans="1:11" ht="14.4" customHeight="1" x14ac:dyDescent="0.3">
      <c r="A15" s="452" t="s">
        <v>427</v>
      </c>
      <c r="B15" s="453" t="s">
        <v>428</v>
      </c>
      <c r="C15" s="454" t="s">
        <v>432</v>
      </c>
      <c r="D15" s="455" t="s">
        <v>472</v>
      </c>
      <c r="E15" s="454" t="s">
        <v>1008</v>
      </c>
      <c r="F15" s="455" t="s">
        <v>1009</v>
      </c>
      <c r="G15" s="454" t="s">
        <v>506</v>
      </c>
      <c r="H15" s="454" t="s">
        <v>507</v>
      </c>
      <c r="I15" s="456">
        <v>0.43</v>
      </c>
      <c r="J15" s="456">
        <v>500</v>
      </c>
      <c r="K15" s="457">
        <v>215</v>
      </c>
    </row>
    <row r="16" spans="1:11" ht="14.4" customHeight="1" x14ac:dyDescent="0.3">
      <c r="A16" s="452" t="s">
        <v>427</v>
      </c>
      <c r="B16" s="453" t="s">
        <v>428</v>
      </c>
      <c r="C16" s="454" t="s">
        <v>432</v>
      </c>
      <c r="D16" s="455" t="s">
        <v>472</v>
      </c>
      <c r="E16" s="454" t="s">
        <v>1008</v>
      </c>
      <c r="F16" s="455" t="s">
        <v>1009</v>
      </c>
      <c r="G16" s="454" t="s">
        <v>508</v>
      </c>
      <c r="H16" s="454" t="s">
        <v>509</v>
      </c>
      <c r="I16" s="456">
        <v>1.5550000000000002</v>
      </c>
      <c r="J16" s="456">
        <v>500</v>
      </c>
      <c r="K16" s="457">
        <v>777.06999999999994</v>
      </c>
    </row>
    <row r="17" spans="1:11" ht="14.4" customHeight="1" x14ac:dyDescent="0.3">
      <c r="A17" s="452" t="s">
        <v>427</v>
      </c>
      <c r="B17" s="453" t="s">
        <v>428</v>
      </c>
      <c r="C17" s="454" t="s">
        <v>432</v>
      </c>
      <c r="D17" s="455" t="s">
        <v>472</v>
      </c>
      <c r="E17" s="454" t="s">
        <v>1008</v>
      </c>
      <c r="F17" s="455" t="s">
        <v>1009</v>
      </c>
      <c r="G17" s="454" t="s">
        <v>510</v>
      </c>
      <c r="H17" s="454" t="s">
        <v>511</v>
      </c>
      <c r="I17" s="456">
        <v>0.48</v>
      </c>
      <c r="J17" s="456">
        <v>5000</v>
      </c>
      <c r="K17" s="457">
        <v>2354.5</v>
      </c>
    </row>
    <row r="18" spans="1:11" ht="14.4" customHeight="1" x14ac:dyDescent="0.3">
      <c r="A18" s="452" t="s">
        <v>427</v>
      </c>
      <c r="B18" s="453" t="s">
        <v>428</v>
      </c>
      <c r="C18" s="454" t="s">
        <v>432</v>
      </c>
      <c r="D18" s="455" t="s">
        <v>472</v>
      </c>
      <c r="E18" s="454" t="s">
        <v>1008</v>
      </c>
      <c r="F18" s="455" t="s">
        <v>1009</v>
      </c>
      <c r="G18" s="454" t="s">
        <v>512</v>
      </c>
      <c r="H18" s="454" t="s">
        <v>513</v>
      </c>
      <c r="I18" s="456">
        <v>2.15</v>
      </c>
      <c r="J18" s="456">
        <v>500</v>
      </c>
      <c r="K18" s="457">
        <v>1076.9000000000001</v>
      </c>
    </row>
    <row r="19" spans="1:11" ht="14.4" customHeight="1" x14ac:dyDescent="0.3">
      <c r="A19" s="452" t="s">
        <v>427</v>
      </c>
      <c r="B19" s="453" t="s">
        <v>428</v>
      </c>
      <c r="C19" s="454" t="s">
        <v>432</v>
      </c>
      <c r="D19" s="455" t="s">
        <v>472</v>
      </c>
      <c r="E19" s="454" t="s">
        <v>1008</v>
      </c>
      <c r="F19" s="455" t="s">
        <v>1009</v>
      </c>
      <c r="G19" s="454" t="s">
        <v>514</v>
      </c>
      <c r="H19" s="454" t="s">
        <v>515</v>
      </c>
      <c r="I19" s="456">
        <v>0.25</v>
      </c>
      <c r="J19" s="456">
        <v>2000</v>
      </c>
      <c r="K19" s="457">
        <v>498.52</v>
      </c>
    </row>
    <row r="20" spans="1:11" ht="14.4" customHeight="1" x14ac:dyDescent="0.3">
      <c r="A20" s="452" t="s">
        <v>427</v>
      </c>
      <c r="B20" s="453" t="s">
        <v>428</v>
      </c>
      <c r="C20" s="454" t="s">
        <v>432</v>
      </c>
      <c r="D20" s="455" t="s">
        <v>472</v>
      </c>
      <c r="E20" s="454" t="s">
        <v>1008</v>
      </c>
      <c r="F20" s="455" t="s">
        <v>1009</v>
      </c>
      <c r="G20" s="454" t="s">
        <v>516</v>
      </c>
      <c r="H20" s="454" t="s">
        <v>517</v>
      </c>
      <c r="I20" s="456">
        <v>9.68</v>
      </c>
      <c r="J20" s="456">
        <v>100</v>
      </c>
      <c r="K20" s="457">
        <v>968</v>
      </c>
    </row>
    <row r="21" spans="1:11" ht="14.4" customHeight="1" x14ac:dyDescent="0.3">
      <c r="A21" s="452" t="s">
        <v>427</v>
      </c>
      <c r="B21" s="453" t="s">
        <v>428</v>
      </c>
      <c r="C21" s="454" t="s">
        <v>432</v>
      </c>
      <c r="D21" s="455" t="s">
        <v>472</v>
      </c>
      <c r="E21" s="454" t="s">
        <v>1008</v>
      </c>
      <c r="F21" s="455" t="s">
        <v>1009</v>
      </c>
      <c r="G21" s="454" t="s">
        <v>518</v>
      </c>
      <c r="H21" s="454" t="s">
        <v>519</v>
      </c>
      <c r="I21" s="456">
        <v>2.21</v>
      </c>
      <c r="J21" s="456">
        <v>2304</v>
      </c>
      <c r="K21" s="457">
        <v>5086.84</v>
      </c>
    </row>
    <row r="22" spans="1:11" ht="14.4" customHeight="1" x14ac:dyDescent="0.3">
      <c r="A22" s="452" t="s">
        <v>427</v>
      </c>
      <c r="B22" s="453" t="s">
        <v>428</v>
      </c>
      <c r="C22" s="454" t="s">
        <v>432</v>
      </c>
      <c r="D22" s="455" t="s">
        <v>472</v>
      </c>
      <c r="E22" s="454" t="s">
        <v>1008</v>
      </c>
      <c r="F22" s="455" t="s">
        <v>1009</v>
      </c>
      <c r="G22" s="454" t="s">
        <v>520</v>
      </c>
      <c r="H22" s="454" t="s">
        <v>521</v>
      </c>
      <c r="I22" s="456">
        <v>1.43</v>
      </c>
      <c r="J22" s="456">
        <v>1920</v>
      </c>
      <c r="K22" s="457">
        <v>2741.86</v>
      </c>
    </row>
    <row r="23" spans="1:11" ht="14.4" customHeight="1" x14ac:dyDescent="0.3">
      <c r="A23" s="452" t="s">
        <v>427</v>
      </c>
      <c r="B23" s="453" t="s">
        <v>428</v>
      </c>
      <c r="C23" s="454" t="s">
        <v>432</v>
      </c>
      <c r="D23" s="455" t="s">
        <v>472</v>
      </c>
      <c r="E23" s="454" t="s">
        <v>1008</v>
      </c>
      <c r="F23" s="455" t="s">
        <v>1009</v>
      </c>
      <c r="G23" s="454" t="s">
        <v>522</v>
      </c>
      <c r="H23" s="454" t="s">
        <v>523</v>
      </c>
      <c r="I23" s="456">
        <v>2.99</v>
      </c>
      <c r="J23" s="456">
        <v>3000</v>
      </c>
      <c r="K23" s="457">
        <v>8984.25</v>
      </c>
    </row>
    <row r="24" spans="1:11" ht="14.4" customHeight="1" x14ac:dyDescent="0.3">
      <c r="A24" s="452" t="s">
        <v>427</v>
      </c>
      <c r="B24" s="453" t="s">
        <v>428</v>
      </c>
      <c r="C24" s="454" t="s">
        <v>432</v>
      </c>
      <c r="D24" s="455" t="s">
        <v>472</v>
      </c>
      <c r="E24" s="454" t="s">
        <v>1008</v>
      </c>
      <c r="F24" s="455" t="s">
        <v>1009</v>
      </c>
      <c r="G24" s="454" t="s">
        <v>524</v>
      </c>
      <c r="H24" s="454" t="s">
        <v>525</v>
      </c>
      <c r="I24" s="456">
        <v>2.6</v>
      </c>
      <c r="J24" s="456">
        <v>3072</v>
      </c>
      <c r="K24" s="457">
        <v>7986</v>
      </c>
    </row>
    <row r="25" spans="1:11" ht="14.4" customHeight="1" x14ac:dyDescent="0.3">
      <c r="A25" s="452" t="s">
        <v>427</v>
      </c>
      <c r="B25" s="453" t="s">
        <v>428</v>
      </c>
      <c r="C25" s="454" t="s">
        <v>432</v>
      </c>
      <c r="D25" s="455" t="s">
        <v>472</v>
      </c>
      <c r="E25" s="454" t="s">
        <v>1008</v>
      </c>
      <c r="F25" s="455" t="s">
        <v>1009</v>
      </c>
      <c r="G25" s="454" t="s">
        <v>526</v>
      </c>
      <c r="H25" s="454" t="s">
        <v>527</v>
      </c>
      <c r="I25" s="456">
        <v>0.2</v>
      </c>
      <c r="J25" s="456">
        <v>1000</v>
      </c>
      <c r="K25" s="457">
        <v>203.28</v>
      </c>
    </row>
    <row r="26" spans="1:11" ht="14.4" customHeight="1" x14ac:dyDescent="0.3">
      <c r="A26" s="452" t="s">
        <v>427</v>
      </c>
      <c r="B26" s="453" t="s">
        <v>428</v>
      </c>
      <c r="C26" s="454" t="s">
        <v>432</v>
      </c>
      <c r="D26" s="455" t="s">
        <v>472</v>
      </c>
      <c r="E26" s="454" t="s">
        <v>1010</v>
      </c>
      <c r="F26" s="455" t="s">
        <v>1011</v>
      </c>
      <c r="G26" s="454" t="s">
        <v>528</v>
      </c>
      <c r="H26" s="454" t="s">
        <v>529</v>
      </c>
      <c r="I26" s="456">
        <v>0.30499999999999999</v>
      </c>
      <c r="J26" s="456">
        <v>300</v>
      </c>
      <c r="K26" s="457">
        <v>91</v>
      </c>
    </row>
    <row r="27" spans="1:11" ht="14.4" customHeight="1" x14ac:dyDescent="0.3">
      <c r="A27" s="452" t="s">
        <v>427</v>
      </c>
      <c r="B27" s="453" t="s">
        <v>428</v>
      </c>
      <c r="C27" s="454" t="s">
        <v>432</v>
      </c>
      <c r="D27" s="455" t="s">
        <v>472</v>
      </c>
      <c r="E27" s="454" t="s">
        <v>1010</v>
      </c>
      <c r="F27" s="455" t="s">
        <v>1011</v>
      </c>
      <c r="G27" s="454" t="s">
        <v>530</v>
      </c>
      <c r="H27" s="454" t="s">
        <v>531</v>
      </c>
      <c r="I27" s="456">
        <v>0.48499999999999999</v>
      </c>
      <c r="J27" s="456">
        <v>400</v>
      </c>
      <c r="K27" s="457">
        <v>194</v>
      </c>
    </row>
    <row r="28" spans="1:11" ht="14.4" customHeight="1" x14ac:dyDescent="0.3">
      <c r="A28" s="452" t="s">
        <v>427</v>
      </c>
      <c r="B28" s="453" t="s">
        <v>428</v>
      </c>
      <c r="C28" s="454" t="s">
        <v>432</v>
      </c>
      <c r="D28" s="455" t="s">
        <v>472</v>
      </c>
      <c r="E28" s="454" t="s">
        <v>1012</v>
      </c>
      <c r="F28" s="455" t="s">
        <v>1013</v>
      </c>
      <c r="G28" s="454" t="s">
        <v>532</v>
      </c>
      <c r="H28" s="454" t="s">
        <v>533</v>
      </c>
      <c r="I28" s="456">
        <v>0.69</v>
      </c>
      <c r="J28" s="456">
        <v>2600</v>
      </c>
      <c r="K28" s="457">
        <v>1794</v>
      </c>
    </row>
    <row r="29" spans="1:11" ht="14.4" customHeight="1" x14ac:dyDescent="0.3">
      <c r="A29" s="452" t="s">
        <v>427</v>
      </c>
      <c r="B29" s="453" t="s">
        <v>428</v>
      </c>
      <c r="C29" s="454" t="s">
        <v>432</v>
      </c>
      <c r="D29" s="455" t="s">
        <v>472</v>
      </c>
      <c r="E29" s="454" t="s">
        <v>1012</v>
      </c>
      <c r="F29" s="455" t="s">
        <v>1013</v>
      </c>
      <c r="G29" s="454" t="s">
        <v>534</v>
      </c>
      <c r="H29" s="454" t="s">
        <v>535</v>
      </c>
      <c r="I29" s="456">
        <v>0.69</v>
      </c>
      <c r="J29" s="456">
        <v>2400</v>
      </c>
      <c r="K29" s="457">
        <v>1656</v>
      </c>
    </row>
    <row r="30" spans="1:11" ht="14.4" customHeight="1" x14ac:dyDescent="0.3">
      <c r="A30" s="452" t="s">
        <v>427</v>
      </c>
      <c r="B30" s="453" t="s">
        <v>428</v>
      </c>
      <c r="C30" s="454" t="s">
        <v>432</v>
      </c>
      <c r="D30" s="455" t="s">
        <v>472</v>
      </c>
      <c r="E30" s="454" t="s">
        <v>1014</v>
      </c>
      <c r="F30" s="455" t="s">
        <v>1015</v>
      </c>
      <c r="G30" s="454" t="s">
        <v>536</v>
      </c>
      <c r="H30" s="454" t="s">
        <v>537</v>
      </c>
      <c r="I30" s="456">
        <v>217.55176790945589</v>
      </c>
      <c r="J30" s="456">
        <v>3</v>
      </c>
      <c r="K30" s="457">
        <v>652.6553037283677</v>
      </c>
    </row>
    <row r="31" spans="1:11" ht="14.4" customHeight="1" x14ac:dyDescent="0.3">
      <c r="A31" s="452" t="s">
        <v>427</v>
      </c>
      <c r="B31" s="453" t="s">
        <v>428</v>
      </c>
      <c r="C31" s="454" t="s">
        <v>432</v>
      </c>
      <c r="D31" s="455" t="s">
        <v>472</v>
      </c>
      <c r="E31" s="454" t="s">
        <v>1014</v>
      </c>
      <c r="F31" s="455" t="s">
        <v>1015</v>
      </c>
      <c r="G31" s="454" t="s">
        <v>538</v>
      </c>
      <c r="H31" s="454" t="s">
        <v>539</v>
      </c>
      <c r="I31" s="456">
        <v>316.06572816211445</v>
      </c>
      <c r="J31" s="456">
        <v>12</v>
      </c>
      <c r="K31" s="457">
        <v>3792.2684297391597</v>
      </c>
    </row>
    <row r="32" spans="1:11" ht="14.4" customHeight="1" x14ac:dyDescent="0.3">
      <c r="A32" s="452" t="s">
        <v>427</v>
      </c>
      <c r="B32" s="453" t="s">
        <v>428</v>
      </c>
      <c r="C32" s="454" t="s">
        <v>432</v>
      </c>
      <c r="D32" s="455" t="s">
        <v>472</v>
      </c>
      <c r="E32" s="454" t="s">
        <v>1014</v>
      </c>
      <c r="F32" s="455" t="s">
        <v>1015</v>
      </c>
      <c r="G32" s="454" t="s">
        <v>540</v>
      </c>
      <c r="H32" s="454" t="s">
        <v>541</v>
      </c>
      <c r="I32" s="456">
        <v>12.960000000000004</v>
      </c>
      <c r="J32" s="456">
        <v>370</v>
      </c>
      <c r="K32" s="457">
        <v>4794.880000000001</v>
      </c>
    </row>
    <row r="33" spans="1:11" ht="14.4" customHeight="1" x14ac:dyDescent="0.3">
      <c r="A33" s="452" t="s">
        <v>427</v>
      </c>
      <c r="B33" s="453" t="s">
        <v>428</v>
      </c>
      <c r="C33" s="454" t="s">
        <v>432</v>
      </c>
      <c r="D33" s="455" t="s">
        <v>472</v>
      </c>
      <c r="E33" s="454" t="s">
        <v>1014</v>
      </c>
      <c r="F33" s="455" t="s">
        <v>1015</v>
      </c>
      <c r="G33" s="454" t="s">
        <v>542</v>
      </c>
      <c r="H33" s="454" t="s">
        <v>543</v>
      </c>
      <c r="I33" s="456">
        <v>25.92</v>
      </c>
      <c r="J33" s="456">
        <v>720</v>
      </c>
      <c r="K33" s="457">
        <v>18661.060000000001</v>
      </c>
    </row>
    <row r="34" spans="1:11" ht="14.4" customHeight="1" x14ac:dyDescent="0.3">
      <c r="A34" s="452" t="s">
        <v>427</v>
      </c>
      <c r="B34" s="453" t="s">
        <v>428</v>
      </c>
      <c r="C34" s="454" t="s">
        <v>432</v>
      </c>
      <c r="D34" s="455" t="s">
        <v>472</v>
      </c>
      <c r="E34" s="454" t="s">
        <v>1014</v>
      </c>
      <c r="F34" s="455" t="s">
        <v>1015</v>
      </c>
      <c r="G34" s="454" t="s">
        <v>544</v>
      </c>
      <c r="H34" s="454" t="s">
        <v>545</v>
      </c>
      <c r="I34" s="456">
        <v>16.2</v>
      </c>
      <c r="J34" s="456">
        <v>600</v>
      </c>
      <c r="K34" s="457">
        <v>9721.15</v>
      </c>
    </row>
    <row r="35" spans="1:11" ht="14.4" customHeight="1" x14ac:dyDescent="0.3">
      <c r="A35" s="452" t="s">
        <v>427</v>
      </c>
      <c r="B35" s="453" t="s">
        <v>428</v>
      </c>
      <c r="C35" s="454" t="s">
        <v>432</v>
      </c>
      <c r="D35" s="455" t="s">
        <v>472</v>
      </c>
      <c r="E35" s="454" t="s">
        <v>1014</v>
      </c>
      <c r="F35" s="455" t="s">
        <v>1015</v>
      </c>
      <c r="G35" s="454" t="s">
        <v>546</v>
      </c>
      <c r="H35" s="454" t="s">
        <v>547</v>
      </c>
      <c r="I35" s="456">
        <v>9.68</v>
      </c>
      <c r="J35" s="456">
        <v>2380</v>
      </c>
      <c r="K35" s="457">
        <v>23038.41</v>
      </c>
    </row>
    <row r="36" spans="1:11" ht="14.4" customHeight="1" x14ac:dyDescent="0.3">
      <c r="A36" s="452" t="s">
        <v>427</v>
      </c>
      <c r="B36" s="453" t="s">
        <v>428</v>
      </c>
      <c r="C36" s="454" t="s">
        <v>432</v>
      </c>
      <c r="D36" s="455" t="s">
        <v>472</v>
      </c>
      <c r="E36" s="454" t="s">
        <v>1014</v>
      </c>
      <c r="F36" s="455" t="s">
        <v>1015</v>
      </c>
      <c r="G36" s="454" t="s">
        <v>548</v>
      </c>
      <c r="H36" s="454" t="s">
        <v>549</v>
      </c>
      <c r="I36" s="456">
        <v>12.31</v>
      </c>
      <c r="J36" s="456">
        <v>2760</v>
      </c>
      <c r="K36" s="457">
        <v>33963.630000000005</v>
      </c>
    </row>
    <row r="37" spans="1:11" ht="14.4" customHeight="1" x14ac:dyDescent="0.3">
      <c r="A37" s="452" t="s">
        <v>427</v>
      </c>
      <c r="B37" s="453" t="s">
        <v>428</v>
      </c>
      <c r="C37" s="454" t="s">
        <v>432</v>
      </c>
      <c r="D37" s="455" t="s">
        <v>472</v>
      </c>
      <c r="E37" s="454" t="s">
        <v>1014</v>
      </c>
      <c r="F37" s="455" t="s">
        <v>1015</v>
      </c>
      <c r="G37" s="454" t="s">
        <v>550</v>
      </c>
      <c r="H37" s="454" t="s">
        <v>551</v>
      </c>
      <c r="I37" s="456">
        <v>19.43</v>
      </c>
      <c r="J37" s="456">
        <v>20</v>
      </c>
      <c r="K37" s="457">
        <v>388.65</v>
      </c>
    </row>
    <row r="38" spans="1:11" ht="14.4" customHeight="1" x14ac:dyDescent="0.3">
      <c r="A38" s="452" t="s">
        <v>427</v>
      </c>
      <c r="B38" s="453" t="s">
        <v>428</v>
      </c>
      <c r="C38" s="454" t="s">
        <v>432</v>
      </c>
      <c r="D38" s="455" t="s">
        <v>472</v>
      </c>
      <c r="E38" s="454" t="s">
        <v>1014</v>
      </c>
      <c r="F38" s="455" t="s">
        <v>1015</v>
      </c>
      <c r="G38" s="454" t="s">
        <v>552</v>
      </c>
      <c r="H38" s="454" t="s">
        <v>553</v>
      </c>
      <c r="I38" s="456">
        <v>33.659999999999997</v>
      </c>
      <c r="J38" s="456">
        <v>50</v>
      </c>
      <c r="K38" s="457">
        <v>1683.1</v>
      </c>
    </row>
    <row r="39" spans="1:11" ht="14.4" customHeight="1" x14ac:dyDescent="0.3">
      <c r="A39" s="452" t="s">
        <v>427</v>
      </c>
      <c r="B39" s="453" t="s">
        <v>428</v>
      </c>
      <c r="C39" s="454" t="s">
        <v>432</v>
      </c>
      <c r="D39" s="455" t="s">
        <v>472</v>
      </c>
      <c r="E39" s="454" t="s">
        <v>1014</v>
      </c>
      <c r="F39" s="455" t="s">
        <v>1015</v>
      </c>
      <c r="G39" s="454" t="s">
        <v>554</v>
      </c>
      <c r="H39" s="454" t="s">
        <v>555</v>
      </c>
      <c r="I39" s="456">
        <v>15.55</v>
      </c>
      <c r="J39" s="456">
        <v>10</v>
      </c>
      <c r="K39" s="457">
        <v>155.49</v>
      </c>
    </row>
    <row r="40" spans="1:11" ht="14.4" customHeight="1" x14ac:dyDescent="0.3">
      <c r="A40" s="452" t="s">
        <v>427</v>
      </c>
      <c r="B40" s="453" t="s">
        <v>428</v>
      </c>
      <c r="C40" s="454" t="s">
        <v>432</v>
      </c>
      <c r="D40" s="455" t="s">
        <v>472</v>
      </c>
      <c r="E40" s="454" t="s">
        <v>1014</v>
      </c>
      <c r="F40" s="455" t="s">
        <v>1015</v>
      </c>
      <c r="G40" s="454" t="s">
        <v>556</v>
      </c>
      <c r="H40" s="454" t="s">
        <v>557</v>
      </c>
      <c r="I40" s="456">
        <v>9.7200000000000006</v>
      </c>
      <c r="J40" s="456">
        <v>40</v>
      </c>
      <c r="K40" s="457">
        <v>388.66</v>
      </c>
    </row>
    <row r="41" spans="1:11" ht="14.4" customHeight="1" x14ac:dyDescent="0.3">
      <c r="A41" s="452" t="s">
        <v>427</v>
      </c>
      <c r="B41" s="453" t="s">
        <v>428</v>
      </c>
      <c r="C41" s="454" t="s">
        <v>432</v>
      </c>
      <c r="D41" s="455" t="s">
        <v>472</v>
      </c>
      <c r="E41" s="454" t="s">
        <v>1014</v>
      </c>
      <c r="F41" s="455" t="s">
        <v>1015</v>
      </c>
      <c r="G41" s="454" t="s">
        <v>558</v>
      </c>
      <c r="H41" s="454" t="s">
        <v>559</v>
      </c>
      <c r="I41" s="456">
        <v>47.066666666666663</v>
      </c>
      <c r="J41" s="456">
        <v>6</v>
      </c>
      <c r="K41" s="457">
        <v>282.40999999999997</v>
      </c>
    </row>
    <row r="42" spans="1:11" ht="14.4" customHeight="1" x14ac:dyDescent="0.3">
      <c r="A42" s="452" t="s">
        <v>427</v>
      </c>
      <c r="B42" s="453" t="s">
        <v>428</v>
      </c>
      <c r="C42" s="454" t="s">
        <v>432</v>
      </c>
      <c r="D42" s="455" t="s">
        <v>472</v>
      </c>
      <c r="E42" s="454" t="s">
        <v>1014</v>
      </c>
      <c r="F42" s="455" t="s">
        <v>1015</v>
      </c>
      <c r="G42" s="454" t="s">
        <v>560</v>
      </c>
      <c r="H42" s="454" t="s">
        <v>561</v>
      </c>
      <c r="I42" s="456">
        <v>11.660000000000002</v>
      </c>
      <c r="J42" s="456">
        <v>70</v>
      </c>
      <c r="K42" s="457">
        <v>816.51</v>
      </c>
    </row>
    <row r="43" spans="1:11" ht="14.4" customHeight="1" x14ac:dyDescent="0.3">
      <c r="A43" s="452" t="s">
        <v>427</v>
      </c>
      <c r="B43" s="453" t="s">
        <v>428</v>
      </c>
      <c r="C43" s="454" t="s">
        <v>432</v>
      </c>
      <c r="D43" s="455" t="s">
        <v>472</v>
      </c>
      <c r="E43" s="454" t="s">
        <v>1014</v>
      </c>
      <c r="F43" s="455" t="s">
        <v>1015</v>
      </c>
      <c r="G43" s="454" t="s">
        <v>562</v>
      </c>
      <c r="H43" s="454" t="s">
        <v>563</v>
      </c>
      <c r="I43" s="456">
        <v>10097.276</v>
      </c>
      <c r="J43" s="456">
        <v>5</v>
      </c>
      <c r="K43" s="457">
        <v>50486.38</v>
      </c>
    </row>
    <row r="44" spans="1:11" ht="14.4" customHeight="1" x14ac:dyDescent="0.3">
      <c r="A44" s="452" t="s">
        <v>427</v>
      </c>
      <c r="B44" s="453" t="s">
        <v>428</v>
      </c>
      <c r="C44" s="454" t="s">
        <v>432</v>
      </c>
      <c r="D44" s="455" t="s">
        <v>472</v>
      </c>
      <c r="E44" s="454" t="s">
        <v>1014</v>
      </c>
      <c r="F44" s="455" t="s">
        <v>1015</v>
      </c>
      <c r="G44" s="454" t="s">
        <v>564</v>
      </c>
      <c r="H44" s="454" t="s">
        <v>565</v>
      </c>
      <c r="I44" s="456">
        <v>34618.892000000007</v>
      </c>
      <c r="J44" s="456">
        <v>5</v>
      </c>
      <c r="K44" s="457">
        <v>173094.46000000002</v>
      </c>
    </row>
    <row r="45" spans="1:11" ht="14.4" customHeight="1" x14ac:dyDescent="0.3">
      <c r="A45" s="452" t="s">
        <v>427</v>
      </c>
      <c r="B45" s="453" t="s">
        <v>428</v>
      </c>
      <c r="C45" s="454" t="s">
        <v>432</v>
      </c>
      <c r="D45" s="455" t="s">
        <v>472</v>
      </c>
      <c r="E45" s="454" t="s">
        <v>1014</v>
      </c>
      <c r="F45" s="455" t="s">
        <v>1015</v>
      </c>
      <c r="G45" s="454" t="s">
        <v>566</v>
      </c>
      <c r="H45" s="454" t="s">
        <v>567</v>
      </c>
      <c r="I45" s="456">
        <v>51.79</v>
      </c>
      <c r="J45" s="456">
        <v>10</v>
      </c>
      <c r="K45" s="457">
        <v>517.88</v>
      </c>
    </row>
    <row r="46" spans="1:11" ht="14.4" customHeight="1" x14ac:dyDescent="0.3">
      <c r="A46" s="452" t="s">
        <v>427</v>
      </c>
      <c r="B46" s="453" t="s">
        <v>428</v>
      </c>
      <c r="C46" s="454" t="s">
        <v>432</v>
      </c>
      <c r="D46" s="455" t="s">
        <v>472</v>
      </c>
      <c r="E46" s="454" t="s">
        <v>1014</v>
      </c>
      <c r="F46" s="455" t="s">
        <v>1015</v>
      </c>
      <c r="G46" s="454" t="s">
        <v>568</v>
      </c>
      <c r="H46" s="454" t="s">
        <v>569</v>
      </c>
      <c r="I46" s="456">
        <v>11.66</v>
      </c>
      <c r="J46" s="456">
        <v>170</v>
      </c>
      <c r="K46" s="457">
        <v>1982.94</v>
      </c>
    </row>
    <row r="47" spans="1:11" ht="14.4" customHeight="1" x14ac:dyDescent="0.3">
      <c r="A47" s="452" t="s">
        <v>427</v>
      </c>
      <c r="B47" s="453" t="s">
        <v>428</v>
      </c>
      <c r="C47" s="454" t="s">
        <v>432</v>
      </c>
      <c r="D47" s="455" t="s">
        <v>472</v>
      </c>
      <c r="E47" s="454" t="s">
        <v>1014</v>
      </c>
      <c r="F47" s="455" t="s">
        <v>1015</v>
      </c>
      <c r="G47" s="454" t="s">
        <v>570</v>
      </c>
      <c r="H47" s="454" t="s">
        <v>571</v>
      </c>
      <c r="I47" s="456">
        <v>10.29</v>
      </c>
      <c r="J47" s="456">
        <v>120</v>
      </c>
      <c r="K47" s="457">
        <v>1234.1999999999998</v>
      </c>
    </row>
    <row r="48" spans="1:11" ht="14.4" customHeight="1" x14ac:dyDescent="0.3">
      <c r="A48" s="452" t="s">
        <v>427</v>
      </c>
      <c r="B48" s="453" t="s">
        <v>428</v>
      </c>
      <c r="C48" s="454" t="s">
        <v>432</v>
      </c>
      <c r="D48" s="455" t="s">
        <v>472</v>
      </c>
      <c r="E48" s="454" t="s">
        <v>1014</v>
      </c>
      <c r="F48" s="455" t="s">
        <v>1015</v>
      </c>
      <c r="G48" s="454" t="s">
        <v>572</v>
      </c>
      <c r="H48" s="454" t="s">
        <v>573</v>
      </c>
      <c r="I48" s="456">
        <v>16.53</v>
      </c>
      <c r="J48" s="456">
        <v>11664</v>
      </c>
      <c r="K48" s="457">
        <v>192789.88</v>
      </c>
    </row>
    <row r="49" spans="1:11" ht="14.4" customHeight="1" x14ac:dyDescent="0.3">
      <c r="A49" s="452" t="s">
        <v>427</v>
      </c>
      <c r="B49" s="453" t="s">
        <v>428</v>
      </c>
      <c r="C49" s="454" t="s">
        <v>432</v>
      </c>
      <c r="D49" s="455" t="s">
        <v>472</v>
      </c>
      <c r="E49" s="454" t="s">
        <v>1014</v>
      </c>
      <c r="F49" s="455" t="s">
        <v>1015</v>
      </c>
      <c r="G49" s="454" t="s">
        <v>574</v>
      </c>
      <c r="H49" s="454" t="s">
        <v>575</v>
      </c>
      <c r="I49" s="456">
        <v>17.545000000000002</v>
      </c>
      <c r="J49" s="456">
        <v>720</v>
      </c>
      <c r="K49" s="457">
        <v>12632.380000000001</v>
      </c>
    </row>
    <row r="50" spans="1:11" ht="14.4" customHeight="1" x14ac:dyDescent="0.3">
      <c r="A50" s="452" t="s">
        <v>427</v>
      </c>
      <c r="B50" s="453" t="s">
        <v>428</v>
      </c>
      <c r="C50" s="454" t="s">
        <v>432</v>
      </c>
      <c r="D50" s="455" t="s">
        <v>472</v>
      </c>
      <c r="E50" s="454" t="s">
        <v>1014</v>
      </c>
      <c r="F50" s="455" t="s">
        <v>1015</v>
      </c>
      <c r="G50" s="454" t="s">
        <v>576</v>
      </c>
      <c r="H50" s="454" t="s">
        <v>577</v>
      </c>
      <c r="I50" s="456">
        <v>10.37</v>
      </c>
      <c r="J50" s="456">
        <v>560</v>
      </c>
      <c r="K50" s="457">
        <v>5807.05</v>
      </c>
    </row>
    <row r="51" spans="1:11" ht="14.4" customHeight="1" x14ac:dyDescent="0.3">
      <c r="A51" s="452" t="s">
        <v>427</v>
      </c>
      <c r="B51" s="453" t="s">
        <v>428</v>
      </c>
      <c r="C51" s="454" t="s">
        <v>432</v>
      </c>
      <c r="D51" s="455" t="s">
        <v>472</v>
      </c>
      <c r="E51" s="454" t="s">
        <v>1014</v>
      </c>
      <c r="F51" s="455" t="s">
        <v>1015</v>
      </c>
      <c r="G51" s="454" t="s">
        <v>578</v>
      </c>
      <c r="H51" s="454" t="s">
        <v>579</v>
      </c>
      <c r="I51" s="456">
        <v>18.751666666666669</v>
      </c>
      <c r="J51" s="456">
        <v>648</v>
      </c>
      <c r="K51" s="457">
        <v>12153.239999999998</v>
      </c>
    </row>
    <row r="52" spans="1:11" ht="14.4" customHeight="1" x14ac:dyDescent="0.3">
      <c r="A52" s="452" t="s">
        <v>427</v>
      </c>
      <c r="B52" s="453" t="s">
        <v>428</v>
      </c>
      <c r="C52" s="454" t="s">
        <v>432</v>
      </c>
      <c r="D52" s="455" t="s">
        <v>472</v>
      </c>
      <c r="E52" s="454" t="s">
        <v>1014</v>
      </c>
      <c r="F52" s="455" t="s">
        <v>1015</v>
      </c>
      <c r="G52" s="454" t="s">
        <v>580</v>
      </c>
      <c r="H52" s="454" t="s">
        <v>581</v>
      </c>
      <c r="I52" s="456">
        <v>20.744999999999997</v>
      </c>
      <c r="J52" s="456">
        <v>120</v>
      </c>
      <c r="K52" s="457">
        <v>2489.36</v>
      </c>
    </row>
    <row r="53" spans="1:11" ht="14.4" customHeight="1" x14ac:dyDescent="0.3">
      <c r="A53" s="452" t="s">
        <v>427</v>
      </c>
      <c r="B53" s="453" t="s">
        <v>428</v>
      </c>
      <c r="C53" s="454" t="s">
        <v>432</v>
      </c>
      <c r="D53" s="455" t="s">
        <v>472</v>
      </c>
      <c r="E53" s="454" t="s">
        <v>1014</v>
      </c>
      <c r="F53" s="455" t="s">
        <v>1015</v>
      </c>
      <c r="G53" s="454" t="s">
        <v>582</v>
      </c>
      <c r="H53" s="454" t="s">
        <v>583</v>
      </c>
      <c r="I53" s="456">
        <v>12.960000000000004</v>
      </c>
      <c r="J53" s="456">
        <v>370</v>
      </c>
      <c r="K53" s="457">
        <v>4794.880000000001</v>
      </c>
    </row>
    <row r="54" spans="1:11" ht="14.4" customHeight="1" x14ac:dyDescent="0.3">
      <c r="A54" s="452" t="s">
        <v>427</v>
      </c>
      <c r="B54" s="453" t="s">
        <v>428</v>
      </c>
      <c r="C54" s="454" t="s">
        <v>432</v>
      </c>
      <c r="D54" s="455" t="s">
        <v>472</v>
      </c>
      <c r="E54" s="454" t="s">
        <v>1014</v>
      </c>
      <c r="F54" s="455" t="s">
        <v>1015</v>
      </c>
      <c r="G54" s="454" t="s">
        <v>584</v>
      </c>
      <c r="H54" s="454" t="s">
        <v>585</v>
      </c>
      <c r="I54" s="456">
        <v>9.68</v>
      </c>
      <c r="J54" s="456">
        <v>550</v>
      </c>
      <c r="K54" s="457">
        <v>5324</v>
      </c>
    </row>
    <row r="55" spans="1:11" ht="14.4" customHeight="1" x14ac:dyDescent="0.3">
      <c r="A55" s="452" t="s">
        <v>427</v>
      </c>
      <c r="B55" s="453" t="s">
        <v>428</v>
      </c>
      <c r="C55" s="454" t="s">
        <v>432</v>
      </c>
      <c r="D55" s="455" t="s">
        <v>472</v>
      </c>
      <c r="E55" s="454" t="s">
        <v>1014</v>
      </c>
      <c r="F55" s="455" t="s">
        <v>1015</v>
      </c>
      <c r="G55" s="454" t="s">
        <v>586</v>
      </c>
      <c r="H55" s="454" t="s">
        <v>587</v>
      </c>
      <c r="I55" s="456">
        <v>32.389999999999993</v>
      </c>
      <c r="J55" s="456">
        <v>110</v>
      </c>
      <c r="K55" s="457">
        <v>3563.1000000000004</v>
      </c>
    </row>
    <row r="56" spans="1:11" ht="14.4" customHeight="1" x14ac:dyDescent="0.3">
      <c r="A56" s="452" t="s">
        <v>427</v>
      </c>
      <c r="B56" s="453" t="s">
        <v>428</v>
      </c>
      <c r="C56" s="454" t="s">
        <v>432</v>
      </c>
      <c r="D56" s="455" t="s">
        <v>472</v>
      </c>
      <c r="E56" s="454" t="s">
        <v>1014</v>
      </c>
      <c r="F56" s="455" t="s">
        <v>1015</v>
      </c>
      <c r="G56" s="454" t="s">
        <v>588</v>
      </c>
      <c r="H56" s="454" t="s">
        <v>589</v>
      </c>
      <c r="I56" s="456">
        <v>43.56</v>
      </c>
      <c r="J56" s="456">
        <v>10</v>
      </c>
      <c r="K56" s="457">
        <v>435.6</v>
      </c>
    </row>
    <row r="57" spans="1:11" ht="14.4" customHeight="1" x14ac:dyDescent="0.3">
      <c r="A57" s="452" t="s">
        <v>427</v>
      </c>
      <c r="B57" s="453" t="s">
        <v>428</v>
      </c>
      <c r="C57" s="454" t="s">
        <v>432</v>
      </c>
      <c r="D57" s="455" t="s">
        <v>472</v>
      </c>
      <c r="E57" s="454" t="s">
        <v>1014</v>
      </c>
      <c r="F57" s="455" t="s">
        <v>1015</v>
      </c>
      <c r="G57" s="454" t="s">
        <v>590</v>
      </c>
      <c r="H57" s="454" t="s">
        <v>591</v>
      </c>
      <c r="I57" s="456">
        <v>11.65</v>
      </c>
      <c r="J57" s="456">
        <v>50</v>
      </c>
      <c r="K57" s="457">
        <v>582.61</v>
      </c>
    </row>
    <row r="58" spans="1:11" ht="14.4" customHeight="1" x14ac:dyDescent="0.3">
      <c r="A58" s="452" t="s">
        <v>427</v>
      </c>
      <c r="B58" s="453" t="s">
        <v>428</v>
      </c>
      <c r="C58" s="454" t="s">
        <v>432</v>
      </c>
      <c r="D58" s="455" t="s">
        <v>472</v>
      </c>
      <c r="E58" s="454" t="s">
        <v>1014</v>
      </c>
      <c r="F58" s="455" t="s">
        <v>1015</v>
      </c>
      <c r="G58" s="454" t="s">
        <v>592</v>
      </c>
      <c r="H58" s="454" t="s">
        <v>593</v>
      </c>
      <c r="I58" s="456">
        <v>51.420000000000009</v>
      </c>
      <c r="J58" s="456">
        <v>80</v>
      </c>
      <c r="K58" s="457">
        <v>4113.7600000000011</v>
      </c>
    </row>
    <row r="59" spans="1:11" ht="14.4" customHeight="1" x14ac:dyDescent="0.3">
      <c r="A59" s="452" t="s">
        <v>427</v>
      </c>
      <c r="B59" s="453" t="s">
        <v>428</v>
      </c>
      <c r="C59" s="454" t="s">
        <v>432</v>
      </c>
      <c r="D59" s="455" t="s">
        <v>472</v>
      </c>
      <c r="E59" s="454" t="s">
        <v>1014</v>
      </c>
      <c r="F59" s="455" t="s">
        <v>1015</v>
      </c>
      <c r="G59" s="454" t="s">
        <v>594</v>
      </c>
      <c r="H59" s="454" t="s">
        <v>595</v>
      </c>
      <c r="I59" s="456">
        <v>51.420000000000009</v>
      </c>
      <c r="J59" s="456">
        <v>80</v>
      </c>
      <c r="K59" s="457">
        <v>4113.7600000000011</v>
      </c>
    </row>
    <row r="60" spans="1:11" ht="14.4" customHeight="1" x14ac:dyDescent="0.3">
      <c r="A60" s="452" t="s">
        <v>427</v>
      </c>
      <c r="B60" s="453" t="s">
        <v>428</v>
      </c>
      <c r="C60" s="454" t="s">
        <v>432</v>
      </c>
      <c r="D60" s="455" t="s">
        <v>472</v>
      </c>
      <c r="E60" s="454" t="s">
        <v>1014</v>
      </c>
      <c r="F60" s="455" t="s">
        <v>1015</v>
      </c>
      <c r="G60" s="454" t="s">
        <v>596</v>
      </c>
      <c r="H60" s="454" t="s">
        <v>597</v>
      </c>
      <c r="I60" s="456">
        <v>51.409999999999982</v>
      </c>
      <c r="J60" s="456">
        <v>80</v>
      </c>
      <c r="K60" s="457">
        <v>4112.8</v>
      </c>
    </row>
    <row r="61" spans="1:11" ht="14.4" customHeight="1" x14ac:dyDescent="0.3">
      <c r="A61" s="452" t="s">
        <v>427</v>
      </c>
      <c r="B61" s="453" t="s">
        <v>428</v>
      </c>
      <c r="C61" s="454" t="s">
        <v>432</v>
      </c>
      <c r="D61" s="455" t="s">
        <v>472</v>
      </c>
      <c r="E61" s="454" t="s">
        <v>1014</v>
      </c>
      <c r="F61" s="455" t="s">
        <v>1015</v>
      </c>
      <c r="G61" s="454" t="s">
        <v>598</v>
      </c>
      <c r="H61" s="454" t="s">
        <v>599</v>
      </c>
      <c r="I61" s="456">
        <v>51.409999999999982</v>
      </c>
      <c r="J61" s="456">
        <v>80</v>
      </c>
      <c r="K61" s="457">
        <v>4112.8</v>
      </c>
    </row>
    <row r="62" spans="1:11" ht="14.4" customHeight="1" x14ac:dyDescent="0.3">
      <c r="A62" s="452" t="s">
        <v>427</v>
      </c>
      <c r="B62" s="453" t="s">
        <v>428</v>
      </c>
      <c r="C62" s="454" t="s">
        <v>432</v>
      </c>
      <c r="D62" s="455" t="s">
        <v>472</v>
      </c>
      <c r="E62" s="454" t="s">
        <v>1014</v>
      </c>
      <c r="F62" s="455" t="s">
        <v>1015</v>
      </c>
      <c r="G62" s="454" t="s">
        <v>600</v>
      </c>
      <c r="H62" s="454" t="s">
        <v>601</v>
      </c>
      <c r="I62" s="456">
        <v>51.420000000000009</v>
      </c>
      <c r="J62" s="456">
        <v>240</v>
      </c>
      <c r="K62" s="457">
        <v>12341.520000000002</v>
      </c>
    </row>
    <row r="63" spans="1:11" ht="14.4" customHeight="1" x14ac:dyDescent="0.3">
      <c r="A63" s="452" t="s">
        <v>427</v>
      </c>
      <c r="B63" s="453" t="s">
        <v>428</v>
      </c>
      <c r="C63" s="454" t="s">
        <v>432</v>
      </c>
      <c r="D63" s="455" t="s">
        <v>472</v>
      </c>
      <c r="E63" s="454" t="s">
        <v>1014</v>
      </c>
      <c r="F63" s="455" t="s">
        <v>1015</v>
      </c>
      <c r="G63" s="454" t="s">
        <v>602</v>
      </c>
      <c r="H63" s="454" t="s">
        <v>603</v>
      </c>
      <c r="I63" s="456">
        <v>51.420000000000009</v>
      </c>
      <c r="J63" s="456">
        <v>240</v>
      </c>
      <c r="K63" s="457">
        <v>12341.36</v>
      </c>
    </row>
    <row r="64" spans="1:11" ht="14.4" customHeight="1" x14ac:dyDescent="0.3">
      <c r="A64" s="452" t="s">
        <v>427</v>
      </c>
      <c r="B64" s="453" t="s">
        <v>428</v>
      </c>
      <c r="C64" s="454" t="s">
        <v>432</v>
      </c>
      <c r="D64" s="455" t="s">
        <v>472</v>
      </c>
      <c r="E64" s="454" t="s">
        <v>1014</v>
      </c>
      <c r="F64" s="455" t="s">
        <v>1015</v>
      </c>
      <c r="G64" s="454" t="s">
        <v>604</v>
      </c>
      <c r="H64" s="454" t="s">
        <v>605</v>
      </c>
      <c r="I64" s="456">
        <v>87</v>
      </c>
      <c r="J64" s="456">
        <v>6</v>
      </c>
      <c r="K64" s="457">
        <v>521.99</v>
      </c>
    </row>
    <row r="65" spans="1:11" ht="14.4" customHeight="1" x14ac:dyDescent="0.3">
      <c r="A65" s="452" t="s">
        <v>427</v>
      </c>
      <c r="B65" s="453" t="s">
        <v>428</v>
      </c>
      <c r="C65" s="454" t="s">
        <v>432</v>
      </c>
      <c r="D65" s="455" t="s">
        <v>472</v>
      </c>
      <c r="E65" s="454" t="s">
        <v>1014</v>
      </c>
      <c r="F65" s="455" t="s">
        <v>1015</v>
      </c>
      <c r="G65" s="454" t="s">
        <v>606</v>
      </c>
      <c r="H65" s="454" t="s">
        <v>607</v>
      </c>
      <c r="I65" s="456">
        <v>4686.33</v>
      </c>
      <c r="J65" s="456">
        <v>2</v>
      </c>
      <c r="K65" s="457">
        <v>9372.66</v>
      </c>
    </row>
    <row r="66" spans="1:11" ht="14.4" customHeight="1" x14ac:dyDescent="0.3">
      <c r="A66" s="452" t="s">
        <v>427</v>
      </c>
      <c r="B66" s="453" t="s">
        <v>428</v>
      </c>
      <c r="C66" s="454" t="s">
        <v>432</v>
      </c>
      <c r="D66" s="455" t="s">
        <v>472</v>
      </c>
      <c r="E66" s="454" t="s">
        <v>1014</v>
      </c>
      <c r="F66" s="455" t="s">
        <v>1015</v>
      </c>
      <c r="G66" s="454" t="s">
        <v>608</v>
      </c>
      <c r="H66" s="454" t="s">
        <v>609</v>
      </c>
      <c r="I66" s="456">
        <v>8569.2199999999993</v>
      </c>
      <c r="J66" s="456">
        <v>4</v>
      </c>
      <c r="K66" s="457">
        <v>34276.879999999997</v>
      </c>
    </row>
    <row r="67" spans="1:11" ht="14.4" customHeight="1" x14ac:dyDescent="0.3">
      <c r="A67" s="452" t="s">
        <v>427</v>
      </c>
      <c r="B67" s="453" t="s">
        <v>428</v>
      </c>
      <c r="C67" s="454" t="s">
        <v>432</v>
      </c>
      <c r="D67" s="455" t="s">
        <v>472</v>
      </c>
      <c r="E67" s="454" t="s">
        <v>1014</v>
      </c>
      <c r="F67" s="455" t="s">
        <v>1015</v>
      </c>
      <c r="G67" s="454" t="s">
        <v>610</v>
      </c>
      <c r="H67" s="454" t="s">
        <v>611</v>
      </c>
      <c r="I67" s="456">
        <v>3346.86</v>
      </c>
      <c r="J67" s="456">
        <v>2</v>
      </c>
      <c r="K67" s="457">
        <v>6693.72</v>
      </c>
    </row>
    <row r="68" spans="1:11" ht="14.4" customHeight="1" x14ac:dyDescent="0.3">
      <c r="A68" s="452" t="s">
        <v>427</v>
      </c>
      <c r="B68" s="453" t="s">
        <v>428</v>
      </c>
      <c r="C68" s="454" t="s">
        <v>432</v>
      </c>
      <c r="D68" s="455" t="s">
        <v>472</v>
      </c>
      <c r="E68" s="454" t="s">
        <v>1014</v>
      </c>
      <c r="F68" s="455" t="s">
        <v>1015</v>
      </c>
      <c r="G68" s="454" t="s">
        <v>612</v>
      </c>
      <c r="H68" s="454" t="s">
        <v>613</v>
      </c>
      <c r="I68" s="456">
        <v>18.79</v>
      </c>
      <c r="J68" s="456">
        <v>360</v>
      </c>
      <c r="K68" s="457">
        <v>6764.9</v>
      </c>
    </row>
    <row r="69" spans="1:11" ht="14.4" customHeight="1" x14ac:dyDescent="0.3">
      <c r="A69" s="452" t="s">
        <v>427</v>
      </c>
      <c r="B69" s="453" t="s">
        <v>428</v>
      </c>
      <c r="C69" s="454" t="s">
        <v>432</v>
      </c>
      <c r="D69" s="455" t="s">
        <v>472</v>
      </c>
      <c r="E69" s="454" t="s">
        <v>1014</v>
      </c>
      <c r="F69" s="455" t="s">
        <v>1015</v>
      </c>
      <c r="G69" s="454" t="s">
        <v>614</v>
      </c>
      <c r="H69" s="454" t="s">
        <v>615</v>
      </c>
      <c r="I69" s="456">
        <v>4356</v>
      </c>
      <c r="J69" s="456">
        <v>13</v>
      </c>
      <c r="K69" s="457">
        <v>56628</v>
      </c>
    </row>
    <row r="70" spans="1:11" ht="14.4" customHeight="1" x14ac:dyDescent="0.3">
      <c r="A70" s="452" t="s">
        <v>427</v>
      </c>
      <c r="B70" s="453" t="s">
        <v>428</v>
      </c>
      <c r="C70" s="454" t="s">
        <v>432</v>
      </c>
      <c r="D70" s="455" t="s">
        <v>472</v>
      </c>
      <c r="E70" s="454" t="s">
        <v>1014</v>
      </c>
      <c r="F70" s="455" t="s">
        <v>1015</v>
      </c>
      <c r="G70" s="454" t="s">
        <v>616</v>
      </c>
      <c r="H70" s="454" t="s">
        <v>617</v>
      </c>
      <c r="I70" s="456">
        <v>4356</v>
      </c>
      <c r="J70" s="456">
        <v>13</v>
      </c>
      <c r="K70" s="457">
        <v>56628</v>
      </c>
    </row>
    <row r="71" spans="1:11" ht="14.4" customHeight="1" x14ac:dyDescent="0.3">
      <c r="A71" s="452" t="s">
        <v>427</v>
      </c>
      <c r="B71" s="453" t="s">
        <v>428</v>
      </c>
      <c r="C71" s="454" t="s">
        <v>432</v>
      </c>
      <c r="D71" s="455" t="s">
        <v>472</v>
      </c>
      <c r="E71" s="454" t="s">
        <v>1014</v>
      </c>
      <c r="F71" s="455" t="s">
        <v>1015</v>
      </c>
      <c r="G71" s="454" t="s">
        <v>618</v>
      </c>
      <c r="H71" s="454" t="s">
        <v>619</v>
      </c>
      <c r="I71" s="456">
        <v>4356</v>
      </c>
      <c r="J71" s="456">
        <v>13</v>
      </c>
      <c r="K71" s="457">
        <v>56628</v>
      </c>
    </row>
    <row r="72" spans="1:11" ht="14.4" customHeight="1" x14ac:dyDescent="0.3">
      <c r="A72" s="452" t="s">
        <v>427</v>
      </c>
      <c r="B72" s="453" t="s">
        <v>428</v>
      </c>
      <c r="C72" s="454" t="s">
        <v>432</v>
      </c>
      <c r="D72" s="455" t="s">
        <v>472</v>
      </c>
      <c r="E72" s="454" t="s">
        <v>1014</v>
      </c>
      <c r="F72" s="455" t="s">
        <v>1015</v>
      </c>
      <c r="G72" s="454" t="s">
        <v>620</v>
      </c>
      <c r="H72" s="454" t="s">
        <v>621</v>
      </c>
      <c r="I72" s="456">
        <v>9663.84</v>
      </c>
      <c r="J72" s="456">
        <v>9</v>
      </c>
      <c r="K72" s="457">
        <v>86974.53</v>
      </c>
    </row>
    <row r="73" spans="1:11" ht="14.4" customHeight="1" x14ac:dyDescent="0.3">
      <c r="A73" s="452" t="s">
        <v>427</v>
      </c>
      <c r="B73" s="453" t="s">
        <v>428</v>
      </c>
      <c r="C73" s="454" t="s">
        <v>432</v>
      </c>
      <c r="D73" s="455" t="s">
        <v>472</v>
      </c>
      <c r="E73" s="454" t="s">
        <v>1014</v>
      </c>
      <c r="F73" s="455" t="s">
        <v>1015</v>
      </c>
      <c r="G73" s="454" t="s">
        <v>622</v>
      </c>
      <c r="H73" s="454" t="s">
        <v>623</v>
      </c>
      <c r="I73" s="456">
        <v>13706.88</v>
      </c>
      <c r="J73" s="456">
        <v>8</v>
      </c>
      <c r="K73" s="457">
        <v>109655.03999999999</v>
      </c>
    </row>
    <row r="74" spans="1:11" ht="14.4" customHeight="1" x14ac:dyDescent="0.3">
      <c r="A74" s="452" t="s">
        <v>427</v>
      </c>
      <c r="B74" s="453" t="s">
        <v>428</v>
      </c>
      <c r="C74" s="454" t="s">
        <v>432</v>
      </c>
      <c r="D74" s="455" t="s">
        <v>472</v>
      </c>
      <c r="E74" s="454" t="s">
        <v>1014</v>
      </c>
      <c r="F74" s="455" t="s">
        <v>1015</v>
      </c>
      <c r="G74" s="454" t="s">
        <v>624</v>
      </c>
      <c r="H74" s="454" t="s">
        <v>625</v>
      </c>
      <c r="I74" s="456">
        <v>97.045000000000002</v>
      </c>
      <c r="J74" s="456">
        <v>4</v>
      </c>
      <c r="K74" s="457">
        <v>388.17</v>
      </c>
    </row>
    <row r="75" spans="1:11" ht="14.4" customHeight="1" x14ac:dyDescent="0.3">
      <c r="A75" s="452" t="s">
        <v>427</v>
      </c>
      <c r="B75" s="453" t="s">
        <v>428</v>
      </c>
      <c r="C75" s="454" t="s">
        <v>432</v>
      </c>
      <c r="D75" s="455" t="s">
        <v>472</v>
      </c>
      <c r="E75" s="454" t="s">
        <v>1014</v>
      </c>
      <c r="F75" s="455" t="s">
        <v>1015</v>
      </c>
      <c r="G75" s="454" t="s">
        <v>626</v>
      </c>
      <c r="H75" s="454" t="s">
        <v>627</v>
      </c>
      <c r="I75" s="456">
        <v>25.27</v>
      </c>
      <c r="J75" s="456">
        <v>80</v>
      </c>
      <c r="K75" s="457">
        <v>2021.2</v>
      </c>
    </row>
    <row r="76" spans="1:11" ht="14.4" customHeight="1" x14ac:dyDescent="0.3">
      <c r="A76" s="452" t="s">
        <v>427</v>
      </c>
      <c r="B76" s="453" t="s">
        <v>428</v>
      </c>
      <c r="C76" s="454" t="s">
        <v>432</v>
      </c>
      <c r="D76" s="455" t="s">
        <v>472</v>
      </c>
      <c r="E76" s="454" t="s">
        <v>1014</v>
      </c>
      <c r="F76" s="455" t="s">
        <v>1015</v>
      </c>
      <c r="G76" s="454" t="s">
        <v>628</v>
      </c>
      <c r="H76" s="454" t="s">
        <v>629</v>
      </c>
      <c r="I76" s="456">
        <v>7872.26</v>
      </c>
      <c r="J76" s="456">
        <v>8</v>
      </c>
      <c r="K76" s="457">
        <v>62978.080000000002</v>
      </c>
    </row>
    <row r="77" spans="1:11" ht="14.4" customHeight="1" x14ac:dyDescent="0.3">
      <c r="A77" s="452" t="s">
        <v>427</v>
      </c>
      <c r="B77" s="453" t="s">
        <v>428</v>
      </c>
      <c r="C77" s="454" t="s">
        <v>432</v>
      </c>
      <c r="D77" s="455" t="s">
        <v>472</v>
      </c>
      <c r="E77" s="454" t="s">
        <v>1014</v>
      </c>
      <c r="F77" s="455" t="s">
        <v>1015</v>
      </c>
      <c r="G77" s="454" t="s">
        <v>630</v>
      </c>
      <c r="H77" s="454" t="s">
        <v>631</v>
      </c>
      <c r="I77" s="456">
        <v>7235.8000000000011</v>
      </c>
      <c r="J77" s="456">
        <v>33</v>
      </c>
      <c r="K77" s="457">
        <v>238781.39999999997</v>
      </c>
    </row>
    <row r="78" spans="1:11" ht="14.4" customHeight="1" x14ac:dyDescent="0.3">
      <c r="A78" s="452" t="s">
        <v>427</v>
      </c>
      <c r="B78" s="453" t="s">
        <v>428</v>
      </c>
      <c r="C78" s="454" t="s">
        <v>432</v>
      </c>
      <c r="D78" s="455" t="s">
        <v>472</v>
      </c>
      <c r="E78" s="454" t="s">
        <v>1014</v>
      </c>
      <c r="F78" s="455" t="s">
        <v>1015</v>
      </c>
      <c r="G78" s="454" t="s">
        <v>632</v>
      </c>
      <c r="H78" s="454" t="s">
        <v>633</v>
      </c>
      <c r="I78" s="456">
        <v>2178</v>
      </c>
      <c r="J78" s="456">
        <v>1</v>
      </c>
      <c r="K78" s="457">
        <v>2178</v>
      </c>
    </row>
    <row r="79" spans="1:11" ht="14.4" customHeight="1" x14ac:dyDescent="0.3">
      <c r="A79" s="452" t="s">
        <v>427</v>
      </c>
      <c r="B79" s="453" t="s">
        <v>428</v>
      </c>
      <c r="C79" s="454" t="s">
        <v>432</v>
      </c>
      <c r="D79" s="455" t="s">
        <v>472</v>
      </c>
      <c r="E79" s="454" t="s">
        <v>1014</v>
      </c>
      <c r="F79" s="455" t="s">
        <v>1015</v>
      </c>
      <c r="G79" s="454" t="s">
        <v>634</v>
      </c>
      <c r="H79" s="454" t="s">
        <v>635</v>
      </c>
      <c r="I79" s="456">
        <v>9663.83</v>
      </c>
      <c r="J79" s="456">
        <v>9</v>
      </c>
      <c r="K79" s="457">
        <v>86974.47</v>
      </c>
    </row>
    <row r="80" spans="1:11" ht="14.4" customHeight="1" x14ac:dyDescent="0.3">
      <c r="A80" s="452" t="s">
        <v>427</v>
      </c>
      <c r="B80" s="453" t="s">
        <v>428</v>
      </c>
      <c r="C80" s="454" t="s">
        <v>432</v>
      </c>
      <c r="D80" s="455" t="s">
        <v>472</v>
      </c>
      <c r="E80" s="454" t="s">
        <v>1014</v>
      </c>
      <c r="F80" s="455" t="s">
        <v>1015</v>
      </c>
      <c r="G80" s="454" t="s">
        <v>636</v>
      </c>
      <c r="H80" s="454" t="s">
        <v>637</v>
      </c>
      <c r="I80" s="456">
        <v>3567.08</v>
      </c>
      <c r="J80" s="456">
        <v>1</v>
      </c>
      <c r="K80" s="457">
        <v>3567.08</v>
      </c>
    </row>
    <row r="81" spans="1:11" ht="14.4" customHeight="1" x14ac:dyDescent="0.3">
      <c r="A81" s="452" t="s">
        <v>427</v>
      </c>
      <c r="B81" s="453" t="s">
        <v>428</v>
      </c>
      <c r="C81" s="454" t="s">
        <v>432</v>
      </c>
      <c r="D81" s="455" t="s">
        <v>472</v>
      </c>
      <c r="E81" s="454" t="s">
        <v>1014</v>
      </c>
      <c r="F81" s="455" t="s">
        <v>1015</v>
      </c>
      <c r="G81" s="454" t="s">
        <v>638</v>
      </c>
      <c r="H81" s="454" t="s">
        <v>639</v>
      </c>
      <c r="I81" s="456">
        <v>274.67666666666668</v>
      </c>
      <c r="J81" s="456">
        <v>11</v>
      </c>
      <c r="K81" s="457">
        <v>3021.4700000000003</v>
      </c>
    </row>
    <row r="82" spans="1:11" ht="14.4" customHeight="1" x14ac:dyDescent="0.3">
      <c r="A82" s="452" t="s">
        <v>427</v>
      </c>
      <c r="B82" s="453" t="s">
        <v>428</v>
      </c>
      <c r="C82" s="454" t="s">
        <v>432</v>
      </c>
      <c r="D82" s="455" t="s">
        <v>472</v>
      </c>
      <c r="E82" s="454" t="s">
        <v>1014</v>
      </c>
      <c r="F82" s="455" t="s">
        <v>1015</v>
      </c>
      <c r="G82" s="454" t="s">
        <v>640</v>
      </c>
      <c r="H82" s="454" t="s">
        <v>641</v>
      </c>
      <c r="I82" s="456">
        <v>447.7</v>
      </c>
      <c r="J82" s="456">
        <v>4</v>
      </c>
      <c r="K82" s="457">
        <v>1790.8</v>
      </c>
    </row>
    <row r="83" spans="1:11" ht="14.4" customHeight="1" x14ac:dyDescent="0.3">
      <c r="A83" s="452" t="s">
        <v>427</v>
      </c>
      <c r="B83" s="453" t="s">
        <v>428</v>
      </c>
      <c r="C83" s="454" t="s">
        <v>432</v>
      </c>
      <c r="D83" s="455" t="s">
        <v>472</v>
      </c>
      <c r="E83" s="454" t="s">
        <v>1014</v>
      </c>
      <c r="F83" s="455" t="s">
        <v>1015</v>
      </c>
      <c r="G83" s="454" t="s">
        <v>642</v>
      </c>
      <c r="H83" s="454" t="s">
        <v>643</v>
      </c>
      <c r="I83" s="456">
        <v>7871.05</v>
      </c>
      <c r="J83" s="456">
        <v>8</v>
      </c>
      <c r="K83" s="457">
        <v>62968.4</v>
      </c>
    </row>
    <row r="84" spans="1:11" ht="14.4" customHeight="1" x14ac:dyDescent="0.3">
      <c r="A84" s="452" t="s">
        <v>427</v>
      </c>
      <c r="B84" s="453" t="s">
        <v>428</v>
      </c>
      <c r="C84" s="454" t="s">
        <v>432</v>
      </c>
      <c r="D84" s="455" t="s">
        <v>472</v>
      </c>
      <c r="E84" s="454" t="s">
        <v>1014</v>
      </c>
      <c r="F84" s="455" t="s">
        <v>1015</v>
      </c>
      <c r="G84" s="454" t="s">
        <v>644</v>
      </c>
      <c r="H84" s="454" t="s">
        <v>645</v>
      </c>
      <c r="I84" s="456">
        <v>7235.8000000000011</v>
      </c>
      <c r="J84" s="456">
        <v>33</v>
      </c>
      <c r="K84" s="457">
        <v>238781.39999999997</v>
      </c>
    </row>
    <row r="85" spans="1:11" ht="14.4" customHeight="1" x14ac:dyDescent="0.3">
      <c r="A85" s="452" t="s">
        <v>427</v>
      </c>
      <c r="B85" s="453" t="s">
        <v>428</v>
      </c>
      <c r="C85" s="454" t="s">
        <v>432</v>
      </c>
      <c r="D85" s="455" t="s">
        <v>472</v>
      </c>
      <c r="E85" s="454" t="s">
        <v>1014</v>
      </c>
      <c r="F85" s="455" t="s">
        <v>1015</v>
      </c>
      <c r="G85" s="454" t="s">
        <v>646</v>
      </c>
      <c r="H85" s="454" t="s">
        <v>647</v>
      </c>
      <c r="I85" s="456">
        <v>1408.44</v>
      </c>
      <c r="J85" s="456">
        <v>1</v>
      </c>
      <c r="K85" s="457">
        <v>1408.44</v>
      </c>
    </row>
    <row r="86" spans="1:11" ht="14.4" customHeight="1" x14ac:dyDescent="0.3">
      <c r="A86" s="452" t="s">
        <v>427</v>
      </c>
      <c r="B86" s="453" t="s">
        <v>428</v>
      </c>
      <c r="C86" s="454" t="s">
        <v>432</v>
      </c>
      <c r="D86" s="455" t="s">
        <v>472</v>
      </c>
      <c r="E86" s="454" t="s">
        <v>1014</v>
      </c>
      <c r="F86" s="455" t="s">
        <v>1015</v>
      </c>
      <c r="G86" s="454" t="s">
        <v>648</v>
      </c>
      <c r="H86" s="454" t="s">
        <v>649</v>
      </c>
      <c r="I86" s="456">
        <v>9110.09</v>
      </c>
      <c r="J86" s="456">
        <v>9</v>
      </c>
      <c r="K86" s="457">
        <v>81990.81</v>
      </c>
    </row>
    <row r="87" spans="1:11" ht="14.4" customHeight="1" x14ac:dyDescent="0.3">
      <c r="A87" s="452" t="s">
        <v>427</v>
      </c>
      <c r="B87" s="453" t="s">
        <v>428</v>
      </c>
      <c r="C87" s="454" t="s">
        <v>432</v>
      </c>
      <c r="D87" s="455" t="s">
        <v>472</v>
      </c>
      <c r="E87" s="454" t="s">
        <v>1014</v>
      </c>
      <c r="F87" s="455" t="s">
        <v>1015</v>
      </c>
      <c r="G87" s="454" t="s">
        <v>650</v>
      </c>
      <c r="H87" s="454" t="s">
        <v>651</v>
      </c>
      <c r="I87" s="456">
        <v>478</v>
      </c>
      <c r="J87" s="456">
        <v>3</v>
      </c>
      <c r="K87" s="457">
        <v>1434</v>
      </c>
    </row>
    <row r="88" spans="1:11" ht="14.4" customHeight="1" x14ac:dyDescent="0.3">
      <c r="A88" s="452" t="s">
        <v>427</v>
      </c>
      <c r="B88" s="453" t="s">
        <v>428</v>
      </c>
      <c r="C88" s="454" t="s">
        <v>432</v>
      </c>
      <c r="D88" s="455" t="s">
        <v>472</v>
      </c>
      <c r="E88" s="454" t="s">
        <v>1014</v>
      </c>
      <c r="F88" s="455" t="s">
        <v>1015</v>
      </c>
      <c r="G88" s="454" t="s">
        <v>652</v>
      </c>
      <c r="H88" s="454" t="s">
        <v>653</v>
      </c>
      <c r="I88" s="456">
        <v>344.82749999999999</v>
      </c>
      <c r="J88" s="456">
        <v>9</v>
      </c>
      <c r="K88" s="457">
        <v>3103.45</v>
      </c>
    </row>
    <row r="89" spans="1:11" ht="14.4" customHeight="1" x14ac:dyDescent="0.3">
      <c r="A89" s="452" t="s">
        <v>427</v>
      </c>
      <c r="B89" s="453" t="s">
        <v>428</v>
      </c>
      <c r="C89" s="454" t="s">
        <v>432</v>
      </c>
      <c r="D89" s="455" t="s">
        <v>472</v>
      </c>
      <c r="E89" s="454" t="s">
        <v>1014</v>
      </c>
      <c r="F89" s="455" t="s">
        <v>1015</v>
      </c>
      <c r="G89" s="454" t="s">
        <v>654</v>
      </c>
      <c r="H89" s="454" t="s">
        <v>655</v>
      </c>
      <c r="I89" s="456">
        <v>1341.89</v>
      </c>
      <c r="J89" s="456">
        <v>3</v>
      </c>
      <c r="K89" s="457">
        <v>4025.67</v>
      </c>
    </row>
    <row r="90" spans="1:11" ht="14.4" customHeight="1" x14ac:dyDescent="0.3">
      <c r="A90" s="452" t="s">
        <v>427</v>
      </c>
      <c r="B90" s="453" t="s">
        <v>428</v>
      </c>
      <c r="C90" s="454" t="s">
        <v>432</v>
      </c>
      <c r="D90" s="455" t="s">
        <v>472</v>
      </c>
      <c r="E90" s="454" t="s">
        <v>1014</v>
      </c>
      <c r="F90" s="455" t="s">
        <v>1015</v>
      </c>
      <c r="G90" s="454" t="s">
        <v>656</v>
      </c>
      <c r="H90" s="454" t="s">
        <v>657</v>
      </c>
      <c r="I90" s="456">
        <v>1137.4000000000001</v>
      </c>
      <c r="J90" s="456">
        <v>5</v>
      </c>
      <c r="K90" s="457">
        <v>5687</v>
      </c>
    </row>
    <row r="91" spans="1:11" ht="14.4" customHeight="1" x14ac:dyDescent="0.3">
      <c r="A91" s="452" t="s">
        <v>427</v>
      </c>
      <c r="B91" s="453" t="s">
        <v>428</v>
      </c>
      <c r="C91" s="454" t="s">
        <v>432</v>
      </c>
      <c r="D91" s="455" t="s">
        <v>472</v>
      </c>
      <c r="E91" s="454" t="s">
        <v>1014</v>
      </c>
      <c r="F91" s="455" t="s">
        <v>1015</v>
      </c>
      <c r="G91" s="454" t="s">
        <v>658</v>
      </c>
      <c r="H91" s="454" t="s">
        <v>659</v>
      </c>
      <c r="I91" s="456">
        <v>26517.27</v>
      </c>
      <c r="J91" s="456">
        <v>2</v>
      </c>
      <c r="K91" s="457">
        <v>53034.54</v>
      </c>
    </row>
    <row r="92" spans="1:11" ht="14.4" customHeight="1" x14ac:dyDescent="0.3">
      <c r="A92" s="452" t="s">
        <v>427</v>
      </c>
      <c r="B92" s="453" t="s">
        <v>428</v>
      </c>
      <c r="C92" s="454" t="s">
        <v>432</v>
      </c>
      <c r="D92" s="455" t="s">
        <v>472</v>
      </c>
      <c r="E92" s="454" t="s">
        <v>1014</v>
      </c>
      <c r="F92" s="455" t="s">
        <v>1015</v>
      </c>
      <c r="G92" s="454" t="s">
        <v>660</v>
      </c>
      <c r="H92" s="454" t="s">
        <v>661</v>
      </c>
      <c r="I92" s="456">
        <v>6976.8599999999988</v>
      </c>
      <c r="J92" s="456">
        <v>10</v>
      </c>
      <c r="K92" s="457">
        <v>69768.600000000006</v>
      </c>
    </row>
    <row r="93" spans="1:11" ht="14.4" customHeight="1" x14ac:dyDescent="0.3">
      <c r="A93" s="452" t="s">
        <v>427</v>
      </c>
      <c r="B93" s="453" t="s">
        <v>428</v>
      </c>
      <c r="C93" s="454" t="s">
        <v>432</v>
      </c>
      <c r="D93" s="455" t="s">
        <v>472</v>
      </c>
      <c r="E93" s="454" t="s">
        <v>1014</v>
      </c>
      <c r="F93" s="455" t="s">
        <v>1015</v>
      </c>
      <c r="G93" s="454" t="s">
        <v>662</v>
      </c>
      <c r="H93" s="454" t="s">
        <v>663</v>
      </c>
      <c r="I93" s="456">
        <v>13103.090000000002</v>
      </c>
      <c r="J93" s="456">
        <v>4</v>
      </c>
      <c r="K93" s="457">
        <v>52412.36</v>
      </c>
    </row>
    <row r="94" spans="1:11" ht="14.4" customHeight="1" x14ac:dyDescent="0.3">
      <c r="A94" s="452" t="s">
        <v>427</v>
      </c>
      <c r="B94" s="453" t="s">
        <v>428</v>
      </c>
      <c r="C94" s="454" t="s">
        <v>432</v>
      </c>
      <c r="D94" s="455" t="s">
        <v>472</v>
      </c>
      <c r="E94" s="454" t="s">
        <v>1014</v>
      </c>
      <c r="F94" s="455" t="s">
        <v>1015</v>
      </c>
      <c r="G94" s="454" t="s">
        <v>664</v>
      </c>
      <c r="H94" s="454" t="s">
        <v>665</v>
      </c>
      <c r="I94" s="456">
        <v>9110.09</v>
      </c>
      <c r="J94" s="456">
        <v>7</v>
      </c>
      <c r="K94" s="457">
        <v>63770.630000000005</v>
      </c>
    </row>
    <row r="95" spans="1:11" ht="14.4" customHeight="1" x14ac:dyDescent="0.3">
      <c r="A95" s="452" t="s">
        <v>427</v>
      </c>
      <c r="B95" s="453" t="s">
        <v>428</v>
      </c>
      <c r="C95" s="454" t="s">
        <v>432</v>
      </c>
      <c r="D95" s="455" t="s">
        <v>472</v>
      </c>
      <c r="E95" s="454" t="s">
        <v>1014</v>
      </c>
      <c r="F95" s="455" t="s">
        <v>1015</v>
      </c>
      <c r="G95" s="454" t="s">
        <v>666</v>
      </c>
      <c r="H95" s="454" t="s">
        <v>667</v>
      </c>
      <c r="I95" s="456">
        <v>7364.06</v>
      </c>
      <c r="J95" s="456">
        <v>10</v>
      </c>
      <c r="K95" s="457">
        <v>73640.600000000006</v>
      </c>
    </row>
    <row r="96" spans="1:11" ht="14.4" customHeight="1" x14ac:dyDescent="0.3">
      <c r="A96" s="452" t="s">
        <v>427</v>
      </c>
      <c r="B96" s="453" t="s">
        <v>428</v>
      </c>
      <c r="C96" s="454" t="s">
        <v>432</v>
      </c>
      <c r="D96" s="455" t="s">
        <v>472</v>
      </c>
      <c r="E96" s="454" t="s">
        <v>1014</v>
      </c>
      <c r="F96" s="455" t="s">
        <v>1015</v>
      </c>
      <c r="G96" s="454" t="s">
        <v>668</v>
      </c>
      <c r="H96" s="454" t="s">
        <v>669</v>
      </c>
      <c r="I96" s="456">
        <v>27920.7575</v>
      </c>
      <c r="J96" s="456">
        <v>6</v>
      </c>
      <c r="K96" s="457">
        <v>169884.03</v>
      </c>
    </row>
    <row r="97" spans="1:11" ht="14.4" customHeight="1" x14ac:dyDescent="0.3">
      <c r="A97" s="452" t="s">
        <v>427</v>
      </c>
      <c r="B97" s="453" t="s">
        <v>428</v>
      </c>
      <c r="C97" s="454" t="s">
        <v>432</v>
      </c>
      <c r="D97" s="455" t="s">
        <v>472</v>
      </c>
      <c r="E97" s="454" t="s">
        <v>1014</v>
      </c>
      <c r="F97" s="455" t="s">
        <v>1015</v>
      </c>
      <c r="G97" s="454" t="s">
        <v>670</v>
      </c>
      <c r="H97" s="454" t="s">
        <v>671</v>
      </c>
      <c r="I97" s="456">
        <v>9110.09</v>
      </c>
      <c r="J97" s="456">
        <v>7</v>
      </c>
      <c r="K97" s="457">
        <v>63770.630000000005</v>
      </c>
    </row>
    <row r="98" spans="1:11" ht="14.4" customHeight="1" x14ac:dyDescent="0.3">
      <c r="A98" s="452" t="s">
        <v>427</v>
      </c>
      <c r="B98" s="453" t="s">
        <v>428</v>
      </c>
      <c r="C98" s="454" t="s">
        <v>432</v>
      </c>
      <c r="D98" s="455" t="s">
        <v>472</v>
      </c>
      <c r="E98" s="454" t="s">
        <v>1014</v>
      </c>
      <c r="F98" s="455" t="s">
        <v>1015</v>
      </c>
      <c r="G98" s="454" t="s">
        <v>672</v>
      </c>
      <c r="H98" s="454" t="s">
        <v>673</v>
      </c>
      <c r="I98" s="456">
        <v>3346.86</v>
      </c>
      <c r="J98" s="456">
        <v>1</v>
      </c>
      <c r="K98" s="457">
        <v>3346.86</v>
      </c>
    </row>
    <row r="99" spans="1:11" ht="14.4" customHeight="1" x14ac:dyDescent="0.3">
      <c r="A99" s="452" t="s">
        <v>427</v>
      </c>
      <c r="B99" s="453" t="s">
        <v>428</v>
      </c>
      <c r="C99" s="454" t="s">
        <v>432</v>
      </c>
      <c r="D99" s="455" t="s">
        <v>472</v>
      </c>
      <c r="E99" s="454" t="s">
        <v>1014</v>
      </c>
      <c r="F99" s="455" t="s">
        <v>1015</v>
      </c>
      <c r="G99" s="454" t="s">
        <v>674</v>
      </c>
      <c r="H99" s="454" t="s">
        <v>675</v>
      </c>
      <c r="I99" s="456">
        <v>14534.52</v>
      </c>
      <c r="J99" s="456">
        <v>2</v>
      </c>
      <c r="K99" s="457">
        <v>29069.040000000001</v>
      </c>
    </row>
    <row r="100" spans="1:11" ht="14.4" customHeight="1" x14ac:dyDescent="0.3">
      <c r="A100" s="452" t="s">
        <v>427</v>
      </c>
      <c r="B100" s="453" t="s">
        <v>428</v>
      </c>
      <c r="C100" s="454" t="s">
        <v>432</v>
      </c>
      <c r="D100" s="455" t="s">
        <v>472</v>
      </c>
      <c r="E100" s="454" t="s">
        <v>1014</v>
      </c>
      <c r="F100" s="455" t="s">
        <v>1015</v>
      </c>
      <c r="G100" s="454" t="s">
        <v>676</v>
      </c>
      <c r="H100" s="454" t="s">
        <v>677</v>
      </c>
      <c r="I100" s="456">
        <v>5355.46</v>
      </c>
      <c r="J100" s="456">
        <v>6</v>
      </c>
      <c r="K100" s="457">
        <v>32132.76</v>
      </c>
    </row>
    <row r="101" spans="1:11" ht="14.4" customHeight="1" x14ac:dyDescent="0.3">
      <c r="A101" s="452" t="s">
        <v>427</v>
      </c>
      <c r="B101" s="453" t="s">
        <v>428</v>
      </c>
      <c r="C101" s="454" t="s">
        <v>432</v>
      </c>
      <c r="D101" s="455" t="s">
        <v>472</v>
      </c>
      <c r="E101" s="454" t="s">
        <v>1014</v>
      </c>
      <c r="F101" s="455" t="s">
        <v>1015</v>
      </c>
      <c r="G101" s="454" t="s">
        <v>678</v>
      </c>
      <c r="H101" s="454" t="s">
        <v>679</v>
      </c>
      <c r="I101" s="456">
        <v>79.5</v>
      </c>
      <c r="J101" s="456">
        <v>1</v>
      </c>
      <c r="K101" s="457">
        <v>79.5</v>
      </c>
    </row>
    <row r="102" spans="1:11" ht="14.4" customHeight="1" x14ac:dyDescent="0.3">
      <c r="A102" s="452" t="s">
        <v>427</v>
      </c>
      <c r="B102" s="453" t="s">
        <v>428</v>
      </c>
      <c r="C102" s="454" t="s">
        <v>432</v>
      </c>
      <c r="D102" s="455" t="s">
        <v>472</v>
      </c>
      <c r="E102" s="454" t="s">
        <v>1014</v>
      </c>
      <c r="F102" s="455" t="s">
        <v>1015</v>
      </c>
      <c r="G102" s="454" t="s">
        <v>680</v>
      </c>
      <c r="H102" s="454" t="s">
        <v>681</v>
      </c>
      <c r="I102" s="456">
        <v>3633.63</v>
      </c>
      <c r="J102" s="456">
        <v>1</v>
      </c>
      <c r="K102" s="457">
        <v>3633.63</v>
      </c>
    </row>
    <row r="103" spans="1:11" ht="14.4" customHeight="1" x14ac:dyDescent="0.3">
      <c r="A103" s="452" t="s">
        <v>427</v>
      </c>
      <c r="B103" s="453" t="s">
        <v>428</v>
      </c>
      <c r="C103" s="454" t="s">
        <v>432</v>
      </c>
      <c r="D103" s="455" t="s">
        <v>472</v>
      </c>
      <c r="E103" s="454" t="s">
        <v>1014</v>
      </c>
      <c r="F103" s="455" t="s">
        <v>1015</v>
      </c>
      <c r="G103" s="454" t="s">
        <v>682</v>
      </c>
      <c r="H103" s="454" t="s">
        <v>683</v>
      </c>
      <c r="I103" s="456">
        <v>5929</v>
      </c>
      <c r="J103" s="456">
        <v>2</v>
      </c>
      <c r="K103" s="457">
        <v>11858</v>
      </c>
    </row>
    <row r="104" spans="1:11" ht="14.4" customHeight="1" x14ac:dyDescent="0.3">
      <c r="A104" s="452" t="s">
        <v>427</v>
      </c>
      <c r="B104" s="453" t="s">
        <v>428</v>
      </c>
      <c r="C104" s="454" t="s">
        <v>432</v>
      </c>
      <c r="D104" s="455" t="s">
        <v>472</v>
      </c>
      <c r="E104" s="454" t="s">
        <v>1014</v>
      </c>
      <c r="F104" s="455" t="s">
        <v>1015</v>
      </c>
      <c r="G104" s="454" t="s">
        <v>684</v>
      </c>
      <c r="H104" s="454" t="s">
        <v>685</v>
      </c>
      <c r="I104" s="456">
        <v>13.61</v>
      </c>
      <c r="J104" s="456">
        <v>240</v>
      </c>
      <c r="K104" s="457">
        <v>3266.99</v>
      </c>
    </row>
    <row r="105" spans="1:11" ht="14.4" customHeight="1" x14ac:dyDescent="0.3">
      <c r="A105" s="452" t="s">
        <v>427</v>
      </c>
      <c r="B105" s="453" t="s">
        <v>428</v>
      </c>
      <c r="C105" s="454" t="s">
        <v>432</v>
      </c>
      <c r="D105" s="455" t="s">
        <v>472</v>
      </c>
      <c r="E105" s="454" t="s">
        <v>1014</v>
      </c>
      <c r="F105" s="455" t="s">
        <v>1015</v>
      </c>
      <c r="G105" s="454" t="s">
        <v>686</v>
      </c>
      <c r="H105" s="454" t="s">
        <v>687</v>
      </c>
      <c r="I105" s="456">
        <v>477.95</v>
      </c>
      <c r="J105" s="456">
        <v>6</v>
      </c>
      <c r="K105" s="457">
        <v>2867.7</v>
      </c>
    </row>
    <row r="106" spans="1:11" ht="14.4" customHeight="1" x14ac:dyDescent="0.3">
      <c r="A106" s="452" t="s">
        <v>427</v>
      </c>
      <c r="B106" s="453" t="s">
        <v>428</v>
      </c>
      <c r="C106" s="454" t="s">
        <v>432</v>
      </c>
      <c r="D106" s="455" t="s">
        <v>472</v>
      </c>
      <c r="E106" s="454" t="s">
        <v>1014</v>
      </c>
      <c r="F106" s="455" t="s">
        <v>1015</v>
      </c>
      <c r="G106" s="454" t="s">
        <v>688</v>
      </c>
      <c r="H106" s="454" t="s">
        <v>689</v>
      </c>
      <c r="I106" s="456">
        <v>5105</v>
      </c>
      <c r="J106" s="456">
        <v>5</v>
      </c>
      <c r="K106" s="457">
        <v>25525</v>
      </c>
    </row>
    <row r="107" spans="1:11" ht="14.4" customHeight="1" x14ac:dyDescent="0.3">
      <c r="A107" s="452" t="s">
        <v>427</v>
      </c>
      <c r="B107" s="453" t="s">
        <v>428</v>
      </c>
      <c r="C107" s="454" t="s">
        <v>432</v>
      </c>
      <c r="D107" s="455" t="s">
        <v>472</v>
      </c>
      <c r="E107" s="454" t="s">
        <v>1014</v>
      </c>
      <c r="F107" s="455" t="s">
        <v>1015</v>
      </c>
      <c r="G107" s="454" t="s">
        <v>690</v>
      </c>
      <c r="H107" s="454" t="s">
        <v>691</v>
      </c>
      <c r="I107" s="456">
        <v>8569.2199999999993</v>
      </c>
      <c r="J107" s="456">
        <v>3</v>
      </c>
      <c r="K107" s="457">
        <v>25707.659999999996</v>
      </c>
    </row>
    <row r="108" spans="1:11" ht="14.4" customHeight="1" x14ac:dyDescent="0.3">
      <c r="A108" s="452" t="s">
        <v>427</v>
      </c>
      <c r="B108" s="453" t="s">
        <v>428</v>
      </c>
      <c r="C108" s="454" t="s">
        <v>432</v>
      </c>
      <c r="D108" s="455" t="s">
        <v>472</v>
      </c>
      <c r="E108" s="454" t="s">
        <v>1014</v>
      </c>
      <c r="F108" s="455" t="s">
        <v>1015</v>
      </c>
      <c r="G108" s="454" t="s">
        <v>692</v>
      </c>
      <c r="H108" s="454" t="s">
        <v>693</v>
      </c>
      <c r="I108" s="456">
        <v>3734.06</v>
      </c>
      <c r="J108" s="456">
        <v>16</v>
      </c>
      <c r="K108" s="457">
        <v>59394.06</v>
      </c>
    </row>
    <row r="109" spans="1:11" ht="14.4" customHeight="1" x14ac:dyDescent="0.3">
      <c r="A109" s="452" t="s">
        <v>427</v>
      </c>
      <c r="B109" s="453" t="s">
        <v>428</v>
      </c>
      <c r="C109" s="454" t="s">
        <v>432</v>
      </c>
      <c r="D109" s="455" t="s">
        <v>472</v>
      </c>
      <c r="E109" s="454" t="s">
        <v>1014</v>
      </c>
      <c r="F109" s="455" t="s">
        <v>1015</v>
      </c>
      <c r="G109" s="454" t="s">
        <v>694</v>
      </c>
      <c r="H109" s="454" t="s">
        <v>695</v>
      </c>
      <c r="I109" s="456">
        <v>5104.8900000000003</v>
      </c>
      <c r="J109" s="456">
        <v>2</v>
      </c>
      <c r="K109" s="457">
        <v>10209.780000000001</v>
      </c>
    </row>
    <row r="110" spans="1:11" ht="14.4" customHeight="1" x14ac:dyDescent="0.3">
      <c r="A110" s="452" t="s">
        <v>427</v>
      </c>
      <c r="B110" s="453" t="s">
        <v>428</v>
      </c>
      <c r="C110" s="454" t="s">
        <v>432</v>
      </c>
      <c r="D110" s="455" t="s">
        <v>472</v>
      </c>
      <c r="E110" s="454" t="s">
        <v>1014</v>
      </c>
      <c r="F110" s="455" t="s">
        <v>1015</v>
      </c>
      <c r="G110" s="454" t="s">
        <v>696</v>
      </c>
      <c r="H110" s="454" t="s">
        <v>697</v>
      </c>
      <c r="I110" s="456">
        <v>492.47</v>
      </c>
      <c r="J110" s="456">
        <v>2</v>
      </c>
      <c r="K110" s="457">
        <v>984.94</v>
      </c>
    </row>
    <row r="111" spans="1:11" ht="14.4" customHeight="1" x14ac:dyDescent="0.3">
      <c r="A111" s="452" t="s">
        <v>427</v>
      </c>
      <c r="B111" s="453" t="s">
        <v>428</v>
      </c>
      <c r="C111" s="454" t="s">
        <v>432</v>
      </c>
      <c r="D111" s="455" t="s">
        <v>472</v>
      </c>
      <c r="E111" s="454" t="s">
        <v>1014</v>
      </c>
      <c r="F111" s="455" t="s">
        <v>1015</v>
      </c>
      <c r="G111" s="454" t="s">
        <v>698</v>
      </c>
      <c r="H111" s="454" t="s">
        <v>699</v>
      </c>
      <c r="I111" s="456">
        <v>5104.9449999999997</v>
      </c>
      <c r="J111" s="456">
        <v>2</v>
      </c>
      <c r="K111" s="457">
        <v>10209.89</v>
      </c>
    </row>
    <row r="112" spans="1:11" ht="14.4" customHeight="1" x14ac:dyDescent="0.3">
      <c r="A112" s="452" t="s">
        <v>427</v>
      </c>
      <c r="B112" s="453" t="s">
        <v>428</v>
      </c>
      <c r="C112" s="454" t="s">
        <v>432</v>
      </c>
      <c r="D112" s="455" t="s">
        <v>472</v>
      </c>
      <c r="E112" s="454" t="s">
        <v>1014</v>
      </c>
      <c r="F112" s="455" t="s">
        <v>1015</v>
      </c>
      <c r="G112" s="454" t="s">
        <v>700</v>
      </c>
      <c r="H112" s="454" t="s">
        <v>701</v>
      </c>
      <c r="I112" s="456">
        <v>4840</v>
      </c>
      <c r="J112" s="456">
        <v>4</v>
      </c>
      <c r="K112" s="457">
        <v>19360</v>
      </c>
    </row>
    <row r="113" spans="1:11" ht="14.4" customHeight="1" x14ac:dyDescent="0.3">
      <c r="A113" s="452" t="s">
        <v>427</v>
      </c>
      <c r="B113" s="453" t="s">
        <v>428</v>
      </c>
      <c r="C113" s="454" t="s">
        <v>432</v>
      </c>
      <c r="D113" s="455" t="s">
        <v>472</v>
      </c>
      <c r="E113" s="454" t="s">
        <v>1014</v>
      </c>
      <c r="F113" s="455" t="s">
        <v>1015</v>
      </c>
      <c r="G113" s="454" t="s">
        <v>702</v>
      </c>
      <c r="H113" s="454" t="s">
        <v>703</v>
      </c>
      <c r="I113" s="456">
        <v>5989.5</v>
      </c>
      <c r="J113" s="456">
        <v>1</v>
      </c>
      <c r="K113" s="457">
        <v>5989.5</v>
      </c>
    </row>
    <row r="114" spans="1:11" ht="14.4" customHeight="1" x14ac:dyDescent="0.3">
      <c r="A114" s="452" t="s">
        <v>427</v>
      </c>
      <c r="B114" s="453" t="s">
        <v>428</v>
      </c>
      <c r="C114" s="454" t="s">
        <v>432</v>
      </c>
      <c r="D114" s="455" t="s">
        <v>472</v>
      </c>
      <c r="E114" s="454" t="s">
        <v>1014</v>
      </c>
      <c r="F114" s="455" t="s">
        <v>1015</v>
      </c>
      <c r="G114" s="454" t="s">
        <v>704</v>
      </c>
      <c r="H114" s="454" t="s">
        <v>705</v>
      </c>
      <c r="I114" s="456">
        <v>7839.59</v>
      </c>
      <c r="J114" s="456">
        <v>3</v>
      </c>
      <c r="K114" s="457">
        <v>23518.77</v>
      </c>
    </row>
    <row r="115" spans="1:11" ht="14.4" customHeight="1" x14ac:dyDescent="0.3">
      <c r="A115" s="452" t="s">
        <v>427</v>
      </c>
      <c r="B115" s="453" t="s">
        <v>428</v>
      </c>
      <c r="C115" s="454" t="s">
        <v>432</v>
      </c>
      <c r="D115" s="455" t="s">
        <v>472</v>
      </c>
      <c r="E115" s="454" t="s">
        <v>1014</v>
      </c>
      <c r="F115" s="455" t="s">
        <v>1015</v>
      </c>
      <c r="G115" s="454" t="s">
        <v>706</v>
      </c>
      <c r="H115" s="454" t="s">
        <v>707</v>
      </c>
      <c r="I115" s="456">
        <v>18.14</v>
      </c>
      <c r="J115" s="456">
        <v>360</v>
      </c>
      <c r="K115" s="457">
        <v>6529.65</v>
      </c>
    </row>
    <row r="116" spans="1:11" ht="14.4" customHeight="1" x14ac:dyDescent="0.3">
      <c r="A116" s="452" t="s">
        <v>427</v>
      </c>
      <c r="B116" s="453" t="s">
        <v>428</v>
      </c>
      <c r="C116" s="454" t="s">
        <v>432</v>
      </c>
      <c r="D116" s="455" t="s">
        <v>472</v>
      </c>
      <c r="E116" s="454" t="s">
        <v>1014</v>
      </c>
      <c r="F116" s="455" t="s">
        <v>1015</v>
      </c>
      <c r="G116" s="454" t="s">
        <v>708</v>
      </c>
      <c r="H116" s="454" t="s">
        <v>709</v>
      </c>
      <c r="I116" s="456">
        <v>5104.8900000000003</v>
      </c>
      <c r="J116" s="456">
        <v>2</v>
      </c>
      <c r="K116" s="457">
        <v>10209.780000000001</v>
      </c>
    </row>
    <row r="117" spans="1:11" ht="14.4" customHeight="1" x14ac:dyDescent="0.3">
      <c r="A117" s="452" t="s">
        <v>427</v>
      </c>
      <c r="B117" s="453" t="s">
        <v>428</v>
      </c>
      <c r="C117" s="454" t="s">
        <v>432</v>
      </c>
      <c r="D117" s="455" t="s">
        <v>472</v>
      </c>
      <c r="E117" s="454" t="s">
        <v>1014</v>
      </c>
      <c r="F117" s="455" t="s">
        <v>1015</v>
      </c>
      <c r="G117" s="454" t="s">
        <v>710</v>
      </c>
      <c r="H117" s="454" t="s">
        <v>711</v>
      </c>
      <c r="I117" s="456">
        <v>7008.32</v>
      </c>
      <c r="J117" s="456">
        <v>6</v>
      </c>
      <c r="K117" s="457">
        <v>42049.919999999998</v>
      </c>
    </row>
    <row r="118" spans="1:11" ht="14.4" customHeight="1" x14ac:dyDescent="0.3">
      <c r="A118" s="452" t="s">
        <v>427</v>
      </c>
      <c r="B118" s="453" t="s">
        <v>428</v>
      </c>
      <c r="C118" s="454" t="s">
        <v>432</v>
      </c>
      <c r="D118" s="455" t="s">
        <v>472</v>
      </c>
      <c r="E118" s="454" t="s">
        <v>1014</v>
      </c>
      <c r="F118" s="455" t="s">
        <v>1015</v>
      </c>
      <c r="G118" s="454" t="s">
        <v>712</v>
      </c>
      <c r="H118" s="454" t="s">
        <v>713</v>
      </c>
      <c r="I118" s="456">
        <v>8985.4599999999991</v>
      </c>
      <c r="J118" s="456">
        <v>3</v>
      </c>
      <c r="K118" s="457">
        <v>26956.379999999997</v>
      </c>
    </row>
    <row r="119" spans="1:11" ht="14.4" customHeight="1" x14ac:dyDescent="0.3">
      <c r="A119" s="452" t="s">
        <v>427</v>
      </c>
      <c r="B119" s="453" t="s">
        <v>428</v>
      </c>
      <c r="C119" s="454" t="s">
        <v>432</v>
      </c>
      <c r="D119" s="455" t="s">
        <v>472</v>
      </c>
      <c r="E119" s="454" t="s">
        <v>1014</v>
      </c>
      <c r="F119" s="455" t="s">
        <v>1015</v>
      </c>
      <c r="G119" s="454" t="s">
        <v>714</v>
      </c>
      <c r="H119" s="454" t="s">
        <v>715</v>
      </c>
      <c r="I119" s="456">
        <v>6594.5</v>
      </c>
      <c r="J119" s="456">
        <v>2</v>
      </c>
      <c r="K119" s="457">
        <v>13189</v>
      </c>
    </row>
    <row r="120" spans="1:11" ht="14.4" customHeight="1" x14ac:dyDescent="0.3">
      <c r="A120" s="452" t="s">
        <v>427</v>
      </c>
      <c r="B120" s="453" t="s">
        <v>428</v>
      </c>
      <c r="C120" s="454" t="s">
        <v>432</v>
      </c>
      <c r="D120" s="455" t="s">
        <v>472</v>
      </c>
      <c r="E120" s="454" t="s">
        <v>1014</v>
      </c>
      <c r="F120" s="455" t="s">
        <v>1015</v>
      </c>
      <c r="G120" s="454" t="s">
        <v>716</v>
      </c>
      <c r="H120" s="454" t="s">
        <v>717</v>
      </c>
      <c r="I120" s="456">
        <v>274.67</v>
      </c>
      <c r="J120" s="456">
        <v>20</v>
      </c>
      <c r="K120" s="457">
        <v>5493.36</v>
      </c>
    </row>
    <row r="121" spans="1:11" ht="14.4" customHeight="1" x14ac:dyDescent="0.3">
      <c r="A121" s="452" t="s">
        <v>427</v>
      </c>
      <c r="B121" s="453" t="s">
        <v>428</v>
      </c>
      <c r="C121" s="454" t="s">
        <v>432</v>
      </c>
      <c r="D121" s="455" t="s">
        <v>472</v>
      </c>
      <c r="E121" s="454" t="s">
        <v>1014</v>
      </c>
      <c r="F121" s="455" t="s">
        <v>1015</v>
      </c>
      <c r="G121" s="454" t="s">
        <v>718</v>
      </c>
      <c r="H121" s="454" t="s">
        <v>719</v>
      </c>
      <c r="I121" s="456">
        <v>492.47</v>
      </c>
      <c r="J121" s="456">
        <v>2</v>
      </c>
      <c r="K121" s="457">
        <v>984.94</v>
      </c>
    </row>
    <row r="122" spans="1:11" ht="14.4" customHeight="1" x14ac:dyDescent="0.3">
      <c r="A122" s="452" t="s">
        <v>427</v>
      </c>
      <c r="B122" s="453" t="s">
        <v>428</v>
      </c>
      <c r="C122" s="454" t="s">
        <v>432</v>
      </c>
      <c r="D122" s="455" t="s">
        <v>472</v>
      </c>
      <c r="E122" s="454" t="s">
        <v>1014</v>
      </c>
      <c r="F122" s="455" t="s">
        <v>1015</v>
      </c>
      <c r="G122" s="454" t="s">
        <v>720</v>
      </c>
      <c r="H122" s="454" t="s">
        <v>721</v>
      </c>
      <c r="I122" s="456">
        <v>2662</v>
      </c>
      <c r="J122" s="456">
        <v>5</v>
      </c>
      <c r="K122" s="457">
        <v>13310</v>
      </c>
    </row>
    <row r="123" spans="1:11" ht="14.4" customHeight="1" x14ac:dyDescent="0.3">
      <c r="A123" s="452" t="s">
        <v>427</v>
      </c>
      <c r="B123" s="453" t="s">
        <v>428</v>
      </c>
      <c r="C123" s="454" t="s">
        <v>432</v>
      </c>
      <c r="D123" s="455" t="s">
        <v>472</v>
      </c>
      <c r="E123" s="454" t="s">
        <v>1014</v>
      </c>
      <c r="F123" s="455" t="s">
        <v>1015</v>
      </c>
      <c r="G123" s="454" t="s">
        <v>722</v>
      </c>
      <c r="H123" s="454" t="s">
        <v>723</v>
      </c>
      <c r="I123" s="456">
        <v>492.47</v>
      </c>
      <c r="J123" s="456">
        <v>2</v>
      </c>
      <c r="K123" s="457">
        <v>984.94</v>
      </c>
    </row>
    <row r="124" spans="1:11" ht="14.4" customHeight="1" x14ac:dyDescent="0.3">
      <c r="A124" s="452" t="s">
        <v>427</v>
      </c>
      <c r="B124" s="453" t="s">
        <v>428</v>
      </c>
      <c r="C124" s="454" t="s">
        <v>432</v>
      </c>
      <c r="D124" s="455" t="s">
        <v>472</v>
      </c>
      <c r="E124" s="454" t="s">
        <v>1014</v>
      </c>
      <c r="F124" s="455" t="s">
        <v>1015</v>
      </c>
      <c r="G124" s="454" t="s">
        <v>724</v>
      </c>
      <c r="H124" s="454" t="s">
        <v>725</v>
      </c>
      <c r="I124" s="456">
        <v>33.659999999999997</v>
      </c>
      <c r="J124" s="456">
        <v>1200</v>
      </c>
      <c r="K124" s="457">
        <v>40394.22</v>
      </c>
    </row>
    <row r="125" spans="1:11" ht="14.4" customHeight="1" x14ac:dyDescent="0.3">
      <c r="A125" s="452" t="s">
        <v>427</v>
      </c>
      <c r="B125" s="453" t="s">
        <v>428</v>
      </c>
      <c r="C125" s="454" t="s">
        <v>432</v>
      </c>
      <c r="D125" s="455" t="s">
        <v>472</v>
      </c>
      <c r="E125" s="454" t="s">
        <v>1014</v>
      </c>
      <c r="F125" s="455" t="s">
        <v>1015</v>
      </c>
      <c r="G125" s="454" t="s">
        <v>726</v>
      </c>
      <c r="H125" s="454" t="s">
        <v>727</v>
      </c>
      <c r="I125" s="456">
        <v>492.47</v>
      </c>
      <c r="J125" s="456">
        <v>2</v>
      </c>
      <c r="K125" s="457">
        <v>984.94</v>
      </c>
    </row>
    <row r="126" spans="1:11" ht="14.4" customHeight="1" x14ac:dyDescent="0.3">
      <c r="A126" s="452" t="s">
        <v>427</v>
      </c>
      <c r="B126" s="453" t="s">
        <v>428</v>
      </c>
      <c r="C126" s="454" t="s">
        <v>432</v>
      </c>
      <c r="D126" s="455" t="s">
        <v>472</v>
      </c>
      <c r="E126" s="454" t="s">
        <v>1014</v>
      </c>
      <c r="F126" s="455" t="s">
        <v>1015</v>
      </c>
      <c r="G126" s="454" t="s">
        <v>728</v>
      </c>
      <c r="H126" s="454" t="s">
        <v>729</v>
      </c>
      <c r="I126" s="456">
        <v>274.67</v>
      </c>
      <c r="J126" s="456">
        <v>3</v>
      </c>
      <c r="K126" s="457">
        <v>824</v>
      </c>
    </row>
    <row r="127" spans="1:11" ht="14.4" customHeight="1" x14ac:dyDescent="0.3">
      <c r="A127" s="452" t="s">
        <v>427</v>
      </c>
      <c r="B127" s="453" t="s">
        <v>428</v>
      </c>
      <c r="C127" s="454" t="s">
        <v>432</v>
      </c>
      <c r="D127" s="455" t="s">
        <v>472</v>
      </c>
      <c r="E127" s="454" t="s">
        <v>1014</v>
      </c>
      <c r="F127" s="455" t="s">
        <v>1015</v>
      </c>
      <c r="G127" s="454" t="s">
        <v>730</v>
      </c>
      <c r="H127" s="454" t="s">
        <v>731</v>
      </c>
      <c r="I127" s="456">
        <v>2117.5</v>
      </c>
      <c r="J127" s="456">
        <v>1</v>
      </c>
      <c r="K127" s="457">
        <v>2117.5</v>
      </c>
    </row>
    <row r="128" spans="1:11" ht="14.4" customHeight="1" x14ac:dyDescent="0.3">
      <c r="A128" s="452" t="s">
        <v>427</v>
      </c>
      <c r="B128" s="453" t="s">
        <v>428</v>
      </c>
      <c r="C128" s="454" t="s">
        <v>432</v>
      </c>
      <c r="D128" s="455" t="s">
        <v>472</v>
      </c>
      <c r="E128" s="454" t="s">
        <v>1014</v>
      </c>
      <c r="F128" s="455" t="s">
        <v>1015</v>
      </c>
      <c r="G128" s="454" t="s">
        <v>732</v>
      </c>
      <c r="H128" s="454" t="s">
        <v>733</v>
      </c>
      <c r="I128" s="456">
        <v>492.47</v>
      </c>
      <c r="J128" s="456">
        <v>2</v>
      </c>
      <c r="K128" s="457">
        <v>984.94</v>
      </c>
    </row>
    <row r="129" spans="1:11" ht="14.4" customHeight="1" x14ac:dyDescent="0.3">
      <c r="A129" s="452" t="s">
        <v>427</v>
      </c>
      <c r="B129" s="453" t="s">
        <v>428</v>
      </c>
      <c r="C129" s="454" t="s">
        <v>432</v>
      </c>
      <c r="D129" s="455" t="s">
        <v>472</v>
      </c>
      <c r="E129" s="454" t="s">
        <v>1014</v>
      </c>
      <c r="F129" s="455" t="s">
        <v>1015</v>
      </c>
      <c r="G129" s="454" t="s">
        <v>734</v>
      </c>
      <c r="H129" s="454" t="s">
        <v>735</v>
      </c>
      <c r="I129" s="456">
        <v>1076.9000000000001</v>
      </c>
      <c r="J129" s="456">
        <v>2</v>
      </c>
      <c r="K129" s="457">
        <v>2153.8000000000002</v>
      </c>
    </row>
    <row r="130" spans="1:11" ht="14.4" customHeight="1" x14ac:dyDescent="0.3">
      <c r="A130" s="452" t="s">
        <v>427</v>
      </c>
      <c r="B130" s="453" t="s">
        <v>428</v>
      </c>
      <c r="C130" s="454" t="s">
        <v>432</v>
      </c>
      <c r="D130" s="455" t="s">
        <v>472</v>
      </c>
      <c r="E130" s="454" t="s">
        <v>1014</v>
      </c>
      <c r="F130" s="455" t="s">
        <v>1015</v>
      </c>
      <c r="G130" s="454" t="s">
        <v>736</v>
      </c>
      <c r="H130" s="454" t="s">
        <v>737</v>
      </c>
      <c r="I130" s="456">
        <v>4840</v>
      </c>
      <c r="J130" s="456">
        <v>4</v>
      </c>
      <c r="K130" s="457">
        <v>19360</v>
      </c>
    </row>
    <row r="131" spans="1:11" ht="14.4" customHeight="1" x14ac:dyDescent="0.3">
      <c r="A131" s="452" t="s">
        <v>427</v>
      </c>
      <c r="B131" s="453" t="s">
        <v>428</v>
      </c>
      <c r="C131" s="454" t="s">
        <v>432</v>
      </c>
      <c r="D131" s="455" t="s">
        <v>472</v>
      </c>
      <c r="E131" s="454" t="s">
        <v>1014</v>
      </c>
      <c r="F131" s="455" t="s">
        <v>1015</v>
      </c>
      <c r="G131" s="454" t="s">
        <v>738</v>
      </c>
      <c r="H131" s="454" t="s">
        <v>739</v>
      </c>
      <c r="I131" s="456">
        <v>9196</v>
      </c>
      <c r="J131" s="456">
        <v>3</v>
      </c>
      <c r="K131" s="457">
        <v>27588</v>
      </c>
    </row>
    <row r="132" spans="1:11" ht="14.4" customHeight="1" x14ac:dyDescent="0.3">
      <c r="A132" s="452" t="s">
        <v>427</v>
      </c>
      <c r="B132" s="453" t="s">
        <v>428</v>
      </c>
      <c r="C132" s="454" t="s">
        <v>432</v>
      </c>
      <c r="D132" s="455" t="s">
        <v>472</v>
      </c>
      <c r="E132" s="454" t="s">
        <v>1014</v>
      </c>
      <c r="F132" s="455" t="s">
        <v>1015</v>
      </c>
      <c r="G132" s="454" t="s">
        <v>740</v>
      </c>
      <c r="H132" s="454" t="s">
        <v>741</v>
      </c>
      <c r="I132" s="456">
        <v>5105</v>
      </c>
      <c r="J132" s="456">
        <v>2</v>
      </c>
      <c r="K132" s="457">
        <v>10210</v>
      </c>
    </row>
    <row r="133" spans="1:11" ht="14.4" customHeight="1" x14ac:dyDescent="0.3">
      <c r="A133" s="452" t="s">
        <v>427</v>
      </c>
      <c r="B133" s="453" t="s">
        <v>428</v>
      </c>
      <c r="C133" s="454" t="s">
        <v>432</v>
      </c>
      <c r="D133" s="455" t="s">
        <v>472</v>
      </c>
      <c r="E133" s="454" t="s">
        <v>1014</v>
      </c>
      <c r="F133" s="455" t="s">
        <v>1015</v>
      </c>
      <c r="G133" s="454" t="s">
        <v>742</v>
      </c>
      <c r="H133" s="454" t="s">
        <v>743</v>
      </c>
      <c r="I133" s="456">
        <v>333</v>
      </c>
      <c r="J133" s="456">
        <v>1</v>
      </c>
      <c r="K133" s="457">
        <v>333</v>
      </c>
    </row>
    <row r="134" spans="1:11" ht="14.4" customHeight="1" x14ac:dyDescent="0.3">
      <c r="A134" s="452" t="s">
        <v>427</v>
      </c>
      <c r="B134" s="453" t="s">
        <v>428</v>
      </c>
      <c r="C134" s="454" t="s">
        <v>432</v>
      </c>
      <c r="D134" s="455" t="s">
        <v>472</v>
      </c>
      <c r="E134" s="454" t="s">
        <v>1014</v>
      </c>
      <c r="F134" s="455" t="s">
        <v>1015</v>
      </c>
      <c r="G134" s="454" t="s">
        <v>744</v>
      </c>
      <c r="H134" s="454" t="s">
        <v>745</v>
      </c>
      <c r="I134" s="456">
        <v>5104.8900000000003</v>
      </c>
      <c r="J134" s="456">
        <v>2</v>
      </c>
      <c r="K134" s="457">
        <v>10209.780000000001</v>
      </c>
    </row>
    <row r="135" spans="1:11" ht="14.4" customHeight="1" x14ac:dyDescent="0.3">
      <c r="A135" s="452" t="s">
        <v>427</v>
      </c>
      <c r="B135" s="453" t="s">
        <v>428</v>
      </c>
      <c r="C135" s="454" t="s">
        <v>432</v>
      </c>
      <c r="D135" s="455" t="s">
        <v>472</v>
      </c>
      <c r="E135" s="454" t="s">
        <v>1014</v>
      </c>
      <c r="F135" s="455" t="s">
        <v>1015</v>
      </c>
      <c r="G135" s="454" t="s">
        <v>746</v>
      </c>
      <c r="H135" s="454" t="s">
        <v>747</v>
      </c>
      <c r="I135" s="456">
        <v>492.47</v>
      </c>
      <c r="J135" s="456">
        <v>2</v>
      </c>
      <c r="K135" s="457">
        <v>984.94</v>
      </c>
    </row>
    <row r="136" spans="1:11" ht="14.4" customHeight="1" x14ac:dyDescent="0.3">
      <c r="A136" s="452" t="s">
        <v>427</v>
      </c>
      <c r="B136" s="453" t="s">
        <v>428</v>
      </c>
      <c r="C136" s="454" t="s">
        <v>432</v>
      </c>
      <c r="D136" s="455" t="s">
        <v>472</v>
      </c>
      <c r="E136" s="454" t="s">
        <v>1014</v>
      </c>
      <c r="F136" s="455" t="s">
        <v>1015</v>
      </c>
      <c r="G136" s="454" t="s">
        <v>748</v>
      </c>
      <c r="H136" s="454" t="s">
        <v>749</v>
      </c>
      <c r="I136" s="456">
        <v>274.67</v>
      </c>
      <c r="J136" s="456">
        <v>2</v>
      </c>
      <c r="K136" s="457">
        <v>549.34</v>
      </c>
    </row>
    <row r="137" spans="1:11" ht="14.4" customHeight="1" x14ac:dyDescent="0.3">
      <c r="A137" s="452" t="s">
        <v>427</v>
      </c>
      <c r="B137" s="453" t="s">
        <v>428</v>
      </c>
      <c r="C137" s="454" t="s">
        <v>432</v>
      </c>
      <c r="D137" s="455" t="s">
        <v>472</v>
      </c>
      <c r="E137" s="454" t="s">
        <v>1014</v>
      </c>
      <c r="F137" s="455" t="s">
        <v>1015</v>
      </c>
      <c r="G137" s="454" t="s">
        <v>750</v>
      </c>
      <c r="H137" s="454" t="s">
        <v>751</v>
      </c>
      <c r="I137" s="456">
        <v>3639.68</v>
      </c>
      <c r="J137" s="456">
        <v>5</v>
      </c>
      <c r="K137" s="457">
        <v>18198.400000000001</v>
      </c>
    </row>
    <row r="138" spans="1:11" ht="14.4" customHeight="1" x14ac:dyDescent="0.3">
      <c r="A138" s="452" t="s">
        <v>427</v>
      </c>
      <c r="B138" s="453" t="s">
        <v>428</v>
      </c>
      <c r="C138" s="454" t="s">
        <v>432</v>
      </c>
      <c r="D138" s="455" t="s">
        <v>472</v>
      </c>
      <c r="E138" s="454" t="s">
        <v>1014</v>
      </c>
      <c r="F138" s="455" t="s">
        <v>1015</v>
      </c>
      <c r="G138" s="454" t="s">
        <v>752</v>
      </c>
      <c r="H138" s="454" t="s">
        <v>753</v>
      </c>
      <c r="I138" s="456">
        <v>5104.8900000000003</v>
      </c>
      <c r="J138" s="456">
        <v>2</v>
      </c>
      <c r="K138" s="457">
        <v>10209.77</v>
      </c>
    </row>
    <row r="139" spans="1:11" ht="14.4" customHeight="1" x14ac:dyDescent="0.3">
      <c r="A139" s="452" t="s">
        <v>427</v>
      </c>
      <c r="B139" s="453" t="s">
        <v>428</v>
      </c>
      <c r="C139" s="454" t="s">
        <v>432</v>
      </c>
      <c r="D139" s="455" t="s">
        <v>472</v>
      </c>
      <c r="E139" s="454" t="s">
        <v>1014</v>
      </c>
      <c r="F139" s="455" t="s">
        <v>1015</v>
      </c>
      <c r="G139" s="454" t="s">
        <v>754</v>
      </c>
      <c r="H139" s="454" t="s">
        <v>755</v>
      </c>
      <c r="I139" s="456">
        <v>3523.52</v>
      </c>
      <c r="J139" s="456">
        <v>1</v>
      </c>
      <c r="K139" s="457">
        <v>3523.52</v>
      </c>
    </row>
    <row r="140" spans="1:11" ht="14.4" customHeight="1" x14ac:dyDescent="0.3">
      <c r="A140" s="452" t="s">
        <v>427</v>
      </c>
      <c r="B140" s="453" t="s">
        <v>428</v>
      </c>
      <c r="C140" s="454" t="s">
        <v>432</v>
      </c>
      <c r="D140" s="455" t="s">
        <v>472</v>
      </c>
      <c r="E140" s="454" t="s">
        <v>1014</v>
      </c>
      <c r="F140" s="455" t="s">
        <v>1015</v>
      </c>
      <c r="G140" s="454" t="s">
        <v>756</v>
      </c>
      <c r="H140" s="454" t="s">
        <v>757</v>
      </c>
      <c r="I140" s="456">
        <v>1207.58</v>
      </c>
      <c r="J140" s="456">
        <v>3</v>
      </c>
      <c r="K140" s="457">
        <v>3622.74</v>
      </c>
    </row>
    <row r="141" spans="1:11" ht="14.4" customHeight="1" x14ac:dyDescent="0.3">
      <c r="A141" s="452" t="s">
        <v>427</v>
      </c>
      <c r="B141" s="453" t="s">
        <v>428</v>
      </c>
      <c r="C141" s="454" t="s">
        <v>432</v>
      </c>
      <c r="D141" s="455" t="s">
        <v>472</v>
      </c>
      <c r="E141" s="454" t="s">
        <v>1014</v>
      </c>
      <c r="F141" s="455" t="s">
        <v>1015</v>
      </c>
      <c r="G141" s="454" t="s">
        <v>758</v>
      </c>
      <c r="H141" s="454" t="s">
        <v>759</v>
      </c>
      <c r="I141" s="456">
        <v>4719</v>
      </c>
      <c r="J141" s="456">
        <v>1</v>
      </c>
      <c r="K141" s="457">
        <v>4719</v>
      </c>
    </row>
    <row r="142" spans="1:11" ht="14.4" customHeight="1" x14ac:dyDescent="0.3">
      <c r="A142" s="452" t="s">
        <v>427</v>
      </c>
      <c r="B142" s="453" t="s">
        <v>428</v>
      </c>
      <c r="C142" s="454" t="s">
        <v>432</v>
      </c>
      <c r="D142" s="455" t="s">
        <v>472</v>
      </c>
      <c r="E142" s="454" t="s">
        <v>1014</v>
      </c>
      <c r="F142" s="455" t="s">
        <v>1015</v>
      </c>
      <c r="G142" s="454" t="s">
        <v>760</v>
      </c>
      <c r="H142" s="454" t="s">
        <v>761</v>
      </c>
      <c r="I142" s="456">
        <v>4961</v>
      </c>
      <c r="J142" s="456">
        <v>1</v>
      </c>
      <c r="K142" s="457">
        <v>4961</v>
      </c>
    </row>
    <row r="143" spans="1:11" ht="14.4" customHeight="1" x14ac:dyDescent="0.3">
      <c r="A143" s="452" t="s">
        <v>427</v>
      </c>
      <c r="B143" s="453" t="s">
        <v>428</v>
      </c>
      <c r="C143" s="454" t="s">
        <v>432</v>
      </c>
      <c r="D143" s="455" t="s">
        <v>472</v>
      </c>
      <c r="E143" s="454" t="s">
        <v>1014</v>
      </c>
      <c r="F143" s="455" t="s">
        <v>1015</v>
      </c>
      <c r="G143" s="454" t="s">
        <v>762</v>
      </c>
      <c r="H143" s="454" t="s">
        <v>763</v>
      </c>
      <c r="I143" s="456">
        <v>274.67</v>
      </c>
      <c r="J143" s="456">
        <v>2</v>
      </c>
      <c r="K143" s="457">
        <v>549.34</v>
      </c>
    </row>
    <row r="144" spans="1:11" ht="14.4" customHeight="1" x14ac:dyDescent="0.3">
      <c r="A144" s="452" t="s">
        <v>427</v>
      </c>
      <c r="B144" s="453" t="s">
        <v>428</v>
      </c>
      <c r="C144" s="454" t="s">
        <v>432</v>
      </c>
      <c r="D144" s="455" t="s">
        <v>472</v>
      </c>
      <c r="E144" s="454" t="s">
        <v>1014</v>
      </c>
      <c r="F144" s="455" t="s">
        <v>1015</v>
      </c>
      <c r="G144" s="454" t="s">
        <v>764</v>
      </c>
      <c r="H144" s="454" t="s">
        <v>765</v>
      </c>
      <c r="I144" s="456">
        <v>274.68</v>
      </c>
      <c r="J144" s="456">
        <v>3</v>
      </c>
      <c r="K144" s="457">
        <v>824.04</v>
      </c>
    </row>
    <row r="145" spans="1:11" ht="14.4" customHeight="1" x14ac:dyDescent="0.3">
      <c r="A145" s="452" t="s">
        <v>427</v>
      </c>
      <c r="B145" s="453" t="s">
        <v>428</v>
      </c>
      <c r="C145" s="454" t="s">
        <v>432</v>
      </c>
      <c r="D145" s="455" t="s">
        <v>472</v>
      </c>
      <c r="E145" s="454" t="s">
        <v>1014</v>
      </c>
      <c r="F145" s="455" t="s">
        <v>1015</v>
      </c>
      <c r="G145" s="454" t="s">
        <v>766</v>
      </c>
      <c r="H145" s="454" t="s">
        <v>767</v>
      </c>
      <c r="I145" s="456">
        <v>4719</v>
      </c>
      <c r="J145" s="456">
        <v>1</v>
      </c>
      <c r="K145" s="457">
        <v>4719</v>
      </c>
    </row>
    <row r="146" spans="1:11" ht="14.4" customHeight="1" x14ac:dyDescent="0.3">
      <c r="A146" s="452" t="s">
        <v>427</v>
      </c>
      <c r="B146" s="453" t="s">
        <v>428</v>
      </c>
      <c r="C146" s="454" t="s">
        <v>432</v>
      </c>
      <c r="D146" s="455" t="s">
        <v>472</v>
      </c>
      <c r="E146" s="454" t="s">
        <v>1014</v>
      </c>
      <c r="F146" s="455" t="s">
        <v>1015</v>
      </c>
      <c r="G146" s="454" t="s">
        <v>768</v>
      </c>
      <c r="H146" s="454" t="s">
        <v>769</v>
      </c>
      <c r="I146" s="456">
        <v>274.67</v>
      </c>
      <c r="J146" s="456">
        <v>3</v>
      </c>
      <c r="K146" s="457">
        <v>824</v>
      </c>
    </row>
    <row r="147" spans="1:11" ht="14.4" customHeight="1" x14ac:dyDescent="0.3">
      <c r="A147" s="452" t="s">
        <v>427</v>
      </c>
      <c r="B147" s="453" t="s">
        <v>428</v>
      </c>
      <c r="C147" s="454" t="s">
        <v>432</v>
      </c>
      <c r="D147" s="455" t="s">
        <v>472</v>
      </c>
      <c r="E147" s="454" t="s">
        <v>1014</v>
      </c>
      <c r="F147" s="455" t="s">
        <v>1015</v>
      </c>
      <c r="G147" s="454" t="s">
        <v>770</v>
      </c>
      <c r="H147" s="454" t="s">
        <v>771</v>
      </c>
      <c r="I147" s="456">
        <v>274.67</v>
      </c>
      <c r="J147" s="456">
        <v>3</v>
      </c>
      <c r="K147" s="457">
        <v>824</v>
      </c>
    </row>
    <row r="148" spans="1:11" ht="14.4" customHeight="1" x14ac:dyDescent="0.3">
      <c r="A148" s="452" t="s">
        <v>427</v>
      </c>
      <c r="B148" s="453" t="s">
        <v>428</v>
      </c>
      <c r="C148" s="454" t="s">
        <v>432</v>
      </c>
      <c r="D148" s="455" t="s">
        <v>472</v>
      </c>
      <c r="E148" s="454" t="s">
        <v>1014</v>
      </c>
      <c r="F148" s="455" t="s">
        <v>1015</v>
      </c>
      <c r="G148" s="454" t="s">
        <v>772</v>
      </c>
      <c r="H148" s="454" t="s">
        <v>773</v>
      </c>
      <c r="I148" s="456">
        <v>273.0575</v>
      </c>
      <c r="J148" s="456">
        <v>21</v>
      </c>
      <c r="K148" s="457">
        <v>5758.3899999999994</v>
      </c>
    </row>
    <row r="149" spans="1:11" ht="14.4" customHeight="1" x14ac:dyDescent="0.3">
      <c r="A149" s="452" t="s">
        <v>427</v>
      </c>
      <c r="B149" s="453" t="s">
        <v>428</v>
      </c>
      <c r="C149" s="454" t="s">
        <v>432</v>
      </c>
      <c r="D149" s="455" t="s">
        <v>472</v>
      </c>
      <c r="E149" s="454" t="s">
        <v>1014</v>
      </c>
      <c r="F149" s="455" t="s">
        <v>1015</v>
      </c>
      <c r="G149" s="454" t="s">
        <v>774</v>
      </c>
      <c r="H149" s="454" t="s">
        <v>775</v>
      </c>
      <c r="I149" s="456">
        <v>32.380000000000003</v>
      </c>
      <c r="J149" s="456">
        <v>20</v>
      </c>
      <c r="K149" s="457">
        <v>647.58000000000004</v>
      </c>
    </row>
    <row r="150" spans="1:11" ht="14.4" customHeight="1" x14ac:dyDescent="0.3">
      <c r="A150" s="452" t="s">
        <v>427</v>
      </c>
      <c r="B150" s="453" t="s">
        <v>428</v>
      </c>
      <c r="C150" s="454" t="s">
        <v>432</v>
      </c>
      <c r="D150" s="455" t="s">
        <v>472</v>
      </c>
      <c r="E150" s="454" t="s">
        <v>1014</v>
      </c>
      <c r="F150" s="455" t="s">
        <v>1015</v>
      </c>
      <c r="G150" s="454" t="s">
        <v>776</v>
      </c>
      <c r="H150" s="454" t="s">
        <v>777</v>
      </c>
      <c r="I150" s="456">
        <v>2192.52</v>
      </c>
      <c r="J150" s="456">
        <v>1</v>
      </c>
      <c r="K150" s="457">
        <v>2192.52</v>
      </c>
    </row>
    <row r="151" spans="1:11" ht="14.4" customHeight="1" x14ac:dyDescent="0.3">
      <c r="A151" s="452" t="s">
        <v>427</v>
      </c>
      <c r="B151" s="453" t="s">
        <v>428</v>
      </c>
      <c r="C151" s="454" t="s">
        <v>432</v>
      </c>
      <c r="D151" s="455" t="s">
        <v>472</v>
      </c>
      <c r="E151" s="454" t="s">
        <v>1014</v>
      </c>
      <c r="F151" s="455" t="s">
        <v>1015</v>
      </c>
      <c r="G151" s="454" t="s">
        <v>778</v>
      </c>
      <c r="H151" s="454" t="s">
        <v>779</v>
      </c>
      <c r="I151" s="456">
        <v>55.64</v>
      </c>
      <c r="J151" s="456">
        <v>1</v>
      </c>
      <c r="K151" s="457">
        <v>55.64</v>
      </c>
    </row>
    <row r="152" spans="1:11" ht="14.4" customHeight="1" x14ac:dyDescent="0.3">
      <c r="A152" s="452" t="s">
        <v>427</v>
      </c>
      <c r="B152" s="453" t="s">
        <v>428</v>
      </c>
      <c r="C152" s="454" t="s">
        <v>432</v>
      </c>
      <c r="D152" s="455" t="s">
        <v>472</v>
      </c>
      <c r="E152" s="454" t="s">
        <v>1014</v>
      </c>
      <c r="F152" s="455" t="s">
        <v>1015</v>
      </c>
      <c r="G152" s="454" t="s">
        <v>780</v>
      </c>
      <c r="H152" s="454" t="s">
        <v>781</v>
      </c>
      <c r="I152" s="456">
        <v>10890</v>
      </c>
      <c r="J152" s="456">
        <v>3</v>
      </c>
      <c r="K152" s="457">
        <v>32670</v>
      </c>
    </row>
    <row r="153" spans="1:11" ht="14.4" customHeight="1" x14ac:dyDescent="0.3">
      <c r="A153" s="452" t="s">
        <v>427</v>
      </c>
      <c r="B153" s="453" t="s">
        <v>428</v>
      </c>
      <c r="C153" s="454" t="s">
        <v>432</v>
      </c>
      <c r="D153" s="455" t="s">
        <v>472</v>
      </c>
      <c r="E153" s="454" t="s">
        <v>1014</v>
      </c>
      <c r="F153" s="455" t="s">
        <v>1015</v>
      </c>
      <c r="G153" s="454" t="s">
        <v>782</v>
      </c>
      <c r="H153" s="454" t="s">
        <v>783</v>
      </c>
      <c r="I153" s="456">
        <v>9110.09</v>
      </c>
      <c r="J153" s="456">
        <v>1</v>
      </c>
      <c r="K153" s="457">
        <v>9110.09</v>
      </c>
    </row>
    <row r="154" spans="1:11" ht="14.4" customHeight="1" x14ac:dyDescent="0.3">
      <c r="A154" s="452" t="s">
        <v>427</v>
      </c>
      <c r="B154" s="453" t="s">
        <v>428</v>
      </c>
      <c r="C154" s="454" t="s">
        <v>432</v>
      </c>
      <c r="D154" s="455" t="s">
        <v>472</v>
      </c>
      <c r="E154" s="454" t="s">
        <v>1014</v>
      </c>
      <c r="F154" s="455" t="s">
        <v>1015</v>
      </c>
      <c r="G154" s="454" t="s">
        <v>784</v>
      </c>
      <c r="H154" s="454" t="s">
        <v>785</v>
      </c>
      <c r="I154" s="456">
        <v>70.204999999999998</v>
      </c>
      <c r="J154" s="456">
        <v>9</v>
      </c>
      <c r="K154" s="457">
        <v>631.80999999999995</v>
      </c>
    </row>
    <row r="155" spans="1:11" ht="14.4" customHeight="1" x14ac:dyDescent="0.3">
      <c r="A155" s="452" t="s">
        <v>427</v>
      </c>
      <c r="B155" s="453" t="s">
        <v>428</v>
      </c>
      <c r="C155" s="454" t="s">
        <v>432</v>
      </c>
      <c r="D155" s="455" t="s">
        <v>472</v>
      </c>
      <c r="E155" s="454" t="s">
        <v>1014</v>
      </c>
      <c r="F155" s="455" t="s">
        <v>1015</v>
      </c>
      <c r="G155" s="454" t="s">
        <v>786</v>
      </c>
      <c r="H155" s="454" t="s">
        <v>787</v>
      </c>
      <c r="I155" s="456">
        <v>21.05</v>
      </c>
      <c r="J155" s="456">
        <v>324</v>
      </c>
      <c r="K155" s="457">
        <v>6821.48</v>
      </c>
    </row>
    <row r="156" spans="1:11" ht="14.4" customHeight="1" x14ac:dyDescent="0.3">
      <c r="A156" s="452" t="s">
        <v>427</v>
      </c>
      <c r="B156" s="453" t="s">
        <v>428</v>
      </c>
      <c r="C156" s="454" t="s">
        <v>432</v>
      </c>
      <c r="D156" s="455" t="s">
        <v>472</v>
      </c>
      <c r="E156" s="454" t="s">
        <v>1014</v>
      </c>
      <c r="F156" s="455" t="s">
        <v>1015</v>
      </c>
      <c r="G156" s="454" t="s">
        <v>788</v>
      </c>
      <c r="H156" s="454" t="s">
        <v>789</v>
      </c>
      <c r="I156" s="456">
        <v>2782.9866666666662</v>
      </c>
      <c r="J156" s="456">
        <v>4</v>
      </c>
      <c r="K156" s="457">
        <v>11131.96</v>
      </c>
    </row>
    <row r="157" spans="1:11" ht="14.4" customHeight="1" x14ac:dyDescent="0.3">
      <c r="A157" s="452" t="s">
        <v>427</v>
      </c>
      <c r="B157" s="453" t="s">
        <v>428</v>
      </c>
      <c r="C157" s="454" t="s">
        <v>432</v>
      </c>
      <c r="D157" s="455" t="s">
        <v>472</v>
      </c>
      <c r="E157" s="454" t="s">
        <v>1014</v>
      </c>
      <c r="F157" s="455" t="s">
        <v>1015</v>
      </c>
      <c r="G157" s="454" t="s">
        <v>790</v>
      </c>
      <c r="H157" s="454" t="s">
        <v>791</v>
      </c>
      <c r="I157" s="456">
        <v>8985.4599999999991</v>
      </c>
      <c r="J157" s="456">
        <v>4</v>
      </c>
      <c r="K157" s="457">
        <v>35941.839999999997</v>
      </c>
    </row>
    <row r="158" spans="1:11" ht="14.4" customHeight="1" x14ac:dyDescent="0.3">
      <c r="A158" s="452" t="s">
        <v>427</v>
      </c>
      <c r="B158" s="453" t="s">
        <v>428</v>
      </c>
      <c r="C158" s="454" t="s">
        <v>432</v>
      </c>
      <c r="D158" s="455" t="s">
        <v>472</v>
      </c>
      <c r="E158" s="454" t="s">
        <v>1014</v>
      </c>
      <c r="F158" s="455" t="s">
        <v>1015</v>
      </c>
      <c r="G158" s="454" t="s">
        <v>792</v>
      </c>
      <c r="H158" s="454" t="s">
        <v>793</v>
      </c>
      <c r="I158" s="456">
        <v>3049.26</v>
      </c>
      <c r="J158" s="456">
        <v>4</v>
      </c>
      <c r="K158" s="457">
        <v>12197.02</v>
      </c>
    </row>
    <row r="159" spans="1:11" ht="14.4" customHeight="1" x14ac:dyDescent="0.3">
      <c r="A159" s="452" t="s">
        <v>427</v>
      </c>
      <c r="B159" s="453" t="s">
        <v>428</v>
      </c>
      <c r="C159" s="454" t="s">
        <v>432</v>
      </c>
      <c r="D159" s="455" t="s">
        <v>472</v>
      </c>
      <c r="E159" s="454" t="s">
        <v>1014</v>
      </c>
      <c r="F159" s="455" t="s">
        <v>1015</v>
      </c>
      <c r="G159" s="454" t="s">
        <v>794</v>
      </c>
      <c r="H159" s="454" t="s">
        <v>795</v>
      </c>
      <c r="I159" s="456">
        <v>3346.86</v>
      </c>
      <c r="J159" s="456">
        <v>1</v>
      </c>
      <c r="K159" s="457">
        <v>3346.86</v>
      </c>
    </row>
    <row r="160" spans="1:11" ht="14.4" customHeight="1" x14ac:dyDescent="0.3">
      <c r="A160" s="452" t="s">
        <v>427</v>
      </c>
      <c r="B160" s="453" t="s">
        <v>428</v>
      </c>
      <c r="C160" s="454" t="s">
        <v>432</v>
      </c>
      <c r="D160" s="455" t="s">
        <v>472</v>
      </c>
      <c r="E160" s="454" t="s">
        <v>1014</v>
      </c>
      <c r="F160" s="455" t="s">
        <v>1015</v>
      </c>
      <c r="G160" s="454" t="s">
        <v>796</v>
      </c>
      <c r="H160" s="454" t="s">
        <v>797</v>
      </c>
      <c r="I160" s="456">
        <v>129.41999999999999</v>
      </c>
      <c r="J160" s="456">
        <v>1</v>
      </c>
      <c r="K160" s="457">
        <v>129.41999999999999</v>
      </c>
    </row>
    <row r="161" spans="1:11" ht="14.4" customHeight="1" x14ac:dyDescent="0.3">
      <c r="A161" s="452" t="s">
        <v>427</v>
      </c>
      <c r="B161" s="453" t="s">
        <v>428</v>
      </c>
      <c r="C161" s="454" t="s">
        <v>432</v>
      </c>
      <c r="D161" s="455" t="s">
        <v>472</v>
      </c>
      <c r="E161" s="454" t="s">
        <v>1014</v>
      </c>
      <c r="F161" s="455" t="s">
        <v>1015</v>
      </c>
      <c r="G161" s="454" t="s">
        <v>798</v>
      </c>
      <c r="H161" s="454" t="s">
        <v>799</v>
      </c>
      <c r="I161" s="456">
        <v>3346.86</v>
      </c>
      <c r="J161" s="456">
        <v>19</v>
      </c>
      <c r="K161" s="457">
        <v>63590.340000000004</v>
      </c>
    </row>
    <row r="162" spans="1:11" ht="14.4" customHeight="1" x14ac:dyDescent="0.3">
      <c r="A162" s="452" t="s">
        <v>427</v>
      </c>
      <c r="B162" s="453" t="s">
        <v>428</v>
      </c>
      <c r="C162" s="454" t="s">
        <v>432</v>
      </c>
      <c r="D162" s="455" t="s">
        <v>472</v>
      </c>
      <c r="E162" s="454" t="s">
        <v>1014</v>
      </c>
      <c r="F162" s="455" t="s">
        <v>1015</v>
      </c>
      <c r="G162" s="454" t="s">
        <v>800</v>
      </c>
      <c r="H162" s="454" t="s">
        <v>801</v>
      </c>
      <c r="I162" s="456">
        <v>98.7</v>
      </c>
      <c r="J162" s="456">
        <v>1</v>
      </c>
      <c r="K162" s="457">
        <v>98.7</v>
      </c>
    </row>
    <row r="163" spans="1:11" ht="14.4" customHeight="1" x14ac:dyDescent="0.3">
      <c r="A163" s="452" t="s">
        <v>427</v>
      </c>
      <c r="B163" s="453" t="s">
        <v>428</v>
      </c>
      <c r="C163" s="454" t="s">
        <v>432</v>
      </c>
      <c r="D163" s="455" t="s">
        <v>472</v>
      </c>
      <c r="E163" s="454" t="s">
        <v>1014</v>
      </c>
      <c r="F163" s="455" t="s">
        <v>1015</v>
      </c>
      <c r="G163" s="454" t="s">
        <v>802</v>
      </c>
      <c r="H163" s="454" t="s">
        <v>803</v>
      </c>
      <c r="I163" s="456">
        <v>2565.2449999999999</v>
      </c>
      <c r="J163" s="456">
        <v>8</v>
      </c>
      <c r="K163" s="457">
        <v>20521.98</v>
      </c>
    </row>
    <row r="164" spans="1:11" ht="14.4" customHeight="1" x14ac:dyDescent="0.3">
      <c r="A164" s="452" t="s">
        <v>427</v>
      </c>
      <c r="B164" s="453" t="s">
        <v>428</v>
      </c>
      <c r="C164" s="454" t="s">
        <v>432</v>
      </c>
      <c r="D164" s="455" t="s">
        <v>472</v>
      </c>
      <c r="E164" s="454" t="s">
        <v>1014</v>
      </c>
      <c r="F164" s="455" t="s">
        <v>1015</v>
      </c>
      <c r="G164" s="454" t="s">
        <v>804</v>
      </c>
      <c r="H164" s="454" t="s">
        <v>805</v>
      </c>
      <c r="I164" s="456">
        <v>1833.16</v>
      </c>
      <c r="J164" s="456">
        <v>1</v>
      </c>
      <c r="K164" s="457">
        <v>1833.16</v>
      </c>
    </row>
    <row r="165" spans="1:11" ht="14.4" customHeight="1" x14ac:dyDescent="0.3">
      <c r="A165" s="452" t="s">
        <v>427</v>
      </c>
      <c r="B165" s="453" t="s">
        <v>428</v>
      </c>
      <c r="C165" s="454" t="s">
        <v>432</v>
      </c>
      <c r="D165" s="455" t="s">
        <v>472</v>
      </c>
      <c r="E165" s="454" t="s">
        <v>1014</v>
      </c>
      <c r="F165" s="455" t="s">
        <v>1015</v>
      </c>
      <c r="G165" s="454" t="s">
        <v>806</v>
      </c>
      <c r="H165" s="454" t="s">
        <v>807</v>
      </c>
      <c r="I165" s="456">
        <v>274.68</v>
      </c>
      <c r="J165" s="456">
        <v>3</v>
      </c>
      <c r="K165" s="457">
        <v>824.03</v>
      </c>
    </row>
    <row r="166" spans="1:11" ht="14.4" customHeight="1" x14ac:dyDescent="0.3">
      <c r="A166" s="452" t="s">
        <v>427</v>
      </c>
      <c r="B166" s="453" t="s">
        <v>428</v>
      </c>
      <c r="C166" s="454" t="s">
        <v>432</v>
      </c>
      <c r="D166" s="455" t="s">
        <v>472</v>
      </c>
      <c r="E166" s="454" t="s">
        <v>1014</v>
      </c>
      <c r="F166" s="455" t="s">
        <v>1015</v>
      </c>
      <c r="G166" s="454" t="s">
        <v>808</v>
      </c>
      <c r="H166" s="454" t="s">
        <v>809</v>
      </c>
      <c r="I166" s="456">
        <v>133.1</v>
      </c>
      <c r="J166" s="456">
        <v>2</v>
      </c>
      <c r="K166" s="457">
        <v>266.2</v>
      </c>
    </row>
    <row r="167" spans="1:11" ht="14.4" customHeight="1" x14ac:dyDescent="0.3">
      <c r="A167" s="452" t="s">
        <v>427</v>
      </c>
      <c r="B167" s="453" t="s">
        <v>428</v>
      </c>
      <c r="C167" s="454" t="s">
        <v>432</v>
      </c>
      <c r="D167" s="455" t="s">
        <v>472</v>
      </c>
      <c r="E167" s="454" t="s">
        <v>1014</v>
      </c>
      <c r="F167" s="455" t="s">
        <v>1015</v>
      </c>
      <c r="G167" s="454" t="s">
        <v>810</v>
      </c>
      <c r="H167" s="454" t="s">
        <v>811</v>
      </c>
      <c r="I167" s="456">
        <v>5010</v>
      </c>
      <c r="J167" s="456">
        <v>1</v>
      </c>
      <c r="K167" s="457">
        <v>5010</v>
      </c>
    </row>
    <row r="168" spans="1:11" ht="14.4" customHeight="1" x14ac:dyDescent="0.3">
      <c r="A168" s="452" t="s">
        <v>427</v>
      </c>
      <c r="B168" s="453" t="s">
        <v>428</v>
      </c>
      <c r="C168" s="454" t="s">
        <v>432</v>
      </c>
      <c r="D168" s="455" t="s">
        <v>472</v>
      </c>
      <c r="E168" s="454" t="s">
        <v>1014</v>
      </c>
      <c r="F168" s="455" t="s">
        <v>1015</v>
      </c>
      <c r="G168" s="454" t="s">
        <v>812</v>
      </c>
      <c r="H168" s="454" t="s">
        <v>813</v>
      </c>
      <c r="I168" s="456">
        <v>9297</v>
      </c>
      <c r="J168" s="456">
        <v>1</v>
      </c>
      <c r="K168" s="457">
        <v>9297</v>
      </c>
    </row>
    <row r="169" spans="1:11" ht="14.4" customHeight="1" x14ac:dyDescent="0.3">
      <c r="A169" s="452" t="s">
        <v>427</v>
      </c>
      <c r="B169" s="453" t="s">
        <v>428</v>
      </c>
      <c r="C169" s="454" t="s">
        <v>432</v>
      </c>
      <c r="D169" s="455" t="s">
        <v>472</v>
      </c>
      <c r="E169" s="454" t="s">
        <v>1014</v>
      </c>
      <c r="F169" s="455" t="s">
        <v>1015</v>
      </c>
      <c r="G169" s="454" t="s">
        <v>814</v>
      </c>
      <c r="H169" s="454" t="s">
        <v>815</v>
      </c>
      <c r="I169" s="456">
        <v>3633.6299999999997</v>
      </c>
      <c r="J169" s="456">
        <v>4</v>
      </c>
      <c r="K169" s="457">
        <v>14534.52</v>
      </c>
    </row>
    <row r="170" spans="1:11" ht="14.4" customHeight="1" x14ac:dyDescent="0.3">
      <c r="A170" s="452" t="s">
        <v>427</v>
      </c>
      <c r="B170" s="453" t="s">
        <v>428</v>
      </c>
      <c r="C170" s="454" t="s">
        <v>432</v>
      </c>
      <c r="D170" s="455" t="s">
        <v>472</v>
      </c>
      <c r="E170" s="454" t="s">
        <v>1014</v>
      </c>
      <c r="F170" s="455" t="s">
        <v>1015</v>
      </c>
      <c r="G170" s="454" t="s">
        <v>816</v>
      </c>
      <c r="H170" s="454" t="s">
        <v>817</v>
      </c>
      <c r="I170" s="456">
        <v>510.62</v>
      </c>
      <c r="J170" s="456">
        <v>1</v>
      </c>
      <c r="K170" s="457">
        <v>510.62</v>
      </c>
    </row>
    <row r="171" spans="1:11" ht="14.4" customHeight="1" x14ac:dyDescent="0.3">
      <c r="A171" s="452" t="s">
        <v>427</v>
      </c>
      <c r="B171" s="453" t="s">
        <v>428</v>
      </c>
      <c r="C171" s="454" t="s">
        <v>432</v>
      </c>
      <c r="D171" s="455" t="s">
        <v>472</v>
      </c>
      <c r="E171" s="454" t="s">
        <v>1014</v>
      </c>
      <c r="F171" s="455" t="s">
        <v>1015</v>
      </c>
      <c r="G171" s="454" t="s">
        <v>818</v>
      </c>
      <c r="H171" s="454" t="s">
        <v>819</v>
      </c>
      <c r="I171" s="456">
        <v>8.35</v>
      </c>
      <c r="J171" s="456">
        <v>6200</v>
      </c>
      <c r="K171" s="457">
        <v>51763.56</v>
      </c>
    </row>
    <row r="172" spans="1:11" ht="14.4" customHeight="1" x14ac:dyDescent="0.3">
      <c r="A172" s="452" t="s">
        <v>427</v>
      </c>
      <c r="B172" s="453" t="s">
        <v>428</v>
      </c>
      <c r="C172" s="454" t="s">
        <v>432</v>
      </c>
      <c r="D172" s="455" t="s">
        <v>472</v>
      </c>
      <c r="E172" s="454" t="s">
        <v>1014</v>
      </c>
      <c r="F172" s="455" t="s">
        <v>1015</v>
      </c>
      <c r="G172" s="454" t="s">
        <v>820</v>
      </c>
      <c r="H172" s="454" t="s">
        <v>821</v>
      </c>
      <c r="I172" s="456">
        <v>3860</v>
      </c>
      <c r="J172" s="456">
        <v>2</v>
      </c>
      <c r="K172" s="457">
        <v>7720</v>
      </c>
    </row>
    <row r="173" spans="1:11" ht="14.4" customHeight="1" x14ac:dyDescent="0.3">
      <c r="A173" s="452" t="s">
        <v>427</v>
      </c>
      <c r="B173" s="453" t="s">
        <v>428</v>
      </c>
      <c r="C173" s="454" t="s">
        <v>432</v>
      </c>
      <c r="D173" s="455" t="s">
        <v>472</v>
      </c>
      <c r="E173" s="454" t="s">
        <v>1014</v>
      </c>
      <c r="F173" s="455" t="s">
        <v>1015</v>
      </c>
      <c r="G173" s="454" t="s">
        <v>822</v>
      </c>
      <c r="H173" s="454" t="s">
        <v>823</v>
      </c>
      <c r="I173" s="456">
        <v>151.25</v>
      </c>
      <c r="J173" s="456">
        <v>1</v>
      </c>
      <c r="K173" s="457">
        <v>151.25</v>
      </c>
    </row>
    <row r="174" spans="1:11" ht="14.4" customHeight="1" x14ac:dyDescent="0.3">
      <c r="A174" s="452" t="s">
        <v>427</v>
      </c>
      <c r="B174" s="453" t="s">
        <v>428</v>
      </c>
      <c r="C174" s="454" t="s">
        <v>432</v>
      </c>
      <c r="D174" s="455" t="s">
        <v>472</v>
      </c>
      <c r="E174" s="454" t="s">
        <v>1014</v>
      </c>
      <c r="F174" s="455" t="s">
        <v>1015</v>
      </c>
      <c r="G174" s="454" t="s">
        <v>824</v>
      </c>
      <c r="H174" s="454" t="s">
        <v>825</v>
      </c>
      <c r="I174" s="456">
        <v>8470</v>
      </c>
      <c r="J174" s="456">
        <v>1</v>
      </c>
      <c r="K174" s="457">
        <v>8470</v>
      </c>
    </row>
    <row r="175" spans="1:11" ht="14.4" customHeight="1" x14ac:dyDescent="0.3">
      <c r="A175" s="452" t="s">
        <v>427</v>
      </c>
      <c r="B175" s="453" t="s">
        <v>428</v>
      </c>
      <c r="C175" s="454" t="s">
        <v>432</v>
      </c>
      <c r="D175" s="455" t="s">
        <v>472</v>
      </c>
      <c r="E175" s="454" t="s">
        <v>1014</v>
      </c>
      <c r="F175" s="455" t="s">
        <v>1015</v>
      </c>
      <c r="G175" s="454" t="s">
        <v>826</v>
      </c>
      <c r="H175" s="454" t="s">
        <v>827</v>
      </c>
      <c r="I175" s="456">
        <v>274.68</v>
      </c>
      <c r="J175" s="456">
        <v>4</v>
      </c>
      <c r="K175" s="457">
        <v>1098.71</v>
      </c>
    </row>
    <row r="176" spans="1:11" ht="14.4" customHeight="1" x14ac:dyDescent="0.3">
      <c r="A176" s="452" t="s">
        <v>427</v>
      </c>
      <c r="B176" s="453" t="s">
        <v>428</v>
      </c>
      <c r="C176" s="454" t="s">
        <v>432</v>
      </c>
      <c r="D176" s="455" t="s">
        <v>472</v>
      </c>
      <c r="E176" s="454" t="s">
        <v>1014</v>
      </c>
      <c r="F176" s="455" t="s">
        <v>1015</v>
      </c>
      <c r="G176" s="454" t="s">
        <v>828</v>
      </c>
      <c r="H176" s="454" t="s">
        <v>829</v>
      </c>
      <c r="I176" s="456">
        <v>1207.58</v>
      </c>
      <c r="J176" s="456">
        <v>5</v>
      </c>
      <c r="K176" s="457">
        <v>6037.9</v>
      </c>
    </row>
    <row r="177" spans="1:11" ht="14.4" customHeight="1" x14ac:dyDescent="0.3">
      <c r="A177" s="452" t="s">
        <v>427</v>
      </c>
      <c r="B177" s="453" t="s">
        <v>428</v>
      </c>
      <c r="C177" s="454" t="s">
        <v>432</v>
      </c>
      <c r="D177" s="455" t="s">
        <v>472</v>
      </c>
      <c r="E177" s="454" t="s">
        <v>1014</v>
      </c>
      <c r="F177" s="455" t="s">
        <v>1015</v>
      </c>
      <c r="G177" s="454" t="s">
        <v>830</v>
      </c>
      <c r="H177" s="454" t="s">
        <v>831</v>
      </c>
      <c r="I177" s="456">
        <v>16089.32</v>
      </c>
      <c r="J177" s="456">
        <v>2</v>
      </c>
      <c r="K177" s="457">
        <v>32178.639999999999</v>
      </c>
    </row>
    <row r="178" spans="1:11" ht="14.4" customHeight="1" x14ac:dyDescent="0.3">
      <c r="A178" s="452" t="s">
        <v>427</v>
      </c>
      <c r="B178" s="453" t="s">
        <v>428</v>
      </c>
      <c r="C178" s="454" t="s">
        <v>432</v>
      </c>
      <c r="D178" s="455" t="s">
        <v>472</v>
      </c>
      <c r="E178" s="454" t="s">
        <v>1014</v>
      </c>
      <c r="F178" s="455" t="s">
        <v>1015</v>
      </c>
      <c r="G178" s="454" t="s">
        <v>832</v>
      </c>
      <c r="H178" s="454" t="s">
        <v>833</v>
      </c>
      <c r="I178" s="456">
        <v>274.67</v>
      </c>
      <c r="J178" s="456">
        <v>3</v>
      </c>
      <c r="K178" s="457">
        <v>824</v>
      </c>
    </row>
    <row r="179" spans="1:11" ht="14.4" customHeight="1" x14ac:dyDescent="0.3">
      <c r="A179" s="452" t="s">
        <v>427</v>
      </c>
      <c r="B179" s="453" t="s">
        <v>428</v>
      </c>
      <c r="C179" s="454" t="s">
        <v>432</v>
      </c>
      <c r="D179" s="455" t="s">
        <v>472</v>
      </c>
      <c r="E179" s="454" t="s">
        <v>1014</v>
      </c>
      <c r="F179" s="455" t="s">
        <v>1015</v>
      </c>
      <c r="G179" s="454" t="s">
        <v>834</v>
      </c>
      <c r="H179" s="454" t="s">
        <v>835</v>
      </c>
      <c r="I179" s="456">
        <v>119.79</v>
      </c>
      <c r="J179" s="456">
        <v>5</v>
      </c>
      <c r="K179" s="457">
        <v>598.95000000000005</v>
      </c>
    </row>
    <row r="180" spans="1:11" ht="14.4" customHeight="1" x14ac:dyDescent="0.3">
      <c r="A180" s="452" t="s">
        <v>427</v>
      </c>
      <c r="B180" s="453" t="s">
        <v>428</v>
      </c>
      <c r="C180" s="454" t="s">
        <v>432</v>
      </c>
      <c r="D180" s="455" t="s">
        <v>472</v>
      </c>
      <c r="E180" s="454" t="s">
        <v>1014</v>
      </c>
      <c r="F180" s="455" t="s">
        <v>1015</v>
      </c>
      <c r="G180" s="454" t="s">
        <v>836</v>
      </c>
      <c r="H180" s="454" t="s">
        <v>837</v>
      </c>
      <c r="I180" s="456">
        <v>17514</v>
      </c>
      <c r="J180" s="456">
        <v>1</v>
      </c>
      <c r="K180" s="457">
        <v>17514</v>
      </c>
    </row>
    <row r="181" spans="1:11" ht="14.4" customHeight="1" x14ac:dyDescent="0.3">
      <c r="A181" s="452" t="s">
        <v>427</v>
      </c>
      <c r="B181" s="453" t="s">
        <v>428</v>
      </c>
      <c r="C181" s="454" t="s">
        <v>432</v>
      </c>
      <c r="D181" s="455" t="s">
        <v>472</v>
      </c>
      <c r="E181" s="454" t="s">
        <v>1014</v>
      </c>
      <c r="F181" s="455" t="s">
        <v>1015</v>
      </c>
      <c r="G181" s="454" t="s">
        <v>838</v>
      </c>
      <c r="H181" s="454" t="s">
        <v>839</v>
      </c>
      <c r="I181" s="456">
        <v>13124.87</v>
      </c>
      <c r="J181" s="456">
        <v>2</v>
      </c>
      <c r="K181" s="457">
        <v>26249.74</v>
      </c>
    </row>
    <row r="182" spans="1:11" ht="14.4" customHeight="1" x14ac:dyDescent="0.3">
      <c r="A182" s="452" t="s">
        <v>427</v>
      </c>
      <c r="B182" s="453" t="s">
        <v>428</v>
      </c>
      <c r="C182" s="454" t="s">
        <v>432</v>
      </c>
      <c r="D182" s="455" t="s">
        <v>472</v>
      </c>
      <c r="E182" s="454" t="s">
        <v>1014</v>
      </c>
      <c r="F182" s="455" t="s">
        <v>1015</v>
      </c>
      <c r="G182" s="454" t="s">
        <v>840</v>
      </c>
      <c r="H182" s="454" t="s">
        <v>841</v>
      </c>
      <c r="I182" s="456">
        <v>3853.3</v>
      </c>
      <c r="J182" s="456">
        <v>1</v>
      </c>
      <c r="K182" s="457">
        <v>3853.3</v>
      </c>
    </row>
    <row r="183" spans="1:11" ht="14.4" customHeight="1" x14ac:dyDescent="0.3">
      <c r="A183" s="452" t="s">
        <v>427</v>
      </c>
      <c r="B183" s="453" t="s">
        <v>428</v>
      </c>
      <c r="C183" s="454" t="s">
        <v>432</v>
      </c>
      <c r="D183" s="455" t="s">
        <v>472</v>
      </c>
      <c r="E183" s="454" t="s">
        <v>1014</v>
      </c>
      <c r="F183" s="455" t="s">
        <v>1015</v>
      </c>
      <c r="G183" s="454" t="s">
        <v>842</v>
      </c>
      <c r="H183" s="454" t="s">
        <v>843</v>
      </c>
      <c r="I183" s="456">
        <v>2591.8200000000002</v>
      </c>
      <c r="J183" s="456">
        <v>1</v>
      </c>
      <c r="K183" s="457">
        <v>2591.8200000000002</v>
      </c>
    </row>
    <row r="184" spans="1:11" ht="14.4" customHeight="1" x14ac:dyDescent="0.3">
      <c r="A184" s="452" t="s">
        <v>427</v>
      </c>
      <c r="B184" s="453" t="s">
        <v>428</v>
      </c>
      <c r="C184" s="454" t="s">
        <v>432</v>
      </c>
      <c r="D184" s="455" t="s">
        <v>472</v>
      </c>
      <c r="E184" s="454" t="s">
        <v>1014</v>
      </c>
      <c r="F184" s="455" t="s">
        <v>1015</v>
      </c>
      <c r="G184" s="454" t="s">
        <v>844</v>
      </c>
      <c r="H184" s="454" t="s">
        <v>845</v>
      </c>
      <c r="I184" s="456">
        <v>6897</v>
      </c>
      <c r="J184" s="456">
        <v>9</v>
      </c>
      <c r="K184" s="457">
        <v>62073</v>
      </c>
    </row>
    <row r="185" spans="1:11" ht="14.4" customHeight="1" x14ac:dyDescent="0.3">
      <c r="A185" s="452" t="s">
        <v>427</v>
      </c>
      <c r="B185" s="453" t="s">
        <v>428</v>
      </c>
      <c r="C185" s="454" t="s">
        <v>432</v>
      </c>
      <c r="D185" s="455" t="s">
        <v>472</v>
      </c>
      <c r="E185" s="454" t="s">
        <v>1014</v>
      </c>
      <c r="F185" s="455" t="s">
        <v>1015</v>
      </c>
      <c r="G185" s="454" t="s">
        <v>846</v>
      </c>
      <c r="H185" s="454" t="s">
        <v>847</v>
      </c>
      <c r="I185" s="456">
        <v>95.47</v>
      </c>
      <c r="J185" s="456">
        <v>1</v>
      </c>
      <c r="K185" s="457">
        <v>95.47</v>
      </c>
    </row>
    <row r="186" spans="1:11" ht="14.4" customHeight="1" x14ac:dyDescent="0.3">
      <c r="A186" s="452" t="s">
        <v>427</v>
      </c>
      <c r="B186" s="453" t="s">
        <v>428</v>
      </c>
      <c r="C186" s="454" t="s">
        <v>432</v>
      </c>
      <c r="D186" s="455" t="s">
        <v>472</v>
      </c>
      <c r="E186" s="454" t="s">
        <v>1014</v>
      </c>
      <c r="F186" s="455" t="s">
        <v>1015</v>
      </c>
      <c r="G186" s="454" t="s">
        <v>848</v>
      </c>
      <c r="H186" s="454" t="s">
        <v>849</v>
      </c>
      <c r="I186" s="456">
        <v>2766.4</v>
      </c>
      <c r="J186" s="456">
        <v>3</v>
      </c>
      <c r="K186" s="457">
        <v>8171.2800000000007</v>
      </c>
    </row>
    <row r="187" spans="1:11" ht="14.4" customHeight="1" x14ac:dyDescent="0.3">
      <c r="A187" s="452" t="s">
        <v>427</v>
      </c>
      <c r="B187" s="453" t="s">
        <v>428</v>
      </c>
      <c r="C187" s="454" t="s">
        <v>432</v>
      </c>
      <c r="D187" s="455" t="s">
        <v>472</v>
      </c>
      <c r="E187" s="454" t="s">
        <v>1014</v>
      </c>
      <c r="F187" s="455" t="s">
        <v>1015</v>
      </c>
      <c r="G187" s="454" t="s">
        <v>850</v>
      </c>
      <c r="H187" s="454" t="s">
        <v>851</v>
      </c>
      <c r="I187" s="456">
        <v>3346.86</v>
      </c>
      <c r="J187" s="456">
        <v>1</v>
      </c>
      <c r="K187" s="457">
        <v>3346.86</v>
      </c>
    </row>
    <row r="188" spans="1:11" ht="14.4" customHeight="1" x14ac:dyDescent="0.3">
      <c r="A188" s="452" t="s">
        <v>427</v>
      </c>
      <c r="B188" s="453" t="s">
        <v>428</v>
      </c>
      <c r="C188" s="454" t="s">
        <v>432</v>
      </c>
      <c r="D188" s="455" t="s">
        <v>472</v>
      </c>
      <c r="E188" s="454" t="s">
        <v>1014</v>
      </c>
      <c r="F188" s="455" t="s">
        <v>1015</v>
      </c>
      <c r="G188" s="454" t="s">
        <v>852</v>
      </c>
      <c r="H188" s="454" t="s">
        <v>853</v>
      </c>
      <c r="I188" s="456">
        <v>5105.1499999999996</v>
      </c>
      <c r="J188" s="456">
        <v>1</v>
      </c>
      <c r="K188" s="457">
        <v>5105.1499999999996</v>
      </c>
    </row>
    <row r="189" spans="1:11" ht="14.4" customHeight="1" x14ac:dyDescent="0.3">
      <c r="A189" s="452" t="s">
        <v>427</v>
      </c>
      <c r="B189" s="453" t="s">
        <v>428</v>
      </c>
      <c r="C189" s="454" t="s">
        <v>432</v>
      </c>
      <c r="D189" s="455" t="s">
        <v>472</v>
      </c>
      <c r="E189" s="454" t="s">
        <v>1014</v>
      </c>
      <c r="F189" s="455" t="s">
        <v>1015</v>
      </c>
      <c r="G189" s="454" t="s">
        <v>854</v>
      </c>
      <c r="H189" s="454" t="s">
        <v>855</v>
      </c>
      <c r="I189" s="456">
        <v>5717.85</v>
      </c>
      <c r="J189" s="456">
        <v>1</v>
      </c>
      <c r="K189" s="457">
        <v>5717.85</v>
      </c>
    </row>
    <row r="190" spans="1:11" ht="14.4" customHeight="1" x14ac:dyDescent="0.3">
      <c r="A190" s="452" t="s">
        <v>427</v>
      </c>
      <c r="B190" s="453" t="s">
        <v>428</v>
      </c>
      <c r="C190" s="454" t="s">
        <v>432</v>
      </c>
      <c r="D190" s="455" t="s">
        <v>472</v>
      </c>
      <c r="E190" s="454" t="s">
        <v>1014</v>
      </c>
      <c r="F190" s="455" t="s">
        <v>1015</v>
      </c>
      <c r="G190" s="454" t="s">
        <v>856</v>
      </c>
      <c r="H190" s="454" t="s">
        <v>857</v>
      </c>
      <c r="I190" s="456">
        <v>487.22500000000002</v>
      </c>
      <c r="J190" s="456">
        <v>4</v>
      </c>
      <c r="K190" s="457">
        <v>2013.44</v>
      </c>
    </row>
    <row r="191" spans="1:11" ht="14.4" customHeight="1" x14ac:dyDescent="0.3">
      <c r="A191" s="452" t="s">
        <v>427</v>
      </c>
      <c r="B191" s="453" t="s">
        <v>428</v>
      </c>
      <c r="C191" s="454" t="s">
        <v>432</v>
      </c>
      <c r="D191" s="455" t="s">
        <v>472</v>
      </c>
      <c r="E191" s="454" t="s">
        <v>1014</v>
      </c>
      <c r="F191" s="455" t="s">
        <v>1015</v>
      </c>
      <c r="G191" s="454" t="s">
        <v>858</v>
      </c>
      <c r="H191" s="454" t="s">
        <v>859</v>
      </c>
      <c r="I191" s="456">
        <v>274.67</v>
      </c>
      <c r="J191" s="456">
        <v>1</v>
      </c>
      <c r="K191" s="457">
        <v>274.67</v>
      </c>
    </row>
    <row r="192" spans="1:11" ht="14.4" customHeight="1" x14ac:dyDescent="0.3">
      <c r="A192" s="452" t="s">
        <v>427</v>
      </c>
      <c r="B192" s="453" t="s">
        <v>428</v>
      </c>
      <c r="C192" s="454" t="s">
        <v>432</v>
      </c>
      <c r="D192" s="455" t="s">
        <v>472</v>
      </c>
      <c r="E192" s="454" t="s">
        <v>1014</v>
      </c>
      <c r="F192" s="455" t="s">
        <v>1015</v>
      </c>
      <c r="G192" s="454" t="s">
        <v>860</v>
      </c>
      <c r="H192" s="454" t="s">
        <v>861</v>
      </c>
      <c r="I192" s="456">
        <v>7358.97</v>
      </c>
      <c r="J192" s="456">
        <v>2</v>
      </c>
      <c r="K192" s="457">
        <v>14717.94</v>
      </c>
    </row>
    <row r="193" spans="1:11" ht="14.4" customHeight="1" x14ac:dyDescent="0.3">
      <c r="A193" s="452" t="s">
        <v>427</v>
      </c>
      <c r="B193" s="453" t="s">
        <v>428</v>
      </c>
      <c r="C193" s="454" t="s">
        <v>432</v>
      </c>
      <c r="D193" s="455" t="s">
        <v>472</v>
      </c>
      <c r="E193" s="454" t="s">
        <v>1014</v>
      </c>
      <c r="F193" s="455" t="s">
        <v>1015</v>
      </c>
      <c r="G193" s="454" t="s">
        <v>862</v>
      </c>
      <c r="H193" s="454" t="s">
        <v>863</v>
      </c>
      <c r="I193" s="456">
        <v>1476.35</v>
      </c>
      <c r="J193" s="456">
        <v>2</v>
      </c>
      <c r="K193" s="457">
        <v>2952.7</v>
      </c>
    </row>
    <row r="194" spans="1:11" ht="14.4" customHeight="1" x14ac:dyDescent="0.3">
      <c r="A194" s="452" t="s">
        <v>427</v>
      </c>
      <c r="B194" s="453" t="s">
        <v>428</v>
      </c>
      <c r="C194" s="454" t="s">
        <v>432</v>
      </c>
      <c r="D194" s="455" t="s">
        <v>472</v>
      </c>
      <c r="E194" s="454" t="s">
        <v>1014</v>
      </c>
      <c r="F194" s="455" t="s">
        <v>1015</v>
      </c>
      <c r="G194" s="454" t="s">
        <v>864</v>
      </c>
      <c r="H194" s="454" t="s">
        <v>865</v>
      </c>
      <c r="I194" s="456">
        <v>5105</v>
      </c>
      <c r="J194" s="456">
        <v>2</v>
      </c>
      <c r="K194" s="457">
        <v>10210</v>
      </c>
    </row>
    <row r="195" spans="1:11" ht="14.4" customHeight="1" x14ac:dyDescent="0.3">
      <c r="A195" s="452" t="s">
        <v>427</v>
      </c>
      <c r="B195" s="453" t="s">
        <v>428</v>
      </c>
      <c r="C195" s="454" t="s">
        <v>432</v>
      </c>
      <c r="D195" s="455" t="s">
        <v>472</v>
      </c>
      <c r="E195" s="454" t="s">
        <v>1014</v>
      </c>
      <c r="F195" s="455" t="s">
        <v>1015</v>
      </c>
      <c r="G195" s="454" t="s">
        <v>866</v>
      </c>
      <c r="H195" s="454" t="s">
        <v>867</v>
      </c>
      <c r="I195" s="456">
        <v>2591.8200000000002</v>
      </c>
      <c r="J195" s="456">
        <v>1</v>
      </c>
      <c r="K195" s="457">
        <v>2591.8200000000002</v>
      </c>
    </row>
    <row r="196" spans="1:11" ht="14.4" customHeight="1" x14ac:dyDescent="0.3">
      <c r="A196" s="452" t="s">
        <v>427</v>
      </c>
      <c r="B196" s="453" t="s">
        <v>428</v>
      </c>
      <c r="C196" s="454" t="s">
        <v>432</v>
      </c>
      <c r="D196" s="455" t="s">
        <v>472</v>
      </c>
      <c r="E196" s="454" t="s">
        <v>1014</v>
      </c>
      <c r="F196" s="455" t="s">
        <v>1015</v>
      </c>
      <c r="G196" s="454" t="s">
        <v>868</v>
      </c>
      <c r="H196" s="454" t="s">
        <v>869</v>
      </c>
      <c r="I196" s="456">
        <v>2759.48</v>
      </c>
      <c r="J196" s="456">
        <v>3</v>
      </c>
      <c r="K196" s="457">
        <v>8278.43</v>
      </c>
    </row>
    <row r="197" spans="1:11" ht="14.4" customHeight="1" x14ac:dyDescent="0.3">
      <c r="A197" s="452" t="s">
        <v>427</v>
      </c>
      <c r="B197" s="453" t="s">
        <v>428</v>
      </c>
      <c r="C197" s="454" t="s">
        <v>432</v>
      </c>
      <c r="D197" s="455" t="s">
        <v>472</v>
      </c>
      <c r="E197" s="454" t="s">
        <v>1014</v>
      </c>
      <c r="F197" s="455" t="s">
        <v>1015</v>
      </c>
      <c r="G197" s="454" t="s">
        <v>870</v>
      </c>
      <c r="H197" s="454" t="s">
        <v>871</v>
      </c>
      <c r="I197" s="456">
        <v>6199.89</v>
      </c>
      <c r="J197" s="456">
        <v>2</v>
      </c>
      <c r="K197" s="457">
        <v>12399.78</v>
      </c>
    </row>
    <row r="198" spans="1:11" ht="14.4" customHeight="1" x14ac:dyDescent="0.3">
      <c r="A198" s="452" t="s">
        <v>427</v>
      </c>
      <c r="B198" s="453" t="s">
        <v>428</v>
      </c>
      <c r="C198" s="454" t="s">
        <v>432</v>
      </c>
      <c r="D198" s="455" t="s">
        <v>472</v>
      </c>
      <c r="E198" s="454" t="s">
        <v>1014</v>
      </c>
      <c r="F198" s="455" t="s">
        <v>1015</v>
      </c>
      <c r="G198" s="454" t="s">
        <v>872</v>
      </c>
      <c r="H198" s="454" t="s">
        <v>873</v>
      </c>
      <c r="I198" s="456">
        <v>3223.6166666666668</v>
      </c>
      <c r="J198" s="456">
        <v>3</v>
      </c>
      <c r="K198" s="457">
        <v>9670.85</v>
      </c>
    </row>
    <row r="199" spans="1:11" ht="14.4" customHeight="1" x14ac:dyDescent="0.3">
      <c r="A199" s="452" t="s">
        <v>427</v>
      </c>
      <c r="B199" s="453" t="s">
        <v>428</v>
      </c>
      <c r="C199" s="454" t="s">
        <v>432</v>
      </c>
      <c r="D199" s="455" t="s">
        <v>472</v>
      </c>
      <c r="E199" s="454" t="s">
        <v>1014</v>
      </c>
      <c r="F199" s="455" t="s">
        <v>1015</v>
      </c>
      <c r="G199" s="454" t="s">
        <v>874</v>
      </c>
      <c r="H199" s="454" t="s">
        <v>875</v>
      </c>
      <c r="I199" s="456">
        <v>180.91</v>
      </c>
      <c r="J199" s="456">
        <v>10</v>
      </c>
      <c r="K199" s="457">
        <v>1809.14</v>
      </c>
    </row>
    <row r="200" spans="1:11" ht="14.4" customHeight="1" x14ac:dyDescent="0.3">
      <c r="A200" s="452" t="s">
        <v>427</v>
      </c>
      <c r="B200" s="453" t="s">
        <v>428</v>
      </c>
      <c r="C200" s="454" t="s">
        <v>432</v>
      </c>
      <c r="D200" s="455" t="s">
        <v>472</v>
      </c>
      <c r="E200" s="454" t="s">
        <v>1014</v>
      </c>
      <c r="F200" s="455" t="s">
        <v>1015</v>
      </c>
      <c r="G200" s="454" t="s">
        <v>876</v>
      </c>
      <c r="H200" s="454" t="s">
        <v>877</v>
      </c>
      <c r="I200" s="456">
        <v>431.97</v>
      </c>
      <c r="J200" s="456">
        <v>1</v>
      </c>
      <c r="K200" s="457">
        <v>431.97</v>
      </c>
    </row>
    <row r="201" spans="1:11" ht="14.4" customHeight="1" x14ac:dyDescent="0.3">
      <c r="A201" s="452" t="s">
        <v>427</v>
      </c>
      <c r="B201" s="453" t="s">
        <v>428</v>
      </c>
      <c r="C201" s="454" t="s">
        <v>432</v>
      </c>
      <c r="D201" s="455" t="s">
        <v>472</v>
      </c>
      <c r="E201" s="454" t="s">
        <v>1014</v>
      </c>
      <c r="F201" s="455" t="s">
        <v>1015</v>
      </c>
      <c r="G201" s="454" t="s">
        <v>878</v>
      </c>
      <c r="H201" s="454" t="s">
        <v>879</v>
      </c>
      <c r="I201" s="456">
        <v>215.66</v>
      </c>
      <c r="J201" s="456">
        <v>1</v>
      </c>
      <c r="K201" s="457">
        <v>215.66</v>
      </c>
    </row>
    <row r="202" spans="1:11" ht="14.4" customHeight="1" x14ac:dyDescent="0.3">
      <c r="A202" s="452" t="s">
        <v>427</v>
      </c>
      <c r="B202" s="453" t="s">
        <v>428</v>
      </c>
      <c r="C202" s="454" t="s">
        <v>432</v>
      </c>
      <c r="D202" s="455" t="s">
        <v>472</v>
      </c>
      <c r="E202" s="454" t="s">
        <v>1014</v>
      </c>
      <c r="F202" s="455" t="s">
        <v>1015</v>
      </c>
      <c r="G202" s="454" t="s">
        <v>880</v>
      </c>
      <c r="H202" s="454" t="s">
        <v>881</v>
      </c>
      <c r="I202" s="456">
        <v>3414.62</v>
      </c>
      <c r="J202" s="456">
        <v>2</v>
      </c>
      <c r="K202" s="457">
        <v>6829.24</v>
      </c>
    </row>
    <row r="203" spans="1:11" ht="14.4" customHeight="1" x14ac:dyDescent="0.3">
      <c r="A203" s="452" t="s">
        <v>427</v>
      </c>
      <c r="B203" s="453" t="s">
        <v>428</v>
      </c>
      <c r="C203" s="454" t="s">
        <v>432</v>
      </c>
      <c r="D203" s="455" t="s">
        <v>472</v>
      </c>
      <c r="E203" s="454" t="s">
        <v>1014</v>
      </c>
      <c r="F203" s="455" t="s">
        <v>1015</v>
      </c>
      <c r="G203" s="454" t="s">
        <v>882</v>
      </c>
      <c r="H203" s="454" t="s">
        <v>883</v>
      </c>
      <c r="I203" s="456">
        <v>3414.62</v>
      </c>
      <c r="J203" s="456">
        <v>1</v>
      </c>
      <c r="K203" s="457">
        <v>3414.62</v>
      </c>
    </row>
    <row r="204" spans="1:11" ht="14.4" customHeight="1" x14ac:dyDescent="0.3">
      <c r="A204" s="452" t="s">
        <v>427</v>
      </c>
      <c r="B204" s="453" t="s">
        <v>428</v>
      </c>
      <c r="C204" s="454" t="s">
        <v>432</v>
      </c>
      <c r="D204" s="455" t="s">
        <v>472</v>
      </c>
      <c r="E204" s="454" t="s">
        <v>1014</v>
      </c>
      <c r="F204" s="455" t="s">
        <v>1015</v>
      </c>
      <c r="G204" s="454" t="s">
        <v>884</v>
      </c>
      <c r="H204" s="454" t="s">
        <v>885</v>
      </c>
      <c r="I204" s="456">
        <v>4083.97</v>
      </c>
      <c r="J204" s="456">
        <v>1</v>
      </c>
      <c r="K204" s="457">
        <v>4083.97</v>
      </c>
    </row>
    <row r="205" spans="1:11" ht="14.4" customHeight="1" x14ac:dyDescent="0.3">
      <c r="A205" s="452" t="s">
        <v>427</v>
      </c>
      <c r="B205" s="453" t="s">
        <v>428</v>
      </c>
      <c r="C205" s="454" t="s">
        <v>432</v>
      </c>
      <c r="D205" s="455" t="s">
        <v>472</v>
      </c>
      <c r="E205" s="454" t="s">
        <v>1014</v>
      </c>
      <c r="F205" s="455" t="s">
        <v>1015</v>
      </c>
      <c r="G205" s="454" t="s">
        <v>886</v>
      </c>
      <c r="H205" s="454" t="s">
        <v>887</v>
      </c>
      <c r="I205" s="456">
        <v>4492.03</v>
      </c>
      <c r="J205" s="456">
        <v>1</v>
      </c>
      <c r="K205" s="457">
        <v>4492.03</v>
      </c>
    </row>
    <row r="206" spans="1:11" ht="14.4" customHeight="1" x14ac:dyDescent="0.3">
      <c r="A206" s="452" t="s">
        <v>427</v>
      </c>
      <c r="B206" s="453" t="s">
        <v>428</v>
      </c>
      <c r="C206" s="454" t="s">
        <v>432</v>
      </c>
      <c r="D206" s="455" t="s">
        <v>472</v>
      </c>
      <c r="E206" s="454" t="s">
        <v>1014</v>
      </c>
      <c r="F206" s="455" t="s">
        <v>1015</v>
      </c>
      <c r="G206" s="454" t="s">
        <v>888</v>
      </c>
      <c r="H206" s="454" t="s">
        <v>889</v>
      </c>
      <c r="I206" s="456">
        <v>274.67</v>
      </c>
      <c r="J206" s="456">
        <v>2</v>
      </c>
      <c r="K206" s="457">
        <v>549.34</v>
      </c>
    </row>
    <row r="207" spans="1:11" ht="14.4" customHeight="1" x14ac:dyDescent="0.3">
      <c r="A207" s="452" t="s">
        <v>427</v>
      </c>
      <c r="B207" s="453" t="s">
        <v>428</v>
      </c>
      <c r="C207" s="454" t="s">
        <v>432</v>
      </c>
      <c r="D207" s="455" t="s">
        <v>472</v>
      </c>
      <c r="E207" s="454" t="s">
        <v>1014</v>
      </c>
      <c r="F207" s="455" t="s">
        <v>1015</v>
      </c>
      <c r="G207" s="454" t="s">
        <v>890</v>
      </c>
      <c r="H207" s="454" t="s">
        <v>891</v>
      </c>
      <c r="I207" s="456">
        <v>274.67</v>
      </c>
      <c r="J207" s="456">
        <v>2</v>
      </c>
      <c r="K207" s="457">
        <v>549.34</v>
      </c>
    </row>
    <row r="208" spans="1:11" ht="14.4" customHeight="1" x14ac:dyDescent="0.3">
      <c r="A208" s="452" t="s">
        <v>427</v>
      </c>
      <c r="B208" s="453" t="s">
        <v>428</v>
      </c>
      <c r="C208" s="454" t="s">
        <v>432</v>
      </c>
      <c r="D208" s="455" t="s">
        <v>472</v>
      </c>
      <c r="E208" s="454" t="s">
        <v>1014</v>
      </c>
      <c r="F208" s="455" t="s">
        <v>1015</v>
      </c>
      <c r="G208" s="454" t="s">
        <v>892</v>
      </c>
      <c r="H208" s="454" t="s">
        <v>893</v>
      </c>
      <c r="I208" s="456">
        <v>510.62</v>
      </c>
      <c r="J208" s="456">
        <v>1</v>
      </c>
      <c r="K208" s="457">
        <v>510.62</v>
      </c>
    </row>
    <row r="209" spans="1:11" ht="14.4" customHeight="1" x14ac:dyDescent="0.3">
      <c r="A209" s="452" t="s">
        <v>427</v>
      </c>
      <c r="B209" s="453" t="s">
        <v>428</v>
      </c>
      <c r="C209" s="454" t="s">
        <v>432</v>
      </c>
      <c r="D209" s="455" t="s">
        <v>472</v>
      </c>
      <c r="E209" s="454" t="s">
        <v>1014</v>
      </c>
      <c r="F209" s="455" t="s">
        <v>1015</v>
      </c>
      <c r="G209" s="454" t="s">
        <v>894</v>
      </c>
      <c r="H209" s="454" t="s">
        <v>895</v>
      </c>
      <c r="I209" s="456">
        <v>4851.76</v>
      </c>
      <c r="J209" s="456">
        <v>1</v>
      </c>
      <c r="K209" s="457">
        <v>4851.76</v>
      </c>
    </row>
    <row r="210" spans="1:11" ht="14.4" customHeight="1" x14ac:dyDescent="0.3">
      <c r="A210" s="452" t="s">
        <v>427</v>
      </c>
      <c r="B210" s="453" t="s">
        <v>428</v>
      </c>
      <c r="C210" s="454" t="s">
        <v>432</v>
      </c>
      <c r="D210" s="455" t="s">
        <v>472</v>
      </c>
      <c r="E210" s="454" t="s">
        <v>1014</v>
      </c>
      <c r="F210" s="455" t="s">
        <v>1015</v>
      </c>
      <c r="G210" s="454" t="s">
        <v>896</v>
      </c>
      <c r="H210" s="454" t="s">
        <v>897</v>
      </c>
      <c r="I210" s="456">
        <v>2752.75</v>
      </c>
      <c r="J210" s="456">
        <v>1</v>
      </c>
      <c r="K210" s="457">
        <v>2752.75</v>
      </c>
    </row>
    <row r="211" spans="1:11" ht="14.4" customHeight="1" x14ac:dyDescent="0.3">
      <c r="A211" s="452" t="s">
        <v>427</v>
      </c>
      <c r="B211" s="453" t="s">
        <v>428</v>
      </c>
      <c r="C211" s="454" t="s">
        <v>432</v>
      </c>
      <c r="D211" s="455" t="s">
        <v>472</v>
      </c>
      <c r="E211" s="454" t="s">
        <v>1014</v>
      </c>
      <c r="F211" s="455" t="s">
        <v>1015</v>
      </c>
      <c r="G211" s="454" t="s">
        <v>898</v>
      </c>
      <c r="H211" s="454" t="s">
        <v>899</v>
      </c>
      <c r="I211" s="456">
        <v>2674.1</v>
      </c>
      <c r="J211" s="456">
        <v>1</v>
      </c>
      <c r="K211" s="457">
        <v>2674.1</v>
      </c>
    </row>
    <row r="212" spans="1:11" ht="14.4" customHeight="1" x14ac:dyDescent="0.3">
      <c r="A212" s="452" t="s">
        <v>427</v>
      </c>
      <c r="B212" s="453" t="s">
        <v>428</v>
      </c>
      <c r="C212" s="454" t="s">
        <v>432</v>
      </c>
      <c r="D212" s="455" t="s">
        <v>472</v>
      </c>
      <c r="E212" s="454" t="s">
        <v>1014</v>
      </c>
      <c r="F212" s="455" t="s">
        <v>1015</v>
      </c>
      <c r="G212" s="454" t="s">
        <v>900</v>
      </c>
      <c r="H212" s="454" t="s">
        <v>901</v>
      </c>
      <c r="I212" s="456">
        <v>2589.4</v>
      </c>
      <c r="J212" s="456">
        <v>1</v>
      </c>
      <c r="K212" s="457">
        <v>2589.4</v>
      </c>
    </row>
    <row r="213" spans="1:11" ht="14.4" customHeight="1" x14ac:dyDescent="0.3">
      <c r="A213" s="452" t="s">
        <v>427</v>
      </c>
      <c r="B213" s="453" t="s">
        <v>428</v>
      </c>
      <c r="C213" s="454" t="s">
        <v>432</v>
      </c>
      <c r="D213" s="455" t="s">
        <v>472</v>
      </c>
      <c r="E213" s="454" t="s">
        <v>1014</v>
      </c>
      <c r="F213" s="455" t="s">
        <v>1015</v>
      </c>
      <c r="G213" s="454" t="s">
        <v>902</v>
      </c>
      <c r="H213" s="454" t="s">
        <v>903</v>
      </c>
      <c r="I213" s="456">
        <v>36179</v>
      </c>
      <c r="J213" s="456">
        <v>3</v>
      </c>
      <c r="K213" s="457">
        <v>108537</v>
      </c>
    </row>
    <row r="214" spans="1:11" ht="14.4" customHeight="1" x14ac:dyDescent="0.3">
      <c r="A214" s="452" t="s">
        <v>427</v>
      </c>
      <c r="B214" s="453" t="s">
        <v>428</v>
      </c>
      <c r="C214" s="454" t="s">
        <v>432</v>
      </c>
      <c r="D214" s="455" t="s">
        <v>472</v>
      </c>
      <c r="E214" s="454" t="s">
        <v>1014</v>
      </c>
      <c r="F214" s="455" t="s">
        <v>1015</v>
      </c>
      <c r="G214" s="454" t="s">
        <v>904</v>
      </c>
      <c r="H214" s="454" t="s">
        <v>905</v>
      </c>
      <c r="I214" s="456">
        <v>274.68</v>
      </c>
      <c r="J214" s="456">
        <v>3</v>
      </c>
      <c r="K214" s="457">
        <v>824.04</v>
      </c>
    </row>
    <row r="215" spans="1:11" ht="14.4" customHeight="1" x14ac:dyDescent="0.3">
      <c r="A215" s="452" t="s">
        <v>427</v>
      </c>
      <c r="B215" s="453" t="s">
        <v>428</v>
      </c>
      <c r="C215" s="454" t="s">
        <v>432</v>
      </c>
      <c r="D215" s="455" t="s">
        <v>472</v>
      </c>
      <c r="E215" s="454" t="s">
        <v>1014</v>
      </c>
      <c r="F215" s="455" t="s">
        <v>1015</v>
      </c>
      <c r="G215" s="454" t="s">
        <v>906</v>
      </c>
      <c r="H215" s="454" t="s">
        <v>907</v>
      </c>
      <c r="I215" s="456">
        <v>274.67</v>
      </c>
      <c r="J215" s="456">
        <v>2</v>
      </c>
      <c r="K215" s="457">
        <v>549.34</v>
      </c>
    </row>
    <row r="216" spans="1:11" ht="14.4" customHeight="1" x14ac:dyDescent="0.3">
      <c r="A216" s="452" t="s">
        <v>427</v>
      </c>
      <c r="B216" s="453" t="s">
        <v>428</v>
      </c>
      <c r="C216" s="454" t="s">
        <v>432</v>
      </c>
      <c r="D216" s="455" t="s">
        <v>472</v>
      </c>
      <c r="E216" s="454" t="s">
        <v>1014</v>
      </c>
      <c r="F216" s="455" t="s">
        <v>1015</v>
      </c>
      <c r="G216" s="454" t="s">
        <v>908</v>
      </c>
      <c r="H216" s="454" t="s">
        <v>909</v>
      </c>
      <c r="I216" s="456">
        <v>1876.6</v>
      </c>
      <c r="J216" s="456">
        <v>1</v>
      </c>
      <c r="K216" s="457">
        <v>1876.6</v>
      </c>
    </row>
    <row r="217" spans="1:11" ht="14.4" customHeight="1" x14ac:dyDescent="0.3">
      <c r="A217" s="452" t="s">
        <v>427</v>
      </c>
      <c r="B217" s="453" t="s">
        <v>428</v>
      </c>
      <c r="C217" s="454" t="s">
        <v>432</v>
      </c>
      <c r="D217" s="455" t="s">
        <v>472</v>
      </c>
      <c r="E217" s="454" t="s">
        <v>1014</v>
      </c>
      <c r="F217" s="455" t="s">
        <v>1015</v>
      </c>
      <c r="G217" s="454" t="s">
        <v>910</v>
      </c>
      <c r="H217" s="454" t="s">
        <v>911</v>
      </c>
      <c r="I217" s="456">
        <v>903.87</v>
      </c>
      <c r="J217" s="456">
        <v>1</v>
      </c>
      <c r="K217" s="457">
        <v>903.87</v>
      </c>
    </row>
    <row r="218" spans="1:11" ht="14.4" customHeight="1" x14ac:dyDescent="0.3">
      <c r="A218" s="452" t="s">
        <v>427</v>
      </c>
      <c r="B218" s="453" t="s">
        <v>428</v>
      </c>
      <c r="C218" s="454" t="s">
        <v>432</v>
      </c>
      <c r="D218" s="455" t="s">
        <v>472</v>
      </c>
      <c r="E218" s="454" t="s">
        <v>1014</v>
      </c>
      <c r="F218" s="455" t="s">
        <v>1015</v>
      </c>
      <c r="G218" s="454" t="s">
        <v>912</v>
      </c>
      <c r="H218" s="454" t="s">
        <v>913</v>
      </c>
      <c r="I218" s="456">
        <v>3630.0349999999999</v>
      </c>
      <c r="J218" s="456">
        <v>4</v>
      </c>
      <c r="K218" s="457">
        <v>14520.15</v>
      </c>
    </row>
    <row r="219" spans="1:11" ht="14.4" customHeight="1" x14ac:dyDescent="0.3">
      <c r="A219" s="452" t="s">
        <v>427</v>
      </c>
      <c r="B219" s="453" t="s">
        <v>428</v>
      </c>
      <c r="C219" s="454" t="s">
        <v>432</v>
      </c>
      <c r="D219" s="455" t="s">
        <v>472</v>
      </c>
      <c r="E219" s="454" t="s">
        <v>1014</v>
      </c>
      <c r="F219" s="455" t="s">
        <v>1015</v>
      </c>
      <c r="G219" s="454" t="s">
        <v>914</v>
      </c>
      <c r="H219" s="454" t="s">
        <v>915</v>
      </c>
      <c r="I219" s="456">
        <v>22763.128333333338</v>
      </c>
      <c r="J219" s="456">
        <v>8</v>
      </c>
      <c r="K219" s="457">
        <v>180804.27000000002</v>
      </c>
    </row>
    <row r="220" spans="1:11" ht="14.4" customHeight="1" x14ac:dyDescent="0.3">
      <c r="A220" s="452" t="s">
        <v>427</v>
      </c>
      <c r="B220" s="453" t="s">
        <v>428</v>
      </c>
      <c r="C220" s="454" t="s">
        <v>432</v>
      </c>
      <c r="D220" s="455" t="s">
        <v>472</v>
      </c>
      <c r="E220" s="454" t="s">
        <v>1014</v>
      </c>
      <c r="F220" s="455" t="s">
        <v>1015</v>
      </c>
      <c r="G220" s="454" t="s">
        <v>916</v>
      </c>
      <c r="H220" s="454" t="s">
        <v>917</v>
      </c>
      <c r="I220" s="456">
        <v>5998.2</v>
      </c>
      <c r="J220" s="456">
        <v>2</v>
      </c>
      <c r="K220" s="457">
        <v>11996.41</v>
      </c>
    </row>
    <row r="221" spans="1:11" ht="14.4" customHeight="1" x14ac:dyDescent="0.3">
      <c r="A221" s="452" t="s">
        <v>427</v>
      </c>
      <c r="B221" s="453" t="s">
        <v>428</v>
      </c>
      <c r="C221" s="454" t="s">
        <v>432</v>
      </c>
      <c r="D221" s="455" t="s">
        <v>472</v>
      </c>
      <c r="E221" s="454" t="s">
        <v>1014</v>
      </c>
      <c r="F221" s="455" t="s">
        <v>1015</v>
      </c>
      <c r="G221" s="454" t="s">
        <v>918</v>
      </c>
      <c r="H221" s="454" t="s">
        <v>919</v>
      </c>
      <c r="I221" s="456">
        <v>274.67</v>
      </c>
      <c r="J221" s="456">
        <v>1</v>
      </c>
      <c r="K221" s="457">
        <v>274.67</v>
      </c>
    </row>
    <row r="222" spans="1:11" ht="14.4" customHeight="1" x14ac:dyDescent="0.3">
      <c r="A222" s="452" t="s">
        <v>427</v>
      </c>
      <c r="B222" s="453" t="s">
        <v>428</v>
      </c>
      <c r="C222" s="454" t="s">
        <v>432</v>
      </c>
      <c r="D222" s="455" t="s">
        <v>472</v>
      </c>
      <c r="E222" s="454" t="s">
        <v>1014</v>
      </c>
      <c r="F222" s="455" t="s">
        <v>1015</v>
      </c>
      <c r="G222" s="454" t="s">
        <v>920</v>
      </c>
      <c r="H222" s="454" t="s">
        <v>921</v>
      </c>
      <c r="I222" s="456">
        <v>3346.86</v>
      </c>
      <c r="J222" s="456">
        <v>1</v>
      </c>
      <c r="K222" s="457">
        <v>3346.86</v>
      </c>
    </row>
    <row r="223" spans="1:11" ht="14.4" customHeight="1" x14ac:dyDescent="0.3">
      <c r="A223" s="452" t="s">
        <v>427</v>
      </c>
      <c r="B223" s="453" t="s">
        <v>428</v>
      </c>
      <c r="C223" s="454" t="s">
        <v>432</v>
      </c>
      <c r="D223" s="455" t="s">
        <v>472</v>
      </c>
      <c r="E223" s="454" t="s">
        <v>1014</v>
      </c>
      <c r="F223" s="455" t="s">
        <v>1015</v>
      </c>
      <c r="G223" s="454" t="s">
        <v>922</v>
      </c>
      <c r="H223" s="454" t="s">
        <v>923</v>
      </c>
      <c r="I223" s="456">
        <v>3196.82</v>
      </c>
      <c r="J223" s="456">
        <v>1</v>
      </c>
      <c r="K223" s="457">
        <v>3196.82</v>
      </c>
    </row>
    <row r="224" spans="1:11" ht="14.4" customHeight="1" x14ac:dyDescent="0.3">
      <c r="A224" s="452" t="s">
        <v>427</v>
      </c>
      <c r="B224" s="453" t="s">
        <v>428</v>
      </c>
      <c r="C224" s="454" t="s">
        <v>432</v>
      </c>
      <c r="D224" s="455" t="s">
        <v>472</v>
      </c>
      <c r="E224" s="454" t="s">
        <v>1014</v>
      </c>
      <c r="F224" s="455" t="s">
        <v>1015</v>
      </c>
      <c r="G224" s="454" t="s">
        <v>924</v>
      </c>
      <c r="H224" s="454" t="s">
        <v>925</v>
      </c>
      <c r="I224" s="456">
        <v>13939.036666666667</v>
      </c>
      <c r="J224" s="456">
        <v>11</v>
      </c>
      <c r="K224" s="457">
        <v>153329.44</v>
      </c>
    </row>
    <row r="225" spans="1:11" ht="14.4" customHeight="1" x14ac:dyDescent="0.3">
      <c r="A225" s="452" t="s">
        <v>427</v>
      </c>
      <c r="B225" s="453" t="s">
        <v>428</v>
      </c>
      <c r="C225" s="454" t="s">
        <v>432</v>
      </c>
      <c r="D225" s="455" t="s">
        <v>472</v>
      </c>
      <c r="E225" s="454" t="s">
        <v>1014</v>
      </c>
      <c r="F225" s="455" t="s">
        <v>1015</v>
      </c>
      <c r="G225" s="454" t="s">
        <v>926</v>
      </c>
      <c r="H225" s="454" t="s">
        <v>927</v>
      </c>
      <c r="I225" s="456">
        <v>46.45</v>
      </c>
      <c r="J225" s="456">
        <v>20</v>
      </c>
      <c r="K225" s="457">
        <v>929</v>
      </c>
    </row>
    <row r="226" spans="1:11" ht="14.4" customHeight="1" x14ac:dyDescent="0.3">
      <c r="A226" s="452" t="s">
        <v>427</v>
      </c>
      <c r="B226" s="453" t="s">
        <v>428</v>
      </c>
      <c r="C226" s="454" t="s">
        <v>432</v>
      </c>
      <c r="D226" s="455" t="s">
        <v>472</v>
      </c>
      <c r="E226" s="454" t="s">
        <v>1014</v>
      </c>
      <c r="F226" s="455" t="s">
        <v>1015</v>
      </c>
      <c r="G226" s="454" t="s">
        <v>928</v>
      </c>
      <c r="H226" s="454" t="s">
        <v>929</v>
      </c>
      <c r="I226" s="456">
        <v>3414.62</v>
      </c>
      <c r="J226" s="456">
        <v>1</v>
      </c>
      <c r="K226" s="457">
        <v>3414.62</v>
      </c>
    </row>
    <row r="227" spans="1:11" ht="14.4" customHeight="1" x14ac:dyDescent="0.3">
      <c r="A227" s="452" t="s">
        <v>427</v>
      </c>
      <c r="B227" s="453" t="s">
        <v>428</v>
      </c>
      <c r="C227" s="454" t="s">
        <v>432</v>
      </c>
      <c r="D227" s="455" t="s">
        <v>472</v>
      </c>
      <c r="E227" s="454" t="s">
        <v>1014</v>
      </c>
      <c r="F227" s="455" t="s">
        <v>1015</v>
      </c>
      <c r="G227" s="454" t="s">
        <v>930</v>
      </c>
      <c r="H227" s="454" t="s">
        <v>931</v>
      </c>
      <c r="I227" s="456">
        <v>11.37</v>
      </c>
      <c r="J227" s="456">
        <v>30</v>
      </c>
      <c r="K227" s="457">
        <v>341.22</v>
      </c>
    </row>
    <row r="228" spans="1:11" ht="14.4" customHeight="1" x14ac:dyDescent="0.3">
      <c r="A228" s="452" t="s">
        <v>427</v>
      </c>
      <c r="B228" s="453" t="s">
        <v>428</v>
      </c>
      <c r="C228" s="454" t="s">
        <v>432</v>
      </c>
      <c r="D228" s="455" t="s">
        <v>472</v>
      </c>
      <c r="E228" s="454" t="s">
        <v>1014</v>
      </c>
      <c r="F228" s="455" t="s">
        <v>1015</v>
      </c>
      <c r="G228" s="454" t="s">
        <v>932</v>
      </c>
      <c r="H228" s="454" t="s">
        <v>933</v>
      </c>
      <c r="I228" s="456">
        <v>320.64999999999998</v>
      </c>
      <c r="J228" s="456">
        <v>1</v>
      </c>
      <c r="K228" s="457">
        <v>320.64999999999998</v>
      </c>
    </row>
    <row r="229" spans="1:11" ht="14.4" customHeight="1" x14ac:dyDescent="0.3">
      <c r="A229" s="452" t="s">
        <v>427</v>
      </c>
      <c r="B229" s="453" t="s">
        <v>428</v>
      </c>
      <c r="C229" s="454" t="s">
        <v>432</v>
      </c>
      <c r="D229" s="455" t="s">
        <v>472</v>
      </c>
      <c r="E229" s="454" t="s">
        <v>1014</v>
      </c>
      <c r="F229" s="455" t="s">
        <v>1015</v>
      </c>
      <c r="G229" s="454" t="s">
        <v>934</v>
      </c>
      <c r="H229" s="454" t="s">
        <v>935</v>
      </c>
      <c r="I229" s="456">
        <v>274.67</v>
      </c>
      <c r="J229" s="456">
        <v>2</v>
      </c>
      <c r="K229" s="457">
        <v>549.34</v>
      </c>
    </row>
    <row r="230" spans="1:11" ht="14.4" customHeight="1" x14ac:dyDescent="0.3">
      <c r="A230" s="452" t="s">
        <v>427</v>
      </c>
      <c r="B230" s="453" t="s">
        <v>428</v>
      </c>
      <c r="C230" s="454" t="s">
        <v>432</v>
      </c>
      <c r="D230" s="455" t="s">
        <v>472</v>
      </c>
      <c r="E230" s="454" t="s">
        <v>1014</v>
      </c>
      <c r="F230" s="455" t="s">
        <v>1015</v>
      </c>
      <c r="G230" s="454" t="s">
        <v>936</v>
      </c>
      <c r="H230" s="454" t="s">
        <v>937</v>
      </c>
      <c r="I230" s="456">
        <v>398.09</v>
      </c>
      <c r="J230" s="456">
        <v>15</v>
      </c>
      <c r="K230" s="457">
        <v>6000.3899999999994</v>
      </c>
    </row>
    <row r="231" spans="1:11" ht="14.4" customHeight="1" x14ac:dyDescent="0.3">
      <c r="A231" s="452" t="s">
        <v>427</v>
      </c>
      <c r="B231" s="453" t="s">
        <v>428</v>
      </c>
      <c r="C231" s="454" t="s">
        <v>432</v>
      </c>
      <c r="D231" s="455" t="s">
        <v>472</v>
      </c>
      <c r="E231" s="454" t="s">
        <v>1014</v>
      </c>
      <c r="F231" s="455" t="s">
        <v>1015</v>
      </c>
      <c r="G231" s="454" t="s">
        <v>938</v>
      </c>
      <c r="H231" s="454" t="s">
        <v>939</v>
      </c>
      <c r="I231" s="456">
        <v>274.67</v>
      </c>
      <c r="J231" s="456">
        <v>2</v>
      </c>
      <c r="K231" s="457">
        <v>549.33000000000004</v>
      </c>
    </row>
    <row r="232" spans="1:11" ht="14.4" customHeight="1" x14ac:dyDescent="0.3">
      <c r="A232" s="452" t="s">
        <v>427</v>
      </c>
      <c r="B232" s="453" t="s">
        <v>428</v>
      </c>
      <c r="C232" s="454" t="s">
        <v>432</v>
      </c>
      <c r="D232" s="455" t="s">
        <v>472</v>
      </c>
      <c r="E232" s="454" t="s">
        <v>1014</v>
      </c>
      <c r="F232" s="455" t="s">
        <v>1015</v>
      </c>
      <c r="G232" s="454" t="s">
        <v>940</v>
      </c>
      <c r="H232" s="454" t="s">
        <v>941</v>
      </c>
      <c r="I232" s="456">
        <v>274.67</v>
      </c>
      <c r="J232" s="456">
        <v>1</v>
      </c>
      <c r="K232" s="457">
        <v>274.67</v>
      </c>
    </row>
    <row r="233" spans="1:11" ht="14.4" customHeight="1" x14ac:dyDescent="0.3">
      <c r="A233" s="452" t="s">
        <v>427</v>
      </c>
      <c r="B233" s="453" t="s">
        <v>428</v>
      </c>
      <c r="C233" s="454" t="s">
        <v>432</v>
      </c>
      <c r="D233" s="455" t="s">
        <v>472</v>
      </c>
      <c r="E233" s="454" t="s">
        <v>1014</v>
      </c>
      <c r="F233" s="455" t="s">
        <v>1015</v>
      </c>
      <c r="G233" s="454" t="s">
        <v>942</v>
      </c>
      <c r="H233" s="454" t="s">
        <v>943</v>
      </c>
      <c r="I233" s="456">
        <v>363</v>
      </c>
      <c r="J233" s="456">
        <v>2</v>
      </c>
      <c r="K233" s="457">
        <v>726</v>
      </c>
    </row>
    <row r="234" spans="1:11" ht="14.4" customHeight="1" x14ac:dyDescent="0.3">
      <c r="A234" s="452" t="s">
        <v>427</v>
      </c>
      <c r="B234" s="453" t="s">
        <v>428</v>
      </c>
      <c r="C234" s="454" t="s">
        <v>432</v>
      </c>
      <c r="D234" s="455" t="s">
        <v>472</v>
      </c>
      <c r="E234" s="454" t="s">
        <v>1014</v>
      </c>
      <c r="F234" s="455" t="s">
        <v>1015</v>
      </c>
      <c r="G234" s="454" t="s">
        <v>944</v>
      </c>
      <c r="H234" s="454" t="s">
        <v>945</v>
      </c>
      <c r="I234" s="456">
        <v>1277.4100000000001</v>
      </c>
      <c r="J234" s="456">
        <v>1</v>
      </c>
      <c r="K234" s="457">
        <v>1277.4100000000001</v>
      </c>
    </row>
    <row r="235" spans="1:11" ht="14.4" customHeight="1" x14ac:dyDescent="0.3">
      <c r="A235" s="452" t="s">
        <v>427</v>
      </c>
      <c r="B235" s="453" t="s">
        <v>428</v>
      </c>
      <c r="C235" s="454" t="s">
        <v>432</v>
      </c>
      <c r="D235" s="455" t="s">
        <v>472</v>
      </c>
      <c r="E235" s="454" t="s">
        <v>1014</v>
      </c>
      <c r="F235" s="455" t="s">
        <v>1015</v>
      </c>
      <c r="G235" s="454" t="s">
        <v>946</v>
      </c>
      <c r="H235" s="454" t="s">
        <v>947</v>
      </c>
      <c r="I235" s="456">
        <v>20449</v>
      </c>
      <c r="J235" s="456">
        <v>1</v>
      </c>
      <c r="K235" s="457">
        <v>20449</v>
      </c>
    </row>
    <row r="236" spans="1:11" ht="14.4" customHeight="1" x14ac:dyDescent="0.3">
      <c r="A236" s="452" t="s">
        <v>427</v>
      </c>
      <c r="B236" s="453" t="s">
        <v>428</v>
      </c>
      <c r="C236" s="454" t="s">
        <v>432</v>
      </c>
      <c r="D236" s="455" t="s">
        <v>472</v>
      </c>
      <c r="E236" s="454" t="s">
        <v>1014</v>
      </c>
      <c r="F236" s="455" t="s">
        <v>1015</v>
      </c>
      <c r="G236" s="454" t="s">
        <v>948</v>
      </c>
      <c r="H236" s="454" t="s">
        <v>949</v>
      </c>
      <c r="I236" s="456">
        <v>242</v>
      </c>
      <c r="J236" s="456">
        <v>1</v>
      </c>
      <c r="K236" s="457">
        <v>242</v>
      </c>
    </row>
    <row r="237" spans="1:11" ht="14.4" customHeight="1" x14ac:dyDescent="0.3">
      <c r="A237" s="452" t="s">
        <v>427</v>
      </c>
      <c r="B237" s="453" t="s">
        <v>428</v>
      </c>
      <c r="C237" s="454" t="s">
        <v>432</v>
      </c>
      <c r="D237" s="455" t="s">
        <v>472</v>
      </c>
      <c r="E237" s="454" t="s">
        <v>1014</v>
      </c>
      <c r="F237" s="455" t="s">
        <v>1015</v>
      </c>
      <c r="G237" s="454" t="s">
        <v>950</v>
      </c>
      <c r="H237" s="454" t="s">
        <v>951</v>
      </c>
      <c r="I237" s="456">
        <v>16.46</v>
      </c>
      <c r="J237" s="456">
        <v>20</v>
      </c>
      <c r="K237" s="457">
        <v>329.12</v>
      </c>
    </row>
    <row r="238" spans="1:11" ht="14.4" customHeight="1" x14ac:dyDescent="0.3">
      <c r="A238" s="452" t="s">
        <v>427</v>
      </c>
      <c r="B238" s="453" t="s">
        <v>428</v>
      </c>
      <c r="C238" s="454" t="s">
        <v>432</v>
      </c>
      <c r="D238" s="455" t="s">
        <v>472</v>
      </c>
      <c r="E238" s="454" t="s">
        <v>1014</v>
      </c>
      <c r="F238" s="455" t="s">
        <v>1015</v>
      </c>
      <c r="G238" s="454" t="s">
        <v>952</v>
      </c>
      <c r="H238" s="454" t="s">
        <v>953</v>
      </c>
      <c r="I238" s="456">
        <v>5537.0400000000009</v>
      </c>
      <c r="J238" s="456">
        <v>6</v>
      </c>
      <c r="K238" s="457">
        <v>33222.22</v>
      </c>
    </row>
    <row r="239" spans="1:11" ht="14.4" customHeight="1" x14ac:dyDescent="0.3">
      <c r="A239" s="452" t="s">
        <v>427</v>
      </c>
      <c r="B239" s="453" t="s">
        <v>428</v>
      </c>
      <c r="C239" s="454" t="s">
        <v>432</v>
      </c>
      <c r="D239" s="455" t="s">
        <v>472</v>
      </c>
      <c r="E239" s="454" t="s">
        <v>1014</v>
      </c>
      <c r="F239" s="455" t="s">
        <v>1015</v>
      </c>
      <c r="G239" s="454" t="s">
        <v>954</v>
      </c>
      <c r="H239" s="454" t="s">
        <v>955</v>
      </c>
      <c r="I239" s="456">
        <v>162.16</v>
      </c>
      <c r="J239" s="456">
        <v>1</v>
      </c>
      <c r="K239" s="457">
        <v>162.16</v>
      </c>
    </row>
    <row r="240" spans="1:11" ht="14.4" customHeight="1" x14ac:dyDescent="0.3">
      <c r="A240" s="452" t="s">
        <v>427</v>
      </c>
      <c r="B240" s="453" t="s">
        <v>428</v>
      </c>
      <c r="C240" s="454" t="s">
        <v>432</v>
      </c>
      <c r="D240" s="455" t="s">
        <v>472</v>
      </c>
      <c r="E240" s="454" t="s">
        <v>1014</v>
      </c>
      <c r="F240" s="455" t="s">
        <v>1015</v>
      </c>
      <c r="G240" s="454" t="s">
        <v>956</v>
      </c>
      <c r="H240" s="454" t="s">
        <v>957</v>
      </c>
      <c r="I240" s="456">
        <v>274.67</v>
      </c>
      <c r="J240" s="456">
        <v>1</v>
      </c>
      <c r="K240" s="457">
        <v>274.67</v>
      </c>
    </row>
    <row r="241" spans="1:11" ht="14.4" customHeight="1" x14ac:dyDescent="0.3">
      <c r="A241" s="452" t="s">
        <v>427</v>
      </c>
      <c r="B241" s="453" t="s">
        <v>428</v>
      </c>
      <c r="C241" s="454" t="s">
        <v>432</v>
      </c>
      <c r="D241" s="455" t="s">
        <v>472</v>
      </c>
      <c r="E241" s="454" t="s">
        <v>1014</v>
      </c>
      <c r="F241" s="455" t="s">
        <v>1015</v>
      </c>
      <c r="G241" s="454" t="s">
        <v>958</v>
      </c>
      <c r="H241" s="454" t="s">
        <v>959</v>
      </c>
      <c r="I241" s="456">
        <v>274.67</v>
      </c>
      <c r="J241" s="456">
        <v>1</v>
      </c>
      <c r="K241" s="457">
        <v>274.67</v>
      </c>
    </row>
    <row r="242" spans="1:11" ht="14.4" customHeight="1" x14ac:dyDescent="0.3">
      <c r="A242" s="452" t="s">
        <v>427</v>
      </c>
      <c r="B242" s="453" t="s">
        <v>428</v>
      </c>
      <c r="C242" s="454" t="s">
        <v>432</v>
      </c>
      <c r="D242" s="455" t="s">
        <v>472</v>
      </c>
      <c r="E242" s="454" t="s">
        <v>1014</v>
      </c>
      <c r="F242" s="455" t="s">
        <v>1015</v>
      </c>
      <c r="G242" s="454" t="s">
        <v>960</v>
      </c>
      <c r="H242" s="454" t="s">
        <v>961</v>
      </c>
      <c r="I242" s="456">
        <v>375</v>
      </c>
      <c r="J242" s="456">
        <v>1</v>
      </c>
      <c r="K242" s="457">
        <v>375</v>
      </c>
    </row>
    <row r="243" spans="1:11" ht="14.4" customHeight="1" x14ac:dyDescent="0.3">
      <c r="A243" s="452" t="s">
        <v>427</v>
      </c>
      <c r="B243" s="453" t="s">
        <v>428</v>
      </c>
      <c r="C243" s="454" t="s">
        <v>432</v>
      </c>
      <c r="D243" s="455" t="s">
        <v>472</v>
      </c>
      <c r="E243" s="454" t="s">
        <v>1014</v>
      </c>
      <c r="F243" s="455" t="s">
        <v>1015</v>
      </c>
      <c r="G243" s="454" t="s">
        <v>962</v>
      </c>
      <c r="H243" s="454" t="s">
        <v>963</v>
      </c>
      <c r="I243" s="456">
        <v>510.62</v>
      </c>
      <c r="J243" s="456">
        <v>1</v>
      </c>
      <c r="K243" s="457">
        <v>510.62</v>
      </c>
    </row>
    <row r="244" spans="1:11" ht="14.4" customHeight="1" x14ac:dyDescent="0.3">
      <c r="A244" s="452" t="s">
        <v>427</v>
      </c>
      <c r="B244" s="453" t="s">
        <v>428</v>
      </c>
      <c r="C244" s="454" t="s">
        <v>432</v>
      </c>
      <c r="D244" s="455" t="s">
        <v>472</v>
      </c>
      <c r="E244" s="454" t="s">
        <v>1014</v>
      </c>
      <c r="F244" s="455" t="s">
        <v>1015</v>
      </c>
      <c r="G244" s="454" t="s">
        <v>964</v>
      </c>
      <c r="H244" s="454" t="s">
        <v>965</v>
      </c>
      <c r="I244" s="456">
        <v>274.67</v>
      </c>
      <c r="J244" s="456">
        <v>2</v>
      </c>
      <c r="K244" s="457">
        <v>549.33000000000004</v>
      </c>
    </row>
    <row r="245" spans="1:11" ht="14.4" customHeight="1" x14ac:dyDescent="0.3">
      <c r="A245" s="452" t="s">
        <v>427</v>
      </c>
      <c r="B245" s="453" t="s">
        <v>428</v>
      </c>
      <c r="C245" s="454" t="s">
        <v>432</v>
      </c>
      <c r="D245" s="455" t="s">
        <v>472</v>
      </c>
      <c r="E245" s="454" t="s">
        <v>1014</v>
      </c>
      <c r="F245" s="455" t="s">
        <v>1015</v>
      </c>
      <c r="G245" s="454" t="s">
        <v>966</v>
      </c>
      <c r="H245" s="454" t="s">
        <v>967</v>
      </c>
      <c r="I245" s="456">
        <v>274.67</v>
      </c>
      <c r="J245" s="456">
        <v>2</v>
      </c>
      <c r="K245" s="457">
        <v>549.34</v>
      </c>
    </row>
    <row r="246" spans="1:11" ht="14.4" customHeight="1" x14ac:dyDescent="0.3">
      <c r="A246" s="452" t="s">
        <v>427</v>
      </c>
      <c r="B246" s="453" t="s">
        <v>428</v>
      </c>
      <c r="C246" s="454" t="s">
        <v>432</v>
      </c>
      <c r="D246" s="455" t="s">
        <v>472</v>
      </c>
      <c r="E246" s="454" t="s">
        <v>1014</v>
      </c>
      <c r="F246" s="455" t="s">
        <v>1015</v>
      </c>
      <c r="G246" s="454" t="s">
        <v>968</v>
      </c>
      <c r="H246" s="454" t="s">
        <v>969</v>
      </c>
      <c r="I246" s="456">
        <v>692.07</v>
      </c>
      <c r="J246" s="456">
        <v>1</v>
      </c>
      <c r="K246" s="457">
        <v>692.07</v>
      </c>
    </row>
    <row r="247" spans="1:11" ht="14.4" customHeight="1" x14ac:dyDescent="0.3">
      <c r="A247" s="452" t="s">
        <v>427</v>
      </c>
      <c r="B247" s="453" t="s">
        <v>428</v>
      </c>
      <c r="C247" s="454" t="s">
        <v>432</v>
      </c>
      <c r="D247" s="455" t="s">
        <v>472</v>
      </c>
      <c r="E247" s="454" t="s">
        <v>1014</v>
      </c>
      <c r="F247" s="455" t="s">
        <v>1015</v>
      </c>
      <c r="G247" s="454" t="s">
        <v>970</v>
      </c>
      <c r="H247" s="454" t="s">
        <v>971</v>
      </c>
      <c r="I247" s="456">
        <v>692.07</v>
      </c>
      <c r="J247" s="456">
        <v>1</v>
      </c>
      <c r="K247" s="457">
        <v>692.07</v>
      </c>
    </row>
    <row r="248" spans="1:11" ht="14.4" customHeight="1" x14ac:dyDescent="0.3">
      <c r="A248" s="452" t="s">
        <v>427</v>
      </c>
      <c r="B248" s="453" t="s">
        <v>428</v>
      </c>
      <c r="C248" s="454" t="s">
        <v>432</v>
      </c>
      <c r="D248" s="455" t="s">
        <v>472</v>
      </c>
      <c r="E248" s="454" t="s">
        <v>1014</v>
      </c>
      <c r="F248" s="455" t="s">
        <v>1015</v>
      </c>
      <c r="G248" s="454" t="s">
        <v>972</v>
      </c>
      <c r="H248" s="454" t="s">
        <v>973</v>
      </c>
      <c r="I248" s="456">
        <v>718.64</v>
      </c>
      <c r="J248" s="456">
        <v>1</v>
      </c>
      <c r="K248" s="457">
        <v>718.64</v>
      </c>
    </row>
    <row r="249" spans="1:11" ht="14.4" customHeight="1" x14ac:dyDescent="0.3">
      <c r="A249" s="452" t="s">
        <v>427</v>
      </c>
      <c r="B249" s="453" t="s">
        <v>428</v>
      </c>
      <c r="C249" s="454" t="s">
        <v>432</v>
      </c>
      <c r="D249" s="455" t="s">
        <v>472</v>
      </c>
      <c r="E249" s="454" t="s">
        <v>1014</v>
      </c>
      <c r="F249" s="455" t="s">
        <v>1015</v>
      </c>
      <c r="G249" s="454" t="s">
        <v>974</v>
      </c>
      <c r="H249" s="454" t="s">
        <v>975</v>
      </c>
      <c r="I249" s="456">
        <v>984.94</v>
      </c>
      <c r="J249" s="456">
        <v>1</v>
      </c>
      <c r="K249" s="457">
        <v>984.94</v>
      </c>
    </row>
    <row r="250" spans="1:11" ht="14.4" customHeight="1" x14ac:dyDescent="0.3">
      <c r="A250" s="452" t="s">
        <v>427</v>
      </c>
      <c r="B250" s="453" t="s">
        <v>428</v>
      </c>
      <c r="C250" s="454" t="s">
        <v>432</v>
      </c>
      <c r="D250" s="455" t="s">
        <v>472</v>
      </c>
      <c r="E250" s="454" t="s">
        <v>1014</v>
      </c>
      <c r="F250" s="455" t="s">
        <v>1015</v>
      </c>
      <c r="G250" s="454" t="s">
        <v>976</v>
      </c>
      <c r="H250" s="454" t="s">
        <v>977</v>
      </c>
      <c r="I250" s="456">
        <v>984.94</v>
      </c>
      <c r="J250" s="456">
        <v>1</v>
      </c>
      <c r="K250" s="457">
        <v>984.94</v>
      </c>
    </row>
    <row r="251" spans="1:11" ht="14.4" customHeight="1" x14ac:dyDescent="0.3">
      <c r="A251" s="452" t="s">
        <v>427</v>
      </c>
      <c r="B251" s="453" t="s">
        <v>428</v>
      </c>
      <c r="C251" s="454" t="s">
        <v>432</v>
      </c>
      <c r="D251" s="455" t="s">
        <v>472</v>
      </c>
      <c r="E251" s="454" t="s">
        <v>1014</v>
      </c>
      <c r="F251" s="455" t="s">
        <v>1015</v>
      </c>
      <c r="G251" s="454" t="s">
        <v>978</v>
      </c>
      <c r="H251" s="454" t="s">
        <v>979</v>
      </c>
      <c r="I251" s="456">
        <v>984.94</v>
      </c>
      <c r="J251" s="456">
        <v>2</v>
      </c>
      <c r="K251" s="457">
        <v>1969.88</v>
      </c>
    </row>
    <row r="252" spans="1:11" ht="14.4" customHeight="1" x14ac:dyDescent="0.3">
      <c r="A252" s="452" t="s">
        <v>427</v>
      </c>
      <c r="B252" s="453" t="s">
        <v>428</v>
      </c>
      <c r="C252" s="454" t="s">
        <v>432</v>
      </c>
      <c r="D252" s="455" t="s">
        <v>472</v>
      </c>
      <c r="E252" s="454" t="s">
        <v>1014</v>
      </c>
      <c r="F252" s="455" t="s">
        <v>1015</v>
      </c>
      <c r="G252" s="454" t="s">
        <v>980</v>
      </c>
      <c r="H252" s="454" t="s">
        <v>981</v>
      </c>
      <c r="I252" s="456">
        <v>984.94</v>
      </c>
      <c r="J252" s="456">
        <v>1</v>
      </c>
      <c r="K252" s="457">
        <v>984.94</v>
      </c>
    </row>
    <row r="253" spans="1:11" ht="14.4" customHeight="1" x14ac:dyDescent="0.3">
      <c r="A253" s="452" t="s">
        <v>427</v>
      </c>
      <c r="B253" s="453" t="s">
        <v>428</v>
      </c>
      <c r="C253" s="454" t="s">
        <v>432</v>
      </c>
      <c r="D253" s="455" t="s">
        <v>472</v>
      </c>
      <c r="E253" s="454" t="s">
        <v>1014</v>
      </c>
      <c r="F253" s="455" t="s">
        <v>1015</v>
      </c>
      <c r="G253" s="454" t="s">
        <v>982</v>
      </c>
      <c r="H253" s="454" t="s">
        <v>983</v>
      </c>
      <c r="I253" s="456">
        <v>1234.2</v>
      </c>
      <c r="J253" s="456">
        <v>1</v>
      </c>
      <c r="K253" s="457">
        <v>1234.2</v>
      </c>
    </row>
    <row r="254" spans="1:11" ht="14.4" customHeight="1" x14ac:dyDescent="0.3">
      <c r="A254" s="452" t="s">
        <v>427</v>
      </c>
      <c r="B254" s="453" t="s">
        <v>428</v>
      </c>
      <c r="C254" s="454" t="s">
        <v>432</v>
      </c>
      <c r="D254" s="455" t="s">
        <v>472</v>
      </c>
      <c r="E254" s="454" t="s">
        <v>1014</v>
      </c>
      <c r="F254" s="455" t="s">
        <v>1015</v>
      </c>
      <c r="G254" s="454" t="s">
        <v>984</v>
      </c>
      <c r="H254" s="454" t="s">
        <v>985</v>
      </c>
      <c r="I254" s="456">
        <v>1419</v>
      </c>
      <c r="J254" s="456">
        <v>1</v>
      </c>
      <c r="K254" s="457">
        <v>1419</v>
      </c>
    </row>
    <row r="255" spans="1:11" ht="14.4" customHeight="1" x14ac:dyDescent="0.3">
      <c r="A255" s="452" t="s">
        <v>427</v>
      </c>
      <c r="B255" s="453" t="s">
        <v>428</v>
      </c>
      <c r="C255" s="454" t="s">
        <v>432</v>
      </c>
      <c r="D255" s="455" t="s">
        <v>472</v>
      </c>
      <c r="E255" s="454" t="s">
        <v>1014</v>
      </c>
      <c r="F255" s="455" t="s">
        <v>1015</v>
      </c>
      <c r="G255" s="454" t="s">
        <v>986</v>
      </c>
      <c r="H255" s="454" t="s">
        <v>987</v>
      </c>
      <c r="I255" s="456">
        <v>2540.9949999999999</v>
      </c>
      <c r="J255" s="456">
        <v>2</v>
      </c>
      <c r="K255" s="457">
        <v>5081.99</v>
      </c>
    </row>
    <row r="256" spans="1:11" ht="14.4" customHeight="1" x14ac:dyDescent="0.3">
      <c r="A256" s="452" t="s">
        <v>427</v>
      </c>
      <c r="B256" s="453" t="s">
        <v>428</v>
      </c>
      <c r="C256" s="454" t="s">
        <v>432</v>
      </c>
      <c r="D256" s="455" t="s">
        <v>472</v>
      </c>
      <c r="E256" s="454" t="s">
        <v>1014</v>
      </c>
      <c r="F256" s="455" t="s">
        <v>1015</v>
      </c>
      <c r="G256" s="454" t="s">
        <v>988</v>
      </c>
      <c r="H256" s="454" t="s">
        <v>989</v>
      </c>
      <c r="I256" s="456">
        <v>2894.32</v>
      </c>
      <c r="J256" s="456">
        <v>1</v>
      </c>
      <c r="K256" s="457">
        <v>2894.32</v>
      </c>
    </row>
    <row r="257" spans="1:11" ht="14.4" customHeight="1" x14ac:dyDescent="0.3">
      <c r="A257" s="452" t="s">
        <v>427</v>
      </c>
      <c r="B257" s="453" t="s">
        <v>428</v>
      </c>
      <c r="C257" s="454" t="s">
        <v>432</v>
      </c>
      <c r="D257" s="455" t="s">
        <v>472</v>
      </c>
      <c r="E257" s="454" t="s">
        <v>1014</v>
      </c>
      <c r="F257" s="455" t="s">
        <v>1015</v>
      </c>
      <c r="G257" s="454" t="s">
        <v>990</v>
      </c>
      <c r="H257" s="454" t="s">
        <v>991</v>
      </c>
      <c r="I257" s="456">
        <v>3346.86</v>
      </c>
      <c r="J257" s="456">
        <v>1</v>
      </c>
      <c r="K257" s="457">
        <v>3346.86</v>
      </c>
    </row>
    <row r="258" spans="1:11" ht="14.4" customHeight="1" x14ac:dyDescent="0.3">
      <c r="A258" s="452" t="s">
        <v>427</v>
      </c>
      <c r="B258" s="453" t="s">
        <v>428</v>
      </c>
      <c r="C258" s="454" t="s">
        <v>432</v>
      </c>
      <c r="D258" s="455" t="s">
        <v>472</v>
      </c>
      <c r="E258" s="454" t="s">
        <v>1014</v>
      </c>
      <c r="F258" s="455" t="s">
        <v>1015</v>
      </c>
      <c r="G258" s="454" t="s">
        <v>992</v>
      </c>
      <c r="H258" s="454" t="s">
        <v>993</v>
      </c>
      <c r="I258" s="456">
        <v>2591.8200000000002</v>
      </c>
      <c r="J258" s="456">
        <v>2</v>
      </c>
      <c r="K258" s="457">
        <v>5183.6400000000003</v>
      </c>
    </row>
    <row r="259" spans="1:11" ht="14.4" customHeight="1" x14ac:dyDescent="0.3">
      <c r="A259" s="452" t="s">
        <v>427</v>
      </c>
      <c r="B259" s="453" t="s">
        <v>428</v>
      </c>
      <c r="C259" s="454" t="s">
        <v>432</v>
      </c>
      <c r="D259" s="455" t="s">
        <v>472</v>
      </c>
      <c r="E259" s="454" t="s">
        <v>1014</v>
      </c>
      <c r="F259" s="455" t="s">
        <v>1015</v>
      </c>
      <c r="G259" s="454" t="s">
        <v>994</v>
      </c>
      <c r="H259" s="454" t="s">
        <v>995</v>
      </c>
      <c r="I259" s="456">
        <v>5989.5</v>
      </c>
      <c r="J259" s="456">
        <v>1</v>
      </c>
      <c r="K259" s="457">
        <v>5989.5</v>
      </c>
    </row>
    <row r="260" spans="1:11" ht="14.4" customHeight="1" x14ac:dyDescent="0.3">
      <c r="A260" s="452" t="s">
        <v>427</v>
      </c>
      <c r="B260" s="453" t="s">
        <v>428</v>
      </c>
      <c r="C260" s="454" t="s">
        <v>432</v>
      </c>
      <c r="D260" s="455" t="s">
        <v>472</v>
      </c>
      <c r="E260" s="454" t="s">
        <v>1014</v>
      </c>
      <c r="F260" s="455" t="s">
        <v>1015</v>
      </c>
      <c r="G260" s="454" t="s">
        <v>996</v>
      </c>
      <c r="H260" s="454" t="s">
        <v>997</v>
      </c>
      <c r="I260" s="456">
        <v>8636.39</v>
      </c>
      <c r="J260" s="456">
        <v>1</v>
      </c>
      <c r="K260" s="457">
        <v>8636.39</v>
      </c>
    </row>
    <row r="261" spans="1:11" ht="14.4" customHeight="1" x14ac:dyDescent="0.3">
      <c r="A261" s="452" t="s">
        <v>427</v>
      </c>
      <c r="B261" s="453" t="s">
        <v>428</v>
      </c>
      <c r="C261" s="454" t="s">
        <v>432</v>
      </c>
      <c r="D261" s="455" t="s">
        <v>472</v>
      </c>
      <c r="E261" s="454" t="s">
        <v>1014</v>
      </c>
      <c r="F261" s="455" t="s">
        <v>1015</v>
      </c>
      <c r="G261" s="454" t="s">
        <v>998</v>
      </c>
      <c r="H261" s="454" t="s">
        <v>999</v>
      </c>
      <c r="I261" s="456">
        <v>15253.26</v>
      </c>
      <c r="J261" s="456">
        <v>2</v>
      </c>
      <c r="K261" s="457">
        <v>30506.52</v>
      </c>
    </row>
    <row r="262" spans="1:11" ht="14.4" customHeight="1" x14ac:dyDescent="0.3">
      <c r="A262" s="452" t="s">
        <v>427</v>
      </c>
      <c r="B262" s="453" t="s">
        <v>428</v>
      </c>
      <c r="C262" s="454" t="s">
        <v>432</v>
      </c>
      <c r="D262" s="455" t="s">
        <v>472</v>
      </c>
      <c r="E262" s="454" t="s">
        <v>1014</v>
      </c>
      <c r="F262" s="455" t="s">
        <v>1015</v>
      </c>
      <c r="G262" s="454" t="s">
        <v>1000</v>
      </c>
      <c r="H262" s="454" t="s">
        <v>1001</v>
      </c>
      <c r="I262" s="456">
        <v>5355.46</v>
      </c>
      <c r="J262" s="456">
        <v>3</v>
      </c>
      <c r="K262" s="457">
        <v>16066.38</v>
      </c>
    </row>
    <row r="263" spans="1:11" ht="14.4" customHeight="1" thickBot="1" x14ac:dyDescent="0.35">
      <c r="A263" s="458" t="s">
        <v>427</v>
      </c>
      <c r="B263" s="459" t="s">
        <v>428</v>
      </c>
      <c r="C263" s="460" t="s">
        <v>432</v>
      </c>
      <c r="D263" s="461" t="s">
        <v>472</v>
      </c>
      <c r="E263" s="460" t="s">
        <v>1014</v>
      </c>
      <c r="F263" s="461" t="s">
        <v>1015</v>
      </c>
      <c r="G263" s="460" t="s">
        <v>1002</v>
      </c>
      <c r="H263" s="460" t="s">
        <v>1003</v>
      </c>
      <c r="I263" s="462">
        <v>152.148</v>
      </c>
      <c r="J263" s="462">
        <v>12</v>
      </c>
      <c r="K263" s="463">
        <v>1437.89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S1"/>
    </sheetView>
  </sheetViews>
  <sheetFormatPr defaultRowHeight="14.4" outlineLevelRow="1" x14ac:dyDescent="0.3"/>
  <cols>
    <col min="1" max="1" width="37.21875" customWidth="1"/>
    <col min="2" max="2" width="13.109375" customWidth="1"/>
    <col min="3" max="4" width="13.109375" hidden="1" customWidth="1"/>
    <col min="5" max="6" width="13.109375" customWidth="1"/>
    <col min="7" max="7" width="13.109375" hidden="1" customWidth="1"/>
    <col min="8" max="8" width="13.109375" customWidth="1"/>
    <col min="9" max="18" width="13.109375" hidden="1" customWidth="1"/>
    <col min="19" max="19" width="13.109375" customWidth="1"/>
    <col min="20" max="41" width="13.109375" hidden="1" customWidth="1"/>
    <col min="42" max="42" width="13.109375" customWidth="1"/>
    <col min="43" max="44" width="13.109375" hidden="1" customWidth="1"/>
    <col min="45" max="45" width="13.109375" customWidth="1"/>
  </cols>
  <sheetData>
    <row r="1" spans="1:46" ht="18.600000000000001" thickBot="1" x14ac:dyDescent="0.4">
      <c r="A1" s="381" t="s">
        <v>93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8"/>
      <c r="AI1" s="358"/>
      <c r="AJ1" s="358"/>
      <c r="AK1" s="358"/>
      <c r="AL1" s="358"/>
      <c r="AM1" s="358"/>
      <c r="AN1" s="358"/>
      <c r="AO1" s="358"/>
      <c r="AP1" s="358"/>
      <c r="AQ1" s="358"/>
      <c r="AR1" s="358"/>
      <c r="AS1" s="358"/>
    </row>
    <row r="2" spans="1:46" ht="15" thickBot="1" x14ac:dyDescent="0.35">
      <c r="A2" s="215" t="s">
        <v>273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</row>
    <row r="3" spans="1:46" x14ac:dyDescent="0.3">
      <c r="A3" s="234" t="s">
        <v>179</v>
      </c>
      <c r="B3" s="382" t="s">
        <v>158</v>
      </c>
      <c r="C3" s="217">
        <v>0</v>
      </c>
      <c r="D3" s="218">
        <v>25</v>
      </c>
      <c r="E3" s="218">
        <v>30</v>
      </c>
      <c r="F3" s="218">
        <v>99</v>
      </c>
      <c r="G3" s="237">
        <v>100</v>
      </c>
      <c r="H3" s="237">
        <v>101</v>
      </c>
      <c r="I3" s="237">
        <v>102</v>
      </c>
      <c r="J3" s="237">
        <v>103</v>
      </c>
      <c r="K3" s="237">
        <v>203</v>
      </c>
      <c r="L3" s="315">
        <v>302</v>
      </c>
      <c r="M3" s="237">
        <v>303</v>
      </c>
      <c r="N3" s="237">
        <v>304</v>
      </c>
      <c r="O3" s="237">
        <v>305</v>
      </c>
      <c r="P3" s="237">
        <v>306</v>
      </c>
      <c r="Q3" s="237">
        <v>407</v>
      </c>
      <c r="R3" s="237">
        <v>408</v>
      </c>
      <c r="S3" s="237">
        <v>409</v>
      </c>
      <c r="T3" s="237">
        <v>410</v>
      </c>
      <c r="U3" s="237">
        <v>415</v>
      </c>
      <c r="V3" s="237">
        <v>416</v>
      </c>
      <c r="W3" s="237">
        <v>418</v>
      </c>
      <c r="X3" s="237">
        <v>419</v>
      </c>
      <c r="Y3" s="237">
        <v>420</v>
      </c>
      <c r="Z3" s="237">
        <v>421</v>
      </c>
      <c r="AA3" s="237">
        <v>422</v>
      </c>
      <c r="AB3" s="237">
        <v>520</v>
      </c>
      <c r="AC3" s="237">
        <v>521</v>
      </c>
      <c r="AD3" s="237">
        <v>522</v>
      </c>
      <c r="AE3" s="237">
        <v>523</v>
      </c>
      <c r="AF3" s="237">
        <v>524</v>
      </c>
      <c r="AG3" s="237">
        <v>525</v>
      </c>
      <c r="AH3" s="237">
        <v>526</v>
      </c>
      <c r="AI3" s="218">
        <v>527</v>
      </c>
      <c r="AJ3" s="218">
        <v>528</v>
      </c>
      <c r="AK3" s="218">
        <v>629</v>
      </c>
      <c r="AL3" s="218">
        <v>630</v>
      </c>
      <c r="AM3" s="218">
        <v>636</v>
      </c>
      <c r="AN3" s="218">
        <v>637</v>
      </c>
      <c r="AO3" s="218">
        <v>640</v>
      </c>
      <c r="AP3" s="218">
        <v>642</v>
      </c>
      <c r="AQ3" s="218">
        <v>743</v>
      </c>
      <c r="AR3" s="218">
        <v>745</v>
      </c>
      <c r="AS3" s="516">
        <v>746</v>
      </c>
      <c r="AT3" s="531"/>
    </row>
    <row r="4" spans="1:46" ht="36.6" outlineLevel="1" thickBot="1" x14ac:dyDescent="0.35">
      <c r="A4" s="235">
        <v>2017</v>
      </c>
      <c r="B4" s="383"/>
      <c r="C4" s="219" t="s">
        <v>159</v>
      </c>
      <c r="D4" s="220" t="s">
        <v>163</v>
      </c>
      <c r="E4" s="220" t="s">
        <v>181</v>
      </c>
      <c r="F4" s="220" t="s">
        <v>160</v>
      </c>
      <c r="G4" s="238" t="s">
        <v>229</v>
      </c>
      <c r="H4" s="238" t="s">
        <v>230</v>
      </c>
      <c r="I4" s="238" t="s">
        <v>161</v>
      </c>
      <c r="J4" s="238" t="s">
        <v>231</v>
      </c>
      <c r="K4" s="238" t="s">
        <v>162</v>
      </c>
      <c r="L4" s="316" t="s">
        <v>232</v>
      </c>
      <c r="M4" s="238" t="s">
        <v>233</v>
      </c>
      <c r="N4" s="238" t="s">
        <v>234</v>
      </c>
      <c r="O4" s="238" t="s">
        <v>235</v>
      </c>
      <c r="P4" s="238" t="s">
        <v>187</v>
      </c>
      <c r="Q4" s="238" t="s">
        <v>227</v>
      </c>
      <c r="R4" s="238" t="s">
        <v>188</v>
      </c>
      <c r="S4" s="238" t="s">
        <v>189</v>
      </c>
      <c r="T4" s="238" t="s">
        <v>190</v>
      </c>
      <c r="U4" s="238" t="s">
        <v>191</v>
      </c>
      <c r="V4" s="238" t="s">
        <v>192</v>
      </c>
      <c r="W4" s="238" t="s">
        <v>193</v>
      </c>
      <c r="X4" s="238" t="s">
        <v>194</v>
      </c>
      <c r="Y4" s="238" t="s">
        <v>195</v>
      </c>
      <c r="Z4" s="238" t="s">
        <v>196</v>
      </c>
      <c r="AA4" s="238" t="s">
        <v>266</v>
      </c>
      <c r="AB4" s="238" t="s">
        <v>236</v>
      </c>
      <c r="AC4" s="238" t="s">
        <v>237</v>
      </c>
      <c r="AD4" s="238" t="s">
        <v>238</v>
      </c>
      <c r="AE4" s="238" t="s">
        <v>197</v>
      </c>
      <c r="AF4" s="238" t="s">
        <v>198</v>
      </c>
      <c r="AG4" s="238" t="s">
        <v>199</v>
      </c>
      <c r="AH4" s="238" t="s">
        <v>200</v>
      </c>
      <c r="AI4" s="220" t="s">
        <v>201</v>
      </c>
      <c r="AJ4" s="220" t="s">
        <v>210</v>
      </c>
      <c r="AK4" s="220" t="s">
        <v>202</v>
      </c>
      <c r="AL4" s="220" t="s">
        <v>211</v>
      </c>
      <c r="AM4" s="220" t="s">
        <v>203</v>
      </c>
      <c r="AN4" s="303" t="s">
        <v>204</v>
      </c>
      <c r="AO4" s="220" t="s">
        <v>205</v>
      </c>
      <c r="AP4" s="220" t="s">
        <v>206</v>
      </c>
      <c r="AQ4" s="220" t="s">
        <v>207</v>
      </c>
      <c r="AR4" s="220" t="s">
        <v>208</v>
      </c>
      <c r="AS4" s="517" t="s">
        <v>209</v>
      </c>
      <c r="AT4" s="531"/>
    </row>
    <row r="5" spans="1:46" x14ac:dyDescent="0.3">
      <c r="A5" s="221" t="s">
        <v>164</v>
      </c>
      <c r="B5" s="259"/>
      <c r="C5" s="260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304"/>
      <c r="AO5" s="261"/>
      <c r="AP5" s="261"/>
      <c r="AQ5" s="261"/>
      <c r="AR5" s="261"/>
      <c r="AS5" s="518"/>
      <c r="AT5" s="531"/>
    </row>
    <row r="6" spans="1:46" ht="15" collapsed="1" thickBot="1" x14ac:dyDescent="0.35">
      <c r="A6" s="222" t="s">
        <v>60</v>
      </c>
      <c r="B6" s="262">
        <f xml:space="preserve">
TRUNC(IF($A$4&lt;=12,SUMIFS('ON Data'!F:F,'ON Data'!$D:$D,$A$4,'ON Data'!$E:$E,1),SUMIFS('ON Data'!F:F,'ON Data'!$E:$E,1)/'ON Data'!$D$3),1)</f>
        <v>31.8</v>
      </c>
      <c r="C6" s="263">
        <f xml:space="preserve">
TRUNC(IF($A$4&lt;=12,SUMIFS('ON Data'!G:G,'ON Data'!$D:$D,$A$4,'ON Data'!$E:$E,1),SUMIFS('ON Data'!G:G,'ON Data'!$E:$E,1)/'ON Data'!$D$3),1)</f>
        <v>0</v>
      </c>
      <c r="D6" s="264">
        <f xml:space="preserve">
TRUNC(IF($A$4&lt;=12,SUMIFS('ON Data'!H:H,'ON Data'!$D:$D,$A$4,'ON Data'!$E:$E,1),SUMIFS('ON Data'!H:H,'ON Data'!$E:$E,1)/'ON Data'!$D$3),1)</f>
        <v>0</v>
      </c>
      <c r="E6" s="264">
        <f xml:space="preserve">
TRUNC(IF($A$4&lt;=12,SUMIFS('ON Data'!I:I,'ON Data'!$D:$D,$A$4,'ON Data'!$E:$E,1),SUMIFS('ON Data'!I:I,'ON Data'!$E:$E,1)/'ON Data'!$D$3),1)</f>
        <v>1</v>
      </c>
      <c r="F6" s="264">
        <f xml:space="preserve">
TRUNC(IF($A$4&lt;=12,SUMIFS('ON Data'!J:J,'ON Data'!$D:$D,$A$4,'ON Data'!$E:$E,1),SUMIFS('ON Data'!J:J,'ON Data'!$E:$E,1)/'ON Data'!$D$3),1)</f>
        <v>0.2</v>
      </c>
      <c r="G6" s="264">
        <f xml:space="preserve">
TRUNC(IF($A$4&lt;=12,SUMIFS('ON Data'!K:K,'ON Data'!$D:$D,$A$4,'ON Data'!$E:$E,1),SUMIFS('ON Data'!K:K,'ON Data'!$E:$E,1)/'ON Data'!$D$3),1)</f>
        <v>0</v>
      </c>
      <c r="H6" s="264">
        <f xml:space="preserve">
TRUNC(IF($A$4&lt;=12,SUMIFS('ON Data'!L:L,'ON Data'!$D:$D,$A$4,'ON Data'!$E:$E,1),SUMIFS('ON Data'!L:L,'ON Data'!$E:$E,1)/'ON Data'!$D$3),1)</f>
        <v>3.6</v>
      </c>
      <c r="I6" s="264">
        <f xml:space="preserve">
TRUNC(IF($A$4&lt;=12,SUMIFS('ON Data'!M:M,'ON Data'!$D:$D,$A$4,'ON Data'!$E:$E,1),SUMIFS('ON Data'!M:M,'ON Data'!$E:$E,1)/'ON Data'!$D$3),1)</f>
        <v>0</v>
      </c>
      <c r="J6" s="264">
        <f xml:space="preserve">
TRUNC(IF($A$4&lt;=12,SUMIFS('ON Data'!N:N,'ON Data'!$D:$D,$A$4,'ON Data'!$E:$E,1),SUMIFS('ON Data'!N:N,'ON Data'!$E:$E,1)/'ON Data'!$D$3),1)</f>
        <v>0</v>
      </c>
      <c r="K6" s="264">
        <f xml:space="preserve">
TRUNC(IF($A$4&lt;=12,SUMIFS('ON Data'!O:O,'ON Data'!$D:$D,$A$4,'ON Data'!$E:$E,1),SUMIFS('ON Data'!O:O,'ON Data'!$E:$E,1)/'ON Data'!$D$3),1)</f>
        <v>0</v>
      </c>
      <c r="L6" s="264">
        <f xml:space="preserve">
TRUNC(IF($A$4&lt;=12,SUMIFS('ON Data'!P:P,'ON Data'!$D:$D,$A$4,'ON Data'!$E:$E,1),SUMIFS('ON Data'!P:P,'ON Data'!$E:$E,1)/'ON Data'!$D$3),1)</f>
        <v>0</v>
      </c>
      <c r="M6" s="264">
        <f xml:space="preserve">
TRUNC(IF($A$4&lt;=12,SUMIFS('ON Data'!Q:Q,'ON Data'!$D:$D,$A$4,'ON Data'!$E:$E,1),SUMIFS('ON Data'!Q:Q,'ON Data'!$E:$E,1)/'ON Data'!$D$3),1)</f>
        <v>0</v>
      </c>
      <c r="N6" s="264">
        <f xml:space="preserve">
TRUNC(IF($A$4&lt;=12,SUMIFS('ON Data'!R:R,'ON Data'!$D:$D,$A$4,'ON Data'!$E:$E,1),SUMIFS('ON Data'!R:R,'ON Data'!$E:$E,1)/'ON Data'!$D$3),1)</f>
        <v>0</v>
      </c>
      <c r="O6" s="264">
        <f xml:space="preserve">
TRUNC(IF($A$4&lt;=12,SUMIFS('ON Data'!S:S,'ON Data'!$D:$D,$A$4,'ON Data'!$E:$E,1),SUMIFS('ON Data'!S:S,'ON Data'!$E:$E,1)/'ON Data'!$D$3),1)</f>
        <v>0</v>
      </c>
      <c r="P6" s="264">
        <f xml:space="preserve">
TRUNC(IF($A$4&lt;=12,SUMIFS('ON Data'!T:T,'ON Data'!$D:$D,$A$4,'ON Data'!$E:$E,1),SUMIFS('ON Data'!T:T,'ON Data'!$E:$E,1)/'ON Data'!$D$3),1)</f>
        <v>0</v>
      </c>
      <c r="Q6" s="264">
        <f xml:space="preserve">
TRUNC(IF($A$4&lt;=12,SUMIFS('ON Data'!U:U,'ON Data'!$D:$D,$A$4,'ON Data'!$E:$E,1),SUMIFS('ON Data'!U:U,'ON Data'!$E:$E,1)/'ON Data'!$D$3),1)</f>
        <v>0</v>
      </c>
      <c r="R6" s="264">
        <f xml:space="preserve">
TRUNC(IF($A$4&lt;=12,SUMIFS('ON Data'!V:V,'ON Data'!$D:$D,$A$4,'ON Data'!$E:$E,1),SUMIFS('ON Data'!V:V,'ON Data'!$E:$E,1)/'ON Data'!$D$3),1)</f>
        <v>0</v>
      </c>
      <c r="S6" s="264">
        <f xml:space="preserve">
TRUNC(IF($A$4&lt;=12,SUMIFS('ON Data'!W:W,'ON Data'!$D:$D,$A$4,'ON Data'!$E:$E,1),SUMIFS('ON Data'!W:W,'ON Data'!$E:$E,1)/'ON Data'!$D$3),1)</f>
        <v>19</v>
      </c>
      <c r="T6" s="264">
        <f xml:space="preserve">
TRUNC(IF($A$4&lt;=12,SUMIFS('ON Data'!X:X,'ON Data'!$D:$D,$A$4,'ON Data'!$E:$E,1),SUMIFS('ON Data'!X:X,'ON Data'!$E:$E,1)/'ON Data'!$D$3),1)</f>
        <v>0</v>
      </c>
      <c r="U6" s="264">
        <f xml:space="preserve">
TRUNC(IF($A$4&lt;=12,SUMIFS('ON Data'!Y:Y,'ON Data'!$D:$D,$A$4,'ON Data'!$E:$E,1),SUMIFS('ON Data'!Y:Y,'ON Data'!$E:$E,1)/'ON Data'!$D$3),1)</f>
        <v>0</v>
      </c>
      <c r="V6" s="264">
        <f xml:space="preserve">
TRUNC(IF($A$4&lt;=12,SUMIFS('ON Data'!Z:Z,'ON Data'!$D:$D,$A$4,'ON Data'!$E:$E,1),SUMIFS('ON Data'!Z:Z,'ON Data'!$E:$E,1)/'ON Data'!$D$3),1)</f>
        <v>0</v>
      </c>
      <c r="W6" s="264">
        <f xml:space="preserve">
TRUNC(IF($A$4&lt;=12,SUMIFS('ON Data'!AA:AA,'ON Data'!$D:$D,$A$4,'ON Data'!$E:$E,1),SUMIFS('ON Data'!AA:AA,'ON Data'!$E:$E,1)/'ON Data'!$D$3),1)</f>
        <v>0</v>
      </c>
      <c r="X6" s="264">
        <f xml:space="preserve">
TRUNC(IF($A$4&lt;=12,SUMIFS('ON Data'!AB:AB,'ON Data'!$D:$D,$A$4,'ON Data'!$E:$E,1),SUMIFS('ON Data'!AB:AB,'ON Data'!$E:$E,1)/'ON Data'!$D$3),1)</f>
        <v>0</v>
      </c>
      <c r="Y6" s="264">
        <f xml:space="preserve">
TRUNC(IF($A$4&lt;=12,SUMIFS('ON Data'!AC:AC,'ON Data'!$D:$D,$A$4,'ON Data'!$E:$E,1),SUMIFS('ON Data'!AC:AC,'ON Data'!$E:$E,1)/'ON Data'!$D$3),1)</f>
        <v>0</v>
      </c>
      <c r="Z6" s="264">
        <f xml:space="preserve">
TRUNC(IF($A$4&lt;=12,SUMIFS('ON Data'!AD:AD,'ON Data'!$D:$D,$A$4,'ON Data'!$E:$E,1),SUMIFS('ON Data'!AD:AD,'ON Data'!$E:$E,1)/'ON Data'!$D$3),1)</f>
        <v>0</v>
      </c>
      <c r="AA6" s="264">
        <f xml:space="preserve">
TRUNC(IF($A$4&lt;=12,SUMIFS('ON Data'!AE:AE,'ON Data'!$D:$D,$A$4,'ON Data'!$E:$E,1),SUMIFS('ON Data'!AE:AE,'ON Data'!$E:$E,1)/'ON Data'!$D$3),1)</f>
        <v>0</v>
      </c>
      <c r="AB6" s="264">
        <f xml:space="preserve">
TRUNC(IF($A$4&lt;=12,SUMIFS('ON Data'!AF:AF,'ON Data'!$D:$D,$A$4,'ON Data'!$E:$E,1),SUMIFS('ON Data'!AF:AF,'ON Data'!$E:$E,1)/'ON Data'!$D$3),1)</f>
        <v>0</v>
      </c>
      <c r="AC6" s="264">
        <f xml:space="preserve">
TRUNC(IF($A$4&lt;=12,SUMIFS('ON Data'!AG:AG,'ON Data'!$D:$D,$A$4,'ON Data'!$E:$E,1),SUMIFS('ON Data'!AG:AG,'ON Data'!$E:$E,1)/'ON Data'!$D$3),1)</f>
        <v>0</v>
      </c>
      <c r="AD6" s="264">
        <f xml:space="preserve">
TRUNC(IF($A$4&lt;=12,SUMIFS('ON Data'!AH:AH,'ON Data'!$D:$D,$A$4,'ON Data'!$E:$E,1),SUMIFS('ON Data'!AH:AH,'ON Data'!$E:$E,1)/'ON Data'!$D$3),1)</f>
        <v>0</v>
      </c>
      <c r="AE6" s="264">
        <f xml:space="preserve">
TRUNC(IF($A$4&lt;=12,SUMIFS('ON Data'!AI:AI,'ON Data'!$D:$D,$A$4,'ON Data'!$E:$E,1),SUMIFS('ON Data'!AI:AI,'ON Data'!$E:$E,1)/'ON Data'!$D$3),1)</f>
        <v>0</v>
      </c>
      <c r="AF6" s="264">
        <f xml:space="preserve">
TRUNC(IF($A$4&lt;=12,SUMIFS('ON Data'!AJ:AJ,'ON Data'!$D:$D,$A$4,'ON Data'!$E:$E,1),SUMIFS('ON Data'!AJ:AJ,'ON Data'!$E:$E,1)/'ON Data'!$D$3),1)</f>
        <v>0</v>
      </c>
      <c r="AG6" s="264">
        <f xml:space="preserve">
TRUNC(IF($A$4&lt;=12,SUMIFS('ON Data'!AK:AK,'ON Data'!$D:$D,$A$4,'ON Data'!$E:$E,1),SUMIFS('ON Data'!AK:AK,'ON Data'!$E:$E,1)/'ON Data'!$D$3),1)</f>
        <v>0</v>
      </c>
      <c r="AH6" s="264">
        <f xml:space="preserve">
TRUNC(IF($A$4&lt;=12,SUMIFS('ON Data'!AL:AL,'ON Data'!$D:$D,$A$4,'ON Data'!$E:$E,1),SUMIFS('ON Data'!AL:AL,'ON Data'!$E:$E,1)/'ON Data'!$D$3),1)</f>
        <v>0</v>
      </c>
      <c r="AI6" s="264">
        <f xml:space="preserve">
TRUNC(IF($A$4&lt;=12,SUMIFS('ON Data'!AM:AM,'ON Data'!$D:$D,$A$4,'ON Data'!$E:$E,1),SUMIFS('ON Data'!AM:AM,'ON Data'!$E:$E,1)/'ON Data'!$D$3),1)</f>
        <v>0</v>
      </c>
      <c r="AJ6" s="264">
        <f xml:space="preserve">
TRUNC(IF($A$4&lt;=12,SUMIFS('ON Data'!AN:AN,'ON Data'!$D:$D,$A$4,'ON Data'!$E:$E,1),SUMIFS('ON Data'!AN:AN,'ON Data'!$E:$E,1)/'ON Data'!$D$3),1)</f>
        <v>0</v>
      </c>
      <c r="AK6" s="264">
        <f xml:space="preserve">
TRUNC(IF($A$4&lt;=12,SUMIFS('ON Data'!AO:AO,'ON Data'!$D:$D,$A$4,'ON Data'!$E:$E,1),SUMIFS('ON Data'!AO:AO,'ON Data'!$E:$E,1)/'ON Data'!$D$3),1)</f>
        <v>0</v>
      </c>
      <c r="AL6" s="264">
        <f xml:space="preserve">
TRUNC(IF($A$4&lt;=12,SUMIFS('ON Data'!AP:AP,'ON Data'!$D:$D,$A$4,'ON Data'!$E:$E,1),SUMIFS('ON Data'!AP:AP,'ON Data'!$E:$E,1)/'ON Data'!$D$3),1)</f>
        <v>0</v>
      </c>
      <c r="AM6" s="264">
        <f xml:space="preserve">
TRUNC(IF($A$4&lt;=12,SUMIFS('ON Data'!AQ:AQ,'ON Data'!$D:$D,$A$4,'ON Data'!$E:$E,1),SUMIFS('ON Data'!AQ:AQ,'ON Data'!$E:$E,1)/'ON Data'!$D$3),1)</f>
        <v>0</v>
      </c>
      <c r="AN6" s="264">
        <f xml:space="preserve">
TRUNC(IF($A$4&lt;=12,SUMIFS('ON Data'!AR:AR,'ON Data'!$D:$D,$A$4,'ON Data'!$E:$E,1),SUMIFS('ON Data'!AR:AR,'ON Data'!$E:$E,1)/'ON Data'!$D$3),1)</f>
        <v>0</v>
      </c>
      <c r="AO6" s="264">
        <f xml:space="preserve">
TRUNC(IF($A$4&lt;=12,SUMIFS('ON Data'!AS:AS,'ON Data'!$D:$D,$A$4,'ON Data'!$E:$E,1),SUMIFS('ON Data'!AS:AS,'ON Data'!$E:$E,1)/'ON Data'!$D$3),1)</f>
        <v>0</v>
      </c>
      <c r="AP6" s="264">
        <f xml:space="preserve">
TRUNC(IF($A$4&lt;=12,SUMIFS('ON Data'!AT:AT,'ON Data'!$D:$D,$A$4,'ON Data'!$E:$E,1),SUMIFS('ON Data'!AT:AT,'ON Data'!$E:$E,1)/'ON Data'!$D$3),1)</f>
        <v>3</v>
      </c>
      <c r="AQ6" s="264">
        <f xml:space="preserve">
TRUNC(IF($A$4&lt;=12,SUMIFS('ON Data'!AU:AU,'ON Data'!$D:$D,$A$4,'ON Data'!$E:$E,1),SUMIFS('ON Data'!AU:AU,'ON Data'!$E:$E,1)/'ON Data'!$D$3),1)</f>
        <v>0</v>
      </c>
      <c r="AR6" s="264">
        <f xml:space="preserve">
TRUNC(IF($A$4&lt;=12,SUMIFS('ON Data'!AV:AV,'ON Data'!$D:$D,$A$4,'ON Data'!$E:$E,1),SUMIFS('ON Data'!AV:AV,'ON Data'!$E:$E,1)/'ON Data'!$D$3),1)</f>
        <v>0</v>
      </c>
      <c r="AS6" s="519">
        <f xml:space="preserve">
TRUNC(IF($A$4&lt;=12,SUMIFS('ON Data'!AW:AW,'ON Data'!$D:$D,$A$4,'ON Data'!$E:$E,1),SUMIFS('ON Data'!AW:AW,'ON Data'!$E:$E,1)/'ON Data'!$D$3),1)</f>
        <v>5</v>
      </c>
      <c r="AT6" s="531"/>
    </row>
    <row r="7" spans="1:46" ht="15" hidden="1" outlineLevel="1" thickBot="1" x14ac:dyDescent="0.35">
      <c r="A7" s="222" t="s">
        <v>94</v>
      </c>
      <c r="B7" s="262"/>
      <c r="C7" s="265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264"/>
      <c r="AF7" s="264"/>
      <c r="AG7" s="264"/>
      <c r="AH7" s="264"/>
      <c r="AI7" s="264"/>
      <c r="AJ7" s="264"/>
      <c r="AK7" s="264"/>
      <c r="AL7" s="264"/>
      <c r="AM7" s="264"/>
      <c r="AN7" s="265"/>
      <c r="AO7" s="264"/>
      <c r="AP7" s="264"/>
      <c r="AQ7" s="264"/>
      <c r="AR7" s="264"/>
      <c r="AS7" s="519"/>
      <c r="AT7" s="531"/>
    </row>
    <row r="8" spans="1:46" ht="15" hidden="1" outlineLevel="1" thickBot="1" x14ac:dyDescent="0.35">
      <c r="A8" s="222" t="s">
        <v>62</v>
      </c>
      <c r="B8" s="262"/>
      <c r="C8" s="265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5"/>
      <c r="AO8" s="264"/>
      <c r="AP8" s="264"/>
      <c r="AQ8" s="264"/>
      <c r="AR8" s="264"/>
      <c r="AS8" s="519"/>
      <c r="AT8" s="531"/>
    </row>
    <row r="9" spans="1:46" ht="15" hidden="1" outlineLevel="1" thickBot="1" x14ac:dyDescent="0.35">
      <c r="A9" s="223" t="s">
        <v>55</v>
      </c>
      <c r="B9" s="266"/>
      <c r="C9" s="267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268"/>
      <c r="AM9" s="268"/>
      <c r="AN9" s="267"/>
      <c r="AO9" s="268"/>
      <c r="AP9" s="268"/>
      <c r="AQ9" s="268"/>
      <c r="AR9" s="268"/>
      <c r="AS9" s="520"/>
      <c r="AT9" s="531"/>
    </row>
    <row r="10" spans="1:46" x14ac:dyDescent="0.3">
      <c r="A10" s="224" t="s">
        <v>165</v>
      </c>
      <c r="B10" s="239"/>
      <c r="C10" s="240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305"/>
      <c r="AO10" s="241"/>
      <c r="AP10" s="241"/>
      <c r="AQ10" s="241"/>
      <c r="AR10" s="241"/>
      <c r="AS10" s="521"/>
      <c r="AT10" s="531"/>
    </row>
    <row r="11" spans="1:46" x14ac:dyDescent="0.3">
      <c r="A11" s="225" t="s">
        <v>166</v>
      </c>
      <c r="B11" s="242">
        <f xml:space="preserve">
IF($A$4&lt;=12,SUMIFS('ON Data'!F:F,'ON Data'!$D:$D,$A$4,'ON Data'!$E:$E,2),SUMIFS('ON Data'!F:F,'ON Data'!$E:$E,2))</f>
        <v>9414</v>
      </c>
      <c r="C11" s="243">
        <f xml:space="preserve">
IF($A$4&lt;=12,SUMIFS('ON Data'!G:G,'ON Data'!$D:$D,$A$4,'ON Data'!$E:$E,2),SUMIFS('ON Data'!G:G,'ON Data'!$E:$E,2))</f>
        <v>0</v>
      </c>
      <c r="D11" s="244">
        <f xml:space="preserve">
IF($A$4&lt;=12,SUMIFS('ON Data'!H:H,'ON Data'!$D:$D,$A$4,'ON Data'!$E:$E,2),SUMIFS('ON Data'!H:H,'ON Data'!$E:$E,2))</f>
        <v>0</v>
      </c>
      <c r="E11" s="244"/>
      <c r="F11" s="244">
        <f xml:space="preserve">
IF($A$4&lt;=12,SUMIFS('ON Data'!J:J,'ON Data'!$D:$D,$A$4,'ON Data'!$E:$E,2),SUMIFS('ON Data'!J:J,'ON Data'!$E:$E,2))</f>
        <v>62.400000000000006</v>
      </c>
      <c r="G11" s="244">
        <f xml:space="preserve">
IF($A$4&lt;=12,SUMIFS('ON Data'!K:K,'ON Data'!$D:$D,$A$4,'ON Data'!$E:$E,2),SUMIFS('ON Data'!K:K,'ON Data'!$E:$E,2))</f>
        <v>0</v>
      </c>
      <c r="H11" s="244">
        <f xml:space="preserve">
IF($A$4&lt;=12,SUMIFS('ON Data'!L:L,'ON Data'!$D:$D,$A$4,'ON Data'!$E:$E,2),SUMIFS('ON Data'!L:L,'ON Data'!$E:$E,2))</f>
        <v>1147.5999999999999</v>
      </c>
      <c r="I11" s="244">
        <f xml:space="preserve">
IF($A$4&lt;=12,SUMIFS('ON Data'!M:M,'ON Data'!$D:$D,$A$4,'ON Data'!$E:$E,2),SUMIFS('ON Data'!M:M,'ON Data'!$E:$E,2))</f>
        <v>0</v>
      </c>
      <c r="J11" s="244">
        <f xml:space="preserve">
IF($A$4&lt;=12,SUMIFS('ON Data'!N:N,'ON Data'!$D:$D,$A$4,'ON Data'!$E:$E,2),SUMIFS('ON Data'!N:N,'ON Data'!$E:$E,2))</f>
        <v>0</v>
      </c>
      <c r="K11" s="244">
        <f xml:space="preserve">
IF($A$4&lt;=12,SUMIFS('ON Data'!O:O,'ON Data'!$D:$D,$A$4,'ON Data'!$E:$E,2),SUMIFS('ON Data'!O:O,'ON Data'!$E:$E,2))</f>
        <v>0</v>
      </c>
      <c r="L11" s="244">
        <f xml:space="preserve">
IF($A$4&lt;=12,SUMIFS('ON Data'!P:P,'ON Data'!$D:$D,$A$4,'ON Data'!$E:$E,2),SUMIFS('ON Data'!P:P,'ON Data'!$E:$E,2))</f>
        <v>0</v>
      </c>
      <c r="M11" s="244">
        <f xml:space="preserve">
IF($A$4&lt;=12,SUMIFS('ON Data'!Q:Q,'ON Data'!$D:$D,$A$4,'ON Data'!$E:$E,2),SUMIFS('ON Data'!Q:Q,'ON Data'!$E:$E,2))</f>
        <v>0</v>
      </c>
      <c r="N11" s="244">
        <f xml:space="preserve">
IF($A$4&lt;=12,SUMIFS('ON Data'!R:R,'ON Data'!$D:$D,$A$4,'ON Data'!$E:$E,2),SUMIFS('ON Data'!R:R,'ON Data'!$E:$E,2))</f>
        <v>0</v>
      </c>
      <c r="O11" s="244">
        <f xml:space="preserve">
IF($A$4&lt;=12,SUMIFS('ON Data'!S:S,'ON Data'!$D:$D,$A$4,'ON Data'!$E:$E,2),SUMIFS('ON Data'!S:S,'ON Data'!$E:$E,2))</f>
        <v>0</v>
      </c>
      <c r="P11" s="244">
        <f xml:space="preserve">
IF($A$4&lt;=12,SUMIFS('ON Data'!T:T,'ON Data'!$D:$D,$A$4,'ON Data'!$E:$E,2),SUMIFS('ON Data'!T:T,'ON Data'!$E:$E,2))</f>
        <v>0</v>
      </c>
      <c r="Q11" s="244">
        <f xml:space="preserve">
IF($A$4&lt;=12,SUMIFS('ON Data'!U:U,'ON Data'!$D:$D,$A$4,'ON Data'!$E:$E,2),SUMIFS('ON Data'!U:U,'ON Data'!$E:$E,2))</f>
        <v>0</v>
      </c>
      <c r="R11" s="244">
        <f xml:space="preserve">
IF($A$4&lt;=12,SUMIFS('ON Data'!V:V,'ON Data'!$D:$D,$A$4,'ON Data'!$E:$E,2),SUMIFS('ON Data'!V:V,'ON Data'!$E:$E,2))</f>
        <v>0</v>
      </c>
      <c r="S11" s="244">
        <f xml:space="preserve">
IF($A$4&lt;=12,SUMIFS('ON Data'!W:W,'ON Data'!$D:$D,$A$4,'ON Data'!$E:$E,2),SUMIFS('ON Data'!W:W,'ON Data'!$E:$E,2))</f>
        <v>5548</v>
      </c>
      <c r="T11" s="244">
        <f xml:space="preserve">
IF($A$4&lt;=12,SUMIFS('ON Data'!X:X,'ON Data'!$D:$D,$A$4,'ON Data'!$E:$E,2),SUMIFS('ON Data'!X:X,'ON Data'!$E:$E,2))</f>
        <v>0</v>
      </c>
      <c r="U11" s="244">
        <f xml:space="preserve">
IF($A$4&lt;=12,SUMIFS('ON Data'!Y:Y,'ON Data'!$D:$D,$A$4,'ON Data'!$E:$E,2),SUMIFS('ON Data'!Y:Y,'ON Data'!$E:$E,2))</f>
        <v>0</v>
      </c>
      <c r="V11" s="244">
        <f xml:space="preserve">
IF($A$4&lt;=12,SUMIFS('ON Data'!Z:Z,'ON Data'!$D:$D,$A$4,'ON Data'!$E:$E,2),SUMIFS('ON Data'!Z:Z,'ON Data'!$E:$E,2))</f>
        <v>0</v>
      </c>
      <c r="W11" s="244">
        <f xml:space="preserve">
IF($A$4&lt;=12,SUMIFS('ON Data'!AA:AA,'ON Data'!$D:$D,$A$4,'ON Data'!$E:$E,2),SUMIFS('ON Data'!AA:AA,'ON Data'!$E:$E,2))</f>
        <v>0</v>
      </c>
      <c r="X11" s="244">
        <f xml:space="preserve">
IF($A$4&lt;=12,SUMIFS('ON Data'!AB:AB,'ON Data'!$D:$D,$A$4,'ON Data'!$E:$E,2),SUMIFS('ON Data'!AB:AB,'ON Data'!$E:$E,2))</f>
        <v>0</v>
      </c>
      <c r="Y11" s="244">
        <f xml:space="preserve">
IF($A$4&lt;=12,SUMIFS('ON Data'!AC:AC,'ON Data'!$D:$D,$A$4,'ON Data'!$E:$E,2),SUMIFS('ON Data'!AC:AC,'ON Data'!$E:$E,2))</f>
        <v>0</v>
      </c>
      <c r="Z11" s="244">
        <f xml:space="preserve">
IF($A$4&lt;=12,SUMIFS('ON Data'!AD:AD,'ON Data'!$D:$D,$A$4,'ON Data'!$E:$E,2),SUMIFS('ON Data'!AD:AD,'ON Data'!$E:$E,2))</f>
        <v>0</v>
      </c>
      <c r="AA11" s="244"/>
      <c r="AB11" s="244">
        <f xml:space="preserve">
IF($A$4&lt;=12,SUMIFS('ON Data'!AF:AF,'ON Data'!$D:$D,$A$4,'ON Data'!$E:$E,2),SUMIFS('ON Data'!AF:AF,'ON Data'!$E:$E,2))</f>
        <v>0</v>
      </c>
      <c r="AC11" s="244">
        <f xml:space="preserve">
IF($A$4&lt;=12,SUMIFS('ON Data'!AG:AG,'ON Data'!$D:$D,$A$4,'ON Data'!$E:$E,2),SUMIFS('ON Data'!AG:AG,'ON Data'!$E:$E,2))</f>
        <v>0</v>
      </c>
      <c r="AD11" s="244">
        <f xml:space="preserve">
IF($A$4&lt;=12,SUMIFS('ON Data'!AH:AH,'ON Data'!$D:$D,$A$4,'ON Data'!$E:$E,2),SUMIFS('ON Data'!AH:AH,'ON Data'!$E:$E,2))</f>
        <v>0</v>
      </c>
      <c r="AE11" s="244">
        <f xml:space="preserve">
IF($A$4&lt;=12,SUMIFS('ON Data'!AI:AI,'ON Data'!$D:$D,$A$4,'ON Data'!$E:$E,2),SUMIFS('ON Data'!AI:AI,'ON Data'!$E:$E,2))</f>
        <v>0</v>
      </c>
      <c r="AF11" s="244">
        <f xml:space="preserve">
IF($A$4&lt;=12,SUMIFS('ON Data'!AJ:AJ,'ON Data'!$D:$D,$A$4,'ON Data'!$E:$E,2),SUMIFS('ON Data'!AJ:AJ,'ON Data'!$E:$E,2))</f>
        <v>0</v>
      </c>
      <c r="AG11" s="244">
        <f xml:space="preserve">
IF($A$4&lt;=12,SUMIFS('ON Data'!AK:AK,'ON Data'!$D:$D,$A$4,'ON Data'!$E:$E,2),SUMIFS('ON Data'!AK:AK,'ON Data'!$E:$E,2))</f>
        <v>0</v>
      </c>
      <c r="AH11" s="244">
        <f xml:space="preserve">
IF($A$4&lt;=12,SUMIFS('ON Data'!AL:AL,'ON Data'!$D:$D,$A$4,'ON Data'!$E:$E,2),SUMIFS('ON Data'!AL:AL,'ON Data'!$E:$E,2))</f>
        <v>0</v>
      </c>
      <c r="AI11" s="244">
        <f xml:space="preserve">
IF($A$4&lt;=12,SUMIFS('ON Data'!AM:AM,'ON Data'!$D:$D,$A$4,'ON Data'!$E:$E,2),SUMIFS('ON Data'!AM:AM,'ON Data'!$E:$E,2))</f>
        <v>0</v>
      </c>
      <c r="AJ11" s="244">
        <f xml:space="preserve">
IF($A$4&lt;=12,SUMIFS('ON Data'!AN:AN,'ON Data'!$D:$D,$A$4,'ON Data'!$E:$E,2),SUMIFS('ON Data'!AN:AN,'ON Data'!$E:$E,2))</f>
        <v>0</v>
      </c>
      <c r="AK11" s="244">
        <f xml:space="preserve">
IF($A$4&lt;=12,SUMIFS('ON Data'!AO:AO,'ON Data'!$D:$D,$A$4,'ON Data'!$E:$E,2),SUMIFS('ON Data'!AO:AO,'ON Data'!$E:$E,2))</f>
        <v>0</v>
      </c>
      <c r="AL11" s="244">
        <f xml:space="preserve">
IF($A$4&lt;=12,SUMIFS('ON Data'!AP:AP,'ON Data'!$D:$D,$A$4,'ON Data'!$E:$E,2),SUMIFS('ON Data'!AP:AP,'ON Data'!$E:$E,2))</f>
        <v>0</v>
      </c>
      <c r="AM11" s="244">
        <f xml:space="preserve">
IF($A$4&lt;=12,SUMIFS('ON Data'!AQ:AQ,'ON Data'!$D:$D,$A$4,'ON Data'!$E:$E,2),SUMIFS('ON Data'!AQ:AQ,'ON Data'!$E:$E,2))</f>
        <v>0</v>
      </c>
      <c r="AN11" s="243">
        <f xml:space="preserve">
IF($A$4&lt;=12,SUMIFS('ON Data'!AR:AR,'ON Data'!$D:$D,$A$4,'ON Data'!$E:$E,2),SUMIFS('ON Data'!AR:AR,'ON Data'!$E:$E,2))</f>
        <v>0</v>
      </c>
      <c r="AO11" s="244">
        <f xml:space="preserve">
IF($A$4&lt;=12,SUMIFS('ON Data'!AS:AS,'ON Data'!$D:$D,$A$4,'ON Data'!$E:$E,2),SUMIFS('ON Data'!AS:AS,'ON Data'!$E:$E,2))</f>
        <v>0</v>
      </c>
      <c r="AP11" s="244">
        <f xml:space="preserve">
IF($A$4&lt;=12,SUMIFS('ON Data'!AT:AT,'ON Data'!$D:$D,$A$4,'ON Data'!$E:$E,2),SUMIFS('ON Data'!AT:AT,'ON Data'!$E:$E,2))</f>
        <v>912</v>
      </c>
      <c r="AQ11" s="244">
        <f xml:space="preserve">
IF($A$4&lt;=12,SUMIFS('ON Data'!AU:AU,'ON Data'!$D:$D,$A$4,'ON Data'!$E:$E,2),SUMIFS('ON Data'!AU:AU,'ON Data'!$E:$E,2))</f>
        <v>0</v>
      </c>
      <c r="AR11" s="244">
        <f xml:space="preserve">
IF($A$4&lt;=12,SUMIFS('ON Data'!AV:AV,'ON Data'!$D:$D,$A$4,'ON Data'!$E:$E,2),SUMIFS('ON Data'!AV:AV,'ON Data'!$E:$E,2))</f>
        <v>0</v>
      </c>
      <c r="AS11" s="522">
        <f xml:space="preserve">
IF($A$4&lt;=12,SUMIFS('ON Data'!AW:AW,'ON Data'!$D:$D,$A$4,'ON Data'!$E:$E,2),SUMIFS('ON Data'!AW:AW,'ON Data'!$E:$E,2))</f>
        <v>1464</v>
      </c>
      <c r="AT11" s="531"/>
    </row>
    <row r="12" spans="1:46" x14ac:dyDescent="0.3">
      <c r="A12" s="225" t="s">
        <v>167</v>
      </c>
      <c r="B12" s="242">
        <f xml:space="preserve">
IF($A$4&lt;=12,SUMIFS('ON Data'!F:F,'ON Data'!$D:$D,$A$4,'ON Data'!$E:$E,3),SUMIFS('ON Data'!F:F,'ON Data'!$E:$E,3))</f>
        <v>46.8</v>
      </c>
      <c r="C12" s="243">
        <f xml:space="preserve">
IF($A$4&lt;=12,SUMIFS('ON Data'!G:G,'ON Data'!$D:$D,$A$4,'ON Data'!$E:$E,3),SUMIFS('ON Data'!G:G,'ON Data'!$E:$E,3))</f>
        <v>0</v>
      </c>
      <c r="D12" s="244">
        <f xml:space="preserve">
IF($A$4&lt;=12,SUMIFS('ON Data'!H:H,'ON Data'!$D:$D,$A$4,'ON Data'!$E:$E,3),SUMIFS('ON Data'!H:H,'ON Data'!$E:$E,3))</f>
        <v>0</v>
      </c>
      <c r="E12" s="244"/>
      <c r="F12" s="244">
        <f xml:space="preserve">
IF($A$4&lt;=12,SUMIFS('ON Data'!J:J,'ON Data'!$D:$D,$A$4,'ON Data'!$E:$E,3),SUMIFS('ON Data'!J:J,'ON Data'!$E:$E,3))</f>
        <v>11</v>
      </c>
      <c r="G12" s="244">
        <f xml:space="preserve">
IF($A$4&lt;=12,SUMIFS('ON Data'!K:K,'ON Data'!$D:$D,$A$4,'ON Data'!$E:$E,3),SUMIFS('ON Data'!K:K,'ON Data'!$E:$E,3))</f>
        <v>0</v>
      </c>
      <c r="H12" s="244">
        <f xml:space="preserve">
IF($A$4&lt;=12,SUMIFS('ON Data'!L:L,'ON Data'!$D:$D,$A$4,'ON Data'!$E:$E,3),SUMIFS('ON Data'!L:L,'ON Data'!$E:$E,3))</f>
        <v>35.799999999999997</v>
      </c>
      <c r="I12" s="244">
        <f xml:space="preserve">
IF($A$4&lt;=12,SUMIFS('ON Data'!M:M,'ON Data'!$D:$D,$A$4,'ON Data'!$E:$E,3),SUMIFS('ON Data'!M:M,'ON Data'!$E:$E,3))</f>
        <v>0</v>
      </c>
      <c r="J12" s="244">
        <f xml:space="preserve">
IF($A$4&lt;=12,SUMIFS('ON Data'!N:N,'ON Data'!$D:$D,$A$4,'ON Data'!$E:$E,3),SUMIFS('ON Data'!N:N,'ON Data'!$E:$E,3))</f>
        <v>0</v>
      </c>
      <c r="K12" s="244">
        <f xml:space="preserve">
IF($A$4&lt;=12,SUMIFS('ON Data'!O:O,'ON Data'!$D:$D,$A$4,'ON Data'!$E:$E,3),SUMIFS('ON Data'!O:O,'ON Data'!$E:$E,3))</f>
        <v>0</v>
      </c>
      <c r="L12" s="244">
        <f xml:space="preserve">
IF($A$4&lt;=12,SUMIFS('ON Data'!P:P,'ON Data'!$D:$D,$A$4,'ON Data'!$E:$E,3),SUMIFS('ON Data'!P:P,'ON Data'!$E:$E,3))</f>
        <v>0</v>
      </c>
      <c r="M12" s="244">
        <f xml:space="preserve">
IF($A$4&lt;=12,SUMIFS('ON Data'!Q:Q,'ON Data'!$D:$D,$A$4,'ON Data'!$E:$E,3),SUMIFS('ON Data'!Q:Q,'ON Data'!$E:$E,3))</f>
        <v>0</v>
      </c>
      <c r="N12" s="244">
        <f xml:space="preserve">
IF($A$4&lt;=12,SUMIFS('ON Data'!R:R,'ON Data'!$D:$D,$A$4,'ON Data'!$E:$E,3),SUMIFS('ON Data'!R:R,'ON Data'!$E:$E,3))</f>
        <v>0</v>
      </c>
      <c r="O12" s="244">
        <f xml:space="preserve">
IF($A$4&lt;=12,SUMIFS('ON Data'!S:S,'ON Data'!$D:$D,$A$4,'ON Data'!$E:$E,3),SUMIFS('ON Data'!S:S,'ON Data'!$E:$E,3))</f>
        <v>0</v>
      </c>
      <c r="P12" s="244">
        <f xml:space="preserve">
IF($A$4&lt;=12,SUMIFS('ON Data'!T:T,'ON Data'!$D:$D,$A$4,'ON Data'!$E:$E,3),SUMIFS('ON Data'!T:T,'ON Data'!$E:$E,3))</f>
        <v>0</v>
      </c>
      <c r="Q12" s="244">
        <f xml:space="preserve">
IF($A$4&lt;=12,SUMIFS('ON Data'!U:U,'ON Data'!$D:$D,$A$4,'ON Data'!$E:$E,3),SUMIFS('ON Data'!U:U,'ON Data'!$E:$E,3))</f>
        <v>0</v>
      </c>
      <c r="R12" s="244">
        <f xml:space="preserve">
IF($A$4&lt;=12,SUMIFS('ON Data'!V:V,'ON Data'!$D:$D,$A$4,'ON Data'!$E:$E,3),SUMIFS('ON Data'!V:V,'ON Data'!$E:$E,3))</f>
        <v>0</v>
      </c>
      <c r="S12" s="244">
        <f xml:space="preserve">
IF($A$4&lt;=12,SUMIFS('ON Data'!W:W,'ON Data'!$D:$D,$A$4,'ON Data'!$E:$E,3),SUMIFS('ON Data'!W:W,'ON Data'!$E:$E,3))</f>
        <v>0</v>
      </c>
      <c r="T12" s="244">
        <f xml:space="preserve">
IF($A$4&lt;=12,SUMIFS('ON Data'!X:X,'ON Data'!$D:$D,$A$4,'ON Data'!$E:$E,3),SUMIFS('ON Data'!X:X,'ON Data'!$E:$E,3))</f>
        <v>0</v>
      </c>
      <c r="U12" s="244">
        <f xml:space="preserve">
IF($A$4&lt;=12,SUMIFS('ON Data'!Y:Y,'ON Data'!$D:$D,$A$4,'ON Data'!$E:$E,3),SUMIFS('ON Data'!Y:Y,'ON Data'!$E:$E,3))</f>
        <v>0</v>
      </c>
      <c r="V12" s="244">
        <f xml:space="preserve">
IF($A$4&lt;=12,SUMIFS('ON Data'!Z:Z,'ON Data'!$D:$D,$A$4,'ON Data'!$E:$E,3),SUMIFS('ON Data'!Z:Z,'ON Data'!$E:$E,3))</f>
        <v>0</v>
      </c>
      <c r="W12" s="244">
        <f xml:space="preserve">
IF($A$4&lt;=12,SUMIFS('ON Data'!AA:AA,'ON Data'!$D:$D,$A$4,'ON Data'!$E:$E,3),SUMIFS('ON Data'!AA:AA,'ON Data'!$E:$E,3))</f>
        <v>0</v>
      </c>
      <c r="X12" s="244">
        <f xml:space="preserve">
IF($A$4&lt;=12,SUMIFS('ON Data'!AB:AB,'ON Data'!$D:$D,$A$4,'ON Data'!$E:$E,3),SUMIFS('ON Data'!AB:AB,'ON Data'!$E:$E,3))</f>
        <v>0</v>
      </c>
      <c r="Y12" s="244">
        <f xml:space="preserve">
IF($A$4&lt;=12,SUMIFS('ON Data'!AC:AC,'ON Data'!$D:$D,$A$4,'ON Data'!$E:$E,3),SUMIFS('ON Data'!AC:AC,'ON Data'!$E:$E,3))</f>
        <v>0</v>
      </c>
      <c r="Z12" s="244">
        <f xml:space="preserve">
IF($A$4&lt;=12,SUMIFS('ON Data'!AD:AD,'ON Data'!$D:$D,$A$4,'ON Data'!$E:$E,3),SUMIFS('ON Data'!AD:AD,'ON Data'!$E:$E,3))</f>
        <v>0</v>
      </c>
      <c r="AA12" s="244"/>
      <c r="AB12" s="244">
        <f xml:space="preserve">
IF($A$4&lt;=12,SUMIFS('ON Data'!AF:AF,'ON Data'!$D:$D,$A$4,'ON Data'!$E:$E,3),SUMIFS('ON Data'!AF:AF,'ON Data'!$E:$E,3))</f>
        <v>0</v>
      </c>
      <c r="AC12" s="244">
        <f xml:space="preserve">
IF($A$4&lt;=12,SUMIFS('ON Data'!AG:AG,'ON Data'!$D:$D,$A$4,'ON Data'!$E:$E,3),SUMIFS('ON Data'!AG:AG,'ON Data'!$E:$E,3))</f>
        <v>0</v>
      </c>
      <c r="AD12" s="244">
        <f xml:space="preserve">
IF($A$4&lt;=12,SUMIFS('ON Data'!AH:AH,'ON Data'!$D:$D,$A$4,'ON Data'!$E:$E,3),SUMIFS('ON Data'!AH:AH,'ON Data'!$E:$E,3))</f>
        <v>0</v>
      </c>
      <c r="AE12" s="244">
        <f xml:space="preserve">
IF($A$4&lt;=12,SUMIFS('ON Data'!AI:AI,'ON Data'!$D:$D,$A$4,'ON Data'!$E:$E,3),SUMIFS('ON Data'!AI:AI,'ON Data'!$E:$E,3))</f>
        <v>0</v>
      </c>
      <c r="AF12" s="244">
        <f xml:space="preserve">
IF($A$4&lt;=12,SUMIFS('ON Data'!AJ:AJ,'ON Data'!$D:$D,$A$4,'ON Data'!$E:$E,3),SUMIFS('ON Data'!AJ:AJ,'ON Data'!$E:$E,3))</f>
        <v>0</v>
      </c>
      <c r="AG12" s="244">
        <f xml:space="preserve">
IF($A$4&lt;=12,SUMIFS('ON Data'!AK:AK,'ON Data'!$D:$D,$A$4,'ON Data'!$E:$E,3),SUMIFS('ON Data'!AK:AK,'ON Data'!$E:$E,3))</f>
        <v>0</v>
      </c>
      <c r="AH12" s="244">
        <f xml:space="preserve">
IF($A$4&lt;=12,SUMIFS('ON Data'!AL:AL,'ON Data'!$D:$D,$A$4,'ON Data'!$E:$E,3),SUMIFS('ON Data'!AL:AL,'ON Data'!$E:$E,3))</f>
        <v>0</v>
      </c>
      <c r="AI12" s="244">
        <f xml:space="preserve">
IF($A$4&lt;=12,SUMIFS('ON Data'!AM:AM,'ON Data'!$D:$D,$A$4,'ON Data'!$E:$E,3),SUMIFS('ON Data'!AM:AM,'ON Data'!$E:$E,3))</f>
        <v>0</v>
      </c>
      <c r="AJ12" s="244">
        <f xml:space="preserve">
IF($A$4&lt;=12,SUMIFS('ON Data'!AN:AN,'ON Data'!$D:$D,$A$4,'ON Data'!$E:$E,3),SUMIFS('ON Data'!AN:AN,'ON Data'!$E:$E,3))</f>
        <v>0</v>
      </c>
      <c r="AK12" s="244">
        <f xml:space="preserve">
IF($A$4&lt;=12,SUMIFS('ON Data'!AO:AO,'ON Data'!$D:$D,$A$4,'ON Data'!$E:$E,3),SUMIFS('ON Data'!AO:AO,'ON Data'!$E:$E,3))</f>
        <v>0</v>
      </c>
      <c r="AL12" s="244">
        <f xml:space="preserve">
IF($A$4&lt;=12,SUMIFS('ON Data'!AP:AP,'ON Data'!$D:$D,$A$4,'ON Data'!$E:$E,3),SUMIFS('ON Data'!AP:AP,'ON Data'!$E:$E,3))</f>
        <v>0</v>
      </c>
      <c r="AM12" s="244">
        <f xml:space="preserve">
IF($A$4&lt;=12,SUMIFS('ON Data'!AQ:AQ,'ON Data'!$D:$D,$A$4,'ON Data'!$E:$E,3),SUMIFS('ON Data'!AQ:AQ,'ON Data'!$E:$E,3))</f>
        <v>0</v>
      </c>
      <c r="AN12" s="243">
        <f xml:space="preserve">
IF($A$4&lt;=12,SUMIFS('ON Data'!AR:AR,'ON Data'!$D:$D,$A$4,'ON Data'!$E:$E,3),SUMIFS('ON Data'!AR:AR,'ON Data'!$E:$E,3))</f>
        <v>0</v>
      </c>
      <c r="AO12" s="244">
        <f xml:space="preserve">
IF($A$4&lt;=12,SUMIFS('ON Data'!AS:AS,'ON Data'!$D:$D,$A$4,'ON Data'!$E:$E,3),SUMIFS('ON Data'!AS:AS,'ON Data'!$E:$E,3))</f>
        <v>0</v>
      </c>
      <c r="AP12" s="244">
        <f xml:space="preserve">
IF($A$4&lt;=12,SUMIFS('ON Data'!AT:AT,'ON Data'!$D:$D,$A$4,'ON Data'!$E:$E,3),SUMIFS('ON Data'!AT:AT,'ON Data'!$E:$E,3))</f>
        <v>0</v>
      </c>
      <c r="AQ12" s="244">
        <f xml:space="preserve">
IF($A$4&lt;=12,SUMIFS('ON Data'!AU:AU,'ON Data'!$D:$D,$A$4,'ON Data'!$E:$E,3),SUMIFS('ON Data'!AU:AU,'ON Data'!$E:$E,3))</f>
        <v>0</v>
      </c>
      <c r="AR12" s="244">
        <f xml:space="preserve">
IF($A$4&lt;=12,SUMIFS('ON Data'!AV:AV,'ON Data'!$D:$D,$A$4,'ON Data'!$E:$E,3),SUMIFS('ON Data'!AV:AV,'ON Data'!$E:$E,3))</f>
        <v>0</v>
      </c>
      <c r="AS12" s="522">
        <f xml:space="preserve">
IF($A$4&lt;=12,SUMIFS('ON Data'!AW:AW,'ON Data'!$D:$D,$A$4,'ON Data'!$E:$E,3),SUMIFS('ON Data'!AW:AW,'ON Data'!$E:$E,3))</f>
        <v>0</v>
      </c>
      <c r="AT12" s="531"/>
    </row>
    <row r="13" spans="1:46" x14ac:dyDescent="0.3">
      <c r="A13" s="225" t="s">
        <v>174</v>
      </c>
      <c r="B13" s="242">
        <f xml:space="preserve">
IF($A$4&lt;=12,SUMIFS('ON Data'!F:F,'ON Data'!$D:$D,$A$4,'ON Data'!$E:$E,4),SUMIFS('ON Data'!F:F,'ON Data'!$E:$E,4))</f>
        <v>359</v>
      </c>
      <c r="C13" s="243">
        <f xml:space="preserve">
IF($A$4&lt;=12,SUMIFS('ON Data'!G:G,'ON Data'!$D:$D,$A$4,'ON Data'!$E:$E,4),SUMIFS('ON Data'!G:G,'ON Data'!$E:$E,4))</f>
        <v>0</v>
      </c>
      <c r="D13" s="244">
        <f xml:space="preserve">
IF($A$4&lt;=12,SUMIFS('ON Data'!H:H,'ON Data'!$D:$D,$A$4,'ON Data'!$E:$E,4),SUMIFS('ON Data'!H:H,'ON Data'!$E:$E,4))</f>
        <v>0</v>
      </c>
      <c r="E13" s="244"/>
      <c r="F13" s="244">
        <f xml:space="preserve">
IF($A$4&lt;=12,SUMIFS('ON Data'!J:J,'ON Data'!$D:$D,$A$4,'ON Data'!$E:$E,4),SUMIFS('ON Data'!J:J,'ON Data'!$E:$E,4))</f>
        <v>0</v>
      </c>
      <c r="G13" s="244">
        <f xml:space="preserve">
IF($A$4&lt;=12,SUMIFS('ON Data'!K:K,'ON Data'!$D:$D,$A$4,'ON Data'!$E:$E,4),SUMIFS('ON Data'!K:K,'ON Data'!$E:$E,4))</f>
        <v>0</v>
      </c>
      <c r="H13" s="244">
        <f xml:space="preserve">
IF($A$4&lt;=12,SUMIFS('ON Data'!L:L,'ON Data'!$D:$D,$A$4,'ON Data'!$E:$E,4),SUMIFS('ON Data'!L:L,'ON Data'!$E:$E,4))</f>
        <v>16</v>
      </c>
      <c r="I13" s="244">
        <f xml:space="preserve">
IF($A$4&lt;=12,SUMIFS('ON Data'!M:M,'ON Data'!$D:$D,$A$4,'ON Data'!$E:$E,4),SUMIFS('ON Data'!M:M,'ON Data'!$E:$E,4))</f>
        <v>0</v>
      </c>
      <c r="J13" s="244">
        <f xml:space="preserve">
IF($A$4&lt;=12,SUMIFS('ON Data'!N:N,'ON Data'!$D:$D,$A$4,'ON Data'!$E:$E,4),SUMIFS('ON Data'!N:N,'ON Data'!$E:$E,4))</f>
        <v>0</v>
      </c>
      <c r="K13" s="244">
        <f xml:space="preserve">
IF($A$4&lt;=12,SUMIFS('ON Data'!O:O,'ON Data'!$D:$D,$A$4,'ON Data'!$E:$E,4),SUMIFS('ON Data'!O:O,'ON Data'!$E:$E,4))</f>
        <v>0</v>
      </c>
      <c r="L13" s="244">
        <f xml:space="preserve">
IF($A$4&lt;=12,SUMIFS('ON Data'!P:P,'ON Data'!$D:$D,$A$4,'ON Data'!$E:$E,4),SUMIFS('ON Data'!P:P,'ON Data'!$E:$E,4))</f>
        <v>0</v>
      </c>
      <c r="M13" s="244">
        <f xml:space="preserve">
IF($A$4&lt;=12,SUMIFS('ON Data'!Q:Q,'ON Data'!$D:$D,$A$4,'ON Data'!$E:$E,4),SUMIFS('ON Data'!Q:Q,'ON Data'!$E:$E,4))</f>
        <v>0</v>
      </c>
      <c r="N13" s="244">
        <f xml:space="preserve">
IF($A$4&lt;=12,SUMIFS('ON Data'!R:R,'ON Data'!$D:$D,$A$4,'ON Data'!$E:$E,4),SUMIFS('ON Data'!R:R,'ON Data'!$E:$E,4))</f>
        <v>0</v>
      </c>
      <c r="O13" s="244">
        <f xml:space="preserve">
IF($A$4&lt;=12,SUMIFS('ON Data'!S:S,'ON Data'!$D:$D,$A$4,'ON Data'!$E:$E,4),SUMIFS('ON Data'!S:S,'ON Data'!$E:$E,4))</f>
        <v>0</v>
      </c>
      <c r="P13" s="244">
        <f xml:space="preserve">
IF($A$4&lt;=12,SUMIFS('ON Data'!T:T,'ON Data'!$D:$D,$A$4,'ON Data'!$E:$E,4),SUMIFS('ON Data'!T:T,'ON Data'!$E:$E,4))</f>
        <v>0</v>
      </c>
      <c r="Q13" s="244">
        <f xml:space="preserve">
IF($A$4&lt;=12,SUMIFS('ON Data'!U:U,'ON Data'!$D:$D,$A$4,'ON Data'!$E:$E,4),SUMIFS('ON Data'!U:U,'ON Data'!$E:$E,4))</f>
        <v>0</v>
      </c>
      <c r="R13" s="244">
        <f xml:space="preserve">
IF($A$4&lt;=12,SUMIFS('ON Data'!V:V,'ON Data'!$D:$D,$A$4,'ON Data'!$E:$E,4),SUMIFS('ON Data'!V:V,'ON Data'!$E:$E,4))</f>
        <v>0</v>
      </c>
      <c r="S13" s="244">
        <f xml:space="preserve">
IF($A$4&lt;=12,SUMIFS('ON Data'!W:W,'ON Data'!$D:$D,$A$4,'ON Data'!$E:$E,4),SUMIFS('ON Data'!W:W,'ON Data'!$E:$E,4))</f>
        <v>246</v>
      </c>
      <c r="T13" s="244">
        <f xml:space="preserve">
IF($A$4&lt;=12,SUMIFS('ON Data'!X:X,'ON Data'!$D:$D,$A$4,'ON Data'!$E:$E,4),SUMIFS('ON Data'!X:X,'ON Data'!$E:$E,4))</f>
        <v>0</v>
      </c>
      <c r="U13" s="244">
        <f xml:space="preserve">
IF($A$4&lt;=12,SUMIFS('ON Data'!Y:Y,'ON Data'!$D:$D,$A$4,'ON Data'!$E:$E,4),SUMIFS('ON Data'!Y:Y,'ON Data'!$E:$E,4))</f>
        <v>0</v>
      </c>
      <c r="V13" s="244">
        <f xml:space="preserve">
IF($A$4&lt;=12,SUMIFS('ON Data'!Z:Z,'ON Data'!$D:$D,$A$4,'ON Data'!$E:$E,4),SUMIFS('ON Data'!Z:Z,'ON Data'!$E:$E,4))</f>
        <v>0</v>
      </c>
      <c r="W13" s="244">
        <f xml:space="preserve">
IF($A$4&lt;=12,SUMIFS('ON Data'!AA:AA,'ON Data'!$D:$D,$A$4,'ON Data'!$E:$E,4),SUMIFS('ON Data'!AA:AA,'ON Data'!$E:$E,4))</f>
        <v>0</v>
      </c>
      <c r="X13" s="244">
        <f xml:space="preserve">
IF($A$4&lt;=12,SUMIFS('ON Data'!AB:AB,'ON Data'!$D:$D,$A$4,'ON Data'!$E:$E,4),SUMIFS('ON Data'!AB:AB,'ON Data'!$E:$E,4))</f>
        <v>0</v>
      </c>
      <c r="Y13" s="244">
        <f xml:space="preserve">
IF($A$4&lt;=12,SUMIFS('ON Data'!AC:AC,'ON Data'!$D:$D,$A$4,'ON Data'!$E:$E,4),SUMIFS('ON Data'!AC:AC,'ON Data'!$E:$E,4))</f>
        <v>0</v>
      </c>
      <c r="Z13" s="244">
        <f xml:space="preserve">
IF($A$4&lt;=12,SUMIFS('ON Data'!AD:AD,'ON Data'!$D:$D,$A$4,'ON Data'!$E:$E,4),SUMIFS('ON Data'!AD:AD,'ON Data'!$E:$E,4))</f>
        <v>0</v>
      </c>
      <c r="AA13" s="244"/>
      <c r="AB13" s="244">
        <f xml:space="preserve">
IF($A$4&lt;=12,SUMIFS('ON Data'!AF:AF,'ON Data'!$D:$D,$A$4,'ON Data'!$E:$E,4),SUMIFS('ON Data'!AF:AF,'ON Data'!$E:$E,4))</f>
        <v>0</v>
      </c>
      <c r="AC13" s="244">
        <f xml:space="preserve">
IF($A$4&lt;=12,SUMIFS('ON Data'!AG:AG,'ON Data'!$D:$D,$A$4,'ON Data'!$E:$E,4),SUMIFS('ON Data'!AG:AG,'ON Data'!$E:$E,4))</f>
        <v>0</v>
      </c>
      <c r="AD13" s="244">
        <f xml:space="preserve">
IF($A$4&lt;=12,SUMIFS('ON Data'!AH:AH,'ON Data'!$D:$D,$A$4,'ON Data'!$E:$E,4),SUMIFS('ON Data'!AH:AH,'ON Data'!$E:$E,4))</f>
        <v>0</v>
      </c>
      <c r="AE13" s="244">
        <f xml:space="preserve">
IF($A$4&lt;=12,SUMIFS('ON Data'!AI:AI,'ON Data'!$D:$D,$A$4,'ON Data'!$E:$E,4),SUMIFS('ON Data'!AI:AI,'ON Data'!$E:$E,4))</f>
        <v>0</v>
      </c>
      <c r="AF13" s="244">
        <f xml:space="preserve">
IF($A$4&lt;=12,SUMIFS('ON Data'!AJ:AJ,'ON Data'!$D:$D,$A$4,'ON Data'!$E:$E,4),SUMIFS('ON Data'!AJ:AJ,'ON Data'!$E:$E,4))</f>
        <v>0</v>
      </c>
      <c r="AG13" s="244">
        <f xml:space="preserve">
IF($A$4&lt;=12,SUMIFS('ON Data'!AK:AK,'ON Data'!$D:$D,$A$4,'ON Data'!$E:$E,4),SUMIFS('ON Data'!AK:AK,'ON Data'!$E:$E,4))</f>
        <v>0</v>
      </c>
      <c r="AH13" s="244">
        <f xml:space="preserve">
IF($A$4&lt;=12,SUMIFS('ON Data'!AL:AL,'ON Data'!$D:$D,$A$4,'ON Data'!$E:$E,4),SUMIFS('ON Data'!AL:AL,'ON Data'!$E:$E,4))</f>
        <v>0</v>
      </c>
      <c r="AI13" s="244">
        <f xml:space="preserve">
IF($A$4&lt;=12,SUMIFS('ON Data'!AM:AM,'ON Data'!$D:$D,$A$4,'ON Data'!$E:$E,4),SUMIFS('ON Data'!AM:AM,'ON Data'!$E:$E,4))</f>
        <v>0</v>
      </c>
      <c r="AJ13" s="244">
        <f xml:space="preserve">
IF($A$4&lt;=12,SUMIFS('ON Data'!AN:AN,'ON Data'!$D:$D,$A$4,'ON Data'!$E:$E,4),SUMIFS('ON Data'!AN:AN,'ON Data'!$E:$E,4))</f>
        <v>0</v>
      </c>
      <c r="AK13" s="244">
        <f xml:space="preserve">
IF($A$4&lt;=12,SUMIFS('ON Data'!AO:AO,'ON Data'!$D:$D,$A$4,'ON Data'!$E:$E,4),SUMIFS('ON Data'!AO:AO,'ON Data'!$E:$E,4))</f>
        <v>0</v>
      </c>
      <c r="AL13" s="244">
        <f xml:space="preserve">
IF($A$4&lt;=12,SUMIFS('ON Data'!AP:AP,'ON Data'!$D:$D,$A$4,'ON Data'!$E:$E,4),SUMIFS('ON Data'!AP:AP,'ON Data'!$E:$E,4))</f>
        <v>0</v>
      </c>
      <c r="AM13" s="244">
        <f xml:space="preserve">
IF($A$4&lt;=12,SUMIFS('ON Data'!AQ:AQ,'ON Data'!$D:$D,$A$4,'ON Data'!$E:$E,4),SUMIFS('ON Data'!AQ:AQ,'ON Data'!$E:$E,4))</f>
        <v>0</v>
      </c>
      <c r="AN13" s="243">
        <f xml:space="preserve">
IF($A$4&lt;=12,SUMIFS('ON Data'!AR:AR,'ON Data'!$D:$D,$A$4,'ON Data'!$E:$E,4),SUMIFS('ON Data'!AR:AR,'ON Data'!$E:$E,4))</f>
        <v>0</v>
      </c>
      <c r="AO13" s="244">
        <f xml:space="preserve">
IF($A$4&lt;=12,SUMIFS('ON Data'!AS:AS,'ON Data'!$D:$D,$A$4,'ON Data'!$E:$E,4),SUMIFS('ON Data'!AS:AS,'ON Data'!$E:$E,4))</f>
        <v>0</v>
      </c>
      <c r="AP13" s="244">
        <f xml:space="preserve">
IF($A$4&lt;=12,SUMIFS('ON Data'!AT:AT,'ON Data'!$D:$D,$A$4,'ON Data'!$E:$E,4),SUMIFS('ON Data'!AT:AT,'ON Data'!$E:$E,4))</f>
        <v>0</v>
      </c>
      <c r="AQ13" s="244">
        <f xml:space="preserve">
IF($A$4&lt;=12,SUMIFS('ON Data'!AU:AU,'ON Data'!$D:$D,$A$4,'ON Data'!$E:$E,4),SUMIFS('ON Data'!AU:AU,'ON Data'!$E:$E,4))</f>
        <v>0</v>
      </c>
      <c r="AR13" s="244">
        <f xml:space="preserve">
IF($A$4&lt;=12,SUMIFS('ON Data'!AV:AV,'ON Data'!$D:$D,$A$4,'ON Data'!$E:$E,4),SUMIFS('ON Data'!AV:AV,'ON Data'!$E:$E,4))</f>
        <v>0</v>
      </c>
      <c r="AS13" s="522">
        <f xml:space="preserve">
IF($A$4&lt;=12,SUMIFS('ON Data'!AW:AW,'ON Data'!$D:$D,$A$4,'ON Data'!$E:$E,4),SUMIFS('ON Data'!AW:AW,'ON Data'!$E:$E,4))</f>
        <v>97</v>
      </c>
      <c r="AT13" s="531"/>
    </row>
    <row r="14" spans="1:46" ht="15" thickBot="1" x14ac:dyDescent="0.35">
      <c r="A14" s="226" t="s">
        <v>168</v>
      </c>
      <c r="B14" s="246">
        <f xml:space="preserve">
IF($A$4&lt;=12,SUMIFS('ON Data'!F:F,'ON Data'!$D:$D,$A$4,'ON Data'!$E:$E,5),SUMIFS('ON Data'!F:F,'ON Data'!$E:$E,5))</f>
        <v>0</v>
      </c>
      <c r="C14" s="247">
        <f xml:space="preserve">
IF($A$4&lt;=12,SUMIFS('ON Data'!G:G,'ON Data'!$D:$D,$A$4,'ON Data'!$E:$E,5),SUMIFS('ON Data'!G:G,'ON Data'!$E:$E,5))</f>
        <v>0</v>
      </c>
      <c r="D14" s="248">
        <f xml:space="preserve">
IF($A$4&lt;=12,SUMIFS('ON Data'!H:H,'ON Data'!$D:$D,$A$4,'ON Data'!$E:$E,5),SUMIFS('ON Data'!H:H,'ON Data'!$E:$E,5))</f>
        <v>0</v>
      </c>
      <c r="E14" s="248"/>
      <c r="F14" s="248">
        <f xml:space="preserve">
IF($A$4&lt;=12,SUMIFS('ON Data'!J:J,'ON Data'!$D:$D,$A$4,'ON Data'!$E:$E,5),SUMIFS('ON Data'!J:J,'ON Data'!$E:$E,5))</f>
        <v>0</v>
      </c>
      <c r="G14" s="248">
        <f xml:space="preserve">
IF($A$4&lt;=12,SUMIFS('ON Data'!K:K,'ON Data'!$D:$D,$A$4,'ON Data'!$E:$E,5),SUMIFS('ON Data'!K:K,'ON Data'!$E:$E,5))</f>
        <v>0</v>
      </c>
      <c r="H14" s="248">
        <f xml:space="preserve">
IF($A$4&lt;=12,SUMIFS('ON Data'!L:L,'ON Data'!$D:$D,$A$4,'ON Data'!$E:$E,5),SUMIFS('ON Data'!L:L,'ON Data'!$E:$E,5))</f>
        <v>0</v>
      </c>
      <c r="I14" s="248">
        <f xml:space="preserve">
IF($A$4&lt;=12,SUMIFS('ON Data'!M:M,'ON Data'!$D:$D,$A$4,'ON Data'!$E:$E,5),SUMIFS('ON Data'!M:M,'ON Data'!$E:$E,5))</f>
        <v>0</v>
      </c>
      <c r="J14" s="248">
        <f xml:space="preserve">
IF($A$4&lt;=12,SUMIFS('ON Data'!N:N,'ON Data'!$D:$D,$A$4,'ON Data'!$E:$E,5),SUMIFS('ON Data'!N:N,'ON Data'!$E:$E,5))</f>
        <v>0</v>
      </c>
      <c r="K14" s="248">
        <f xml:space="preserve">
IF($A$4&lt;=12,SUMIFS('ON Data'!O:O,'ON Data'!$D:$D,$A$4,'ON Data'!$E:$E,5),SUMIFS('ON Data'!O:O,'ON Data'!$E:$E,5))</f>
        <v>0</v>
      </c>
      <c r="L14" s="248">
        <f xml:space="preserve">
IF($A$4&lt;=12,SUMIFS('ON Data'!P:P,'ON Data'!$D:$D,$A$4,'ON Data'!$E:$E,5),SUMIFS('ON Data'!P:P,'ON Data'!$E:$E,5))</f>
        <v>0</v>
      </c>
      <c r="M14" s="248">
        <f xml:space="preserve">
IF($A$4&lt;=12,SUMIFS('ON Data'!Q:Q,'ON Data'!$D:$D,$A$4,'ON Data'!$E:$E,5),SUMIFS('ON Data'!Q:Q,'ON Data'!$E:$E,5))</f>
        <v>0</v>
      </c>
      <c r="N14" s="248">
        <f xml:space="preserve">
IF($A$4&lt;=12,SUMIFS('ON Data'!R:R,'ON Data'!$D:$D,$A$4,'ON Data'!$E:$E,5),SUMIFS('ON Data'!R:R,'ON Data'!$E:$E,5))</f>
        <v>0</v>
      </c>
      <c r="O14" s="248">
        <f xml:space="preserve">
IF($A$4&lt;=12,SUMIFS('ON Data'!S:S,'ON Data'!$D:$D,$A$4,'ON Data'!$E:$E,5),SUMIFS('ON Data'!S:S,'ON Data'!$E:$E,5))</f>
        <v>0</v>
      </c>
      <c r="P14" s="248">
        <f xml:space="preserve">
IF($A$4&lt;=12,SUMIFS('ON Data'!T:T,'ON Data'!$D:$D,$A$4,'ON Data'!$E:$E,5),SUMIFS('ON Data'!T:T,'ON Data'!$E:$E,5))</f>
        <v>0</v>
      </c>
      <c r="Q14" s="248">
        <f xml:space="preserve">
IF($A$4&lt;=12,SUMIFS('ON Data'!U:U,'ON Data'!$D:$D,$A$4,'ON Data'!$E:$E,5),SUMIFS('ON Data'!U:U,'ON Data'!$E:$E,5))</f>
        <v>0</v>
      </c>
      <c r="R14" s="248">
        <f xml:space="preserve">
IF($A$4&lt;=12,SUMIFS('ON Data'!V:V,'ON Data'!$D:$D,$A$4,'ON Data'!$E:$E,5),SUMIFS('ON Data'!V:V,'ON Data'!$E:$E,5))</f>
        <v>0</v>
      </c>
      <c r="S14" s="248">
        <f xml:space="preserve">
IF($A$4&lt;=12,SUMIFS('ON Data'!W:W,'ON Data'!$D:$D,$A$4,'ON Data'!$E:$E,5),SUMIFS('ON Data'!W:W,'ON Data'!$E:$E,5))</f>
        <v>0</v>
      </c>
      <c r="T14" s="248">
        <f xml:space="preserve">
IF($A$4&lt;=12,SUMIFS('ON Data'!X:X,'ON Data'!$D:$D,$A$4,'ON Data'!$E:$E,5),SUMIFS('ON Data'!X:X,'ON Data'!$E:$E,5))</f>
        <v>0</v>
      </c>
      <c r="U14" s="248">
        <f xml:space="preserve">
IF($A$4&lt;=12,SUMIFS('ON Data'!Y:Y,'ON Data'!$D:$D,$A$4,'ON Data'!$E:$E,5),SUMIFS('ON Data'!Y:Y,'ON Data'!$E:$E,5))</f>
        <v>0</v>
      </c>
      <c r="V14" s="248">
        <f xml:space="preserve">
IF($A$4&lt;=12,SUMIFS('ON Data'!Z:Z,'ON Data'!$D:$D,$A$4,'ON Data'!$E:$E,5),SUMIFS('ON Data'!Z:Z,'ON Data'!$E:$E,5))</f>
        <v>0</v>
      </c>
      <c r="W14" s="248">
        <f xml:space="preserve">
IF($A$4&lt;=12,SUMIFS('ON Data'!AA:AA,'ON Data'!$D:$D,$A$4,'ON Data'!$E:$E,5),SUMIFS('ON Data'!AA:AA,'ON Data'!$E:$E,5))</f>
        <v>0</v>
      </c>
      <c r="X14" s="248">
        <f xml:space="preserve">
IF($A$4&lt;=12,SUMIFS('ON Data'!AB:AB,'ON Data'!$D:$D,$A$4,'ON Data'!$E:$E,5),SUMIFS('ON Data'!AB:AB,'ON Data'!$E:$E,5))</f>
        <v>0</v>
      </c>
      <c r="Y14" s="248">
        <f xml:space="preserve">
IF($A$4&lt;=12,SUMIFS('ON Data'!AC:AC,'ON Data'!$D:$D,$A$4,'ON Data'!$E:$E,5),SUMIFS('ON Data'!AC:AC,'ON Data'!$E:$E,5))</f>
        <v>0</v>
      </c>
      <c r="Z14" s="248">
        <f xml:space="preserve">
IF($A$4&lt;=12,SUMIFS('ON Data'!AD:AD,'ON Data'!$D:$D,$A$4,'ON Data'!$E:$E,5),SUMIFS('ON Data'!AD:AD,'ON Data'!$E:$E,5))</f>
        <v>0</v>
      </c>
      <c r="AA14" s="248"/>
      <c r="AB14" s="248">
        <f xml:space="preserve">
IF($A$4&lt;=12,SUMIFS('ON Data'!AF:AF,'ON Data'!$D:$D,$A$4,'ON Data'!$E:$E,5),SUMIFS('ON Data'!AF:AF,'ON Data'!$E:$E,5))</f>
        <v>0</v>
      </c>
      <c r="AC14" s="248">
        <f xml:space="preserve">
IF($A$4&lt;=12,SUMIFS('ON Data'!AG:AG,'ON Data'!$D:$D,$A$4,'ON Data'!$E:$E,5),SUMIFS('ON Data'!AG:AG,'ON Data'!$E:$E,5))</f>
        <v>0</v>
      </c>
      <c r="AD14" s="248">
        <f xml:space="preserve">
IF($A$4&lt;=12,SUMIFS('ON Data'!AH:AH,'ON Data'!$D:$D,$A$4,'ON Data'!$E:$E,5),SUMIFS('ON Data'!AH:AH,'ON Data'!$E:$E,5))</f>
        <v>0</v>
      </c>
      <c r="AE14" s="248">
        <f xml:space="preserve">
IF($A$4&lt;=12,SUMIFS('ON Data'!AI:AI,'ON Data'!$D:$D,$A$4,'ON Data'!$E:$E,5),SUMIFS('ON Data'!AI:AI,'ON Data'!$E:$E,5))</f>
        <v>0</v>
      </c>
      <c r="AF14" s="248">
        <f xml:space="preserve">
IF($A$4&lt;=12,SUMIFS('ON Data'!AJ:AJ,'ON Data'!$D:$D,$A$4,'ON Data'!$E:$E,5),SUMIFS('ON Data'!AJ:AJ,'ON Data'!$E:$E,5))</f>
        <v>0</v>
      </c>
      <c r="AG14" s="248">
        <f xml:space="preserve">
IF($A$4&lt;=12,SUMIFS('ON Data'!AK:AK,'ON Data'!$D:$D,$A$4,'ON Data'!$E:$E,5),SUMIFS('ON Data'!AK:AK,'ON Data'!$E:$E,5))</f>
        <v>0</v>
      </c>
      <c r="AH14" s="248">
        <f xml:space="preserve">
IF($A$4&lt;=12,SUMIFS('ON Data'!AL:AL,'ON Data'!$D:$D,$A$4,'ON Data'!$E:$E,5),SUMIFS('ON Data'!AL:AL,'ON Data'!$E:$E,5))</f>
        <v>0</v>
      </c>
      <c r="AI14" s="248">
        <f xml:space="preserve">
IF($A$4&lt;=12,SUMIFS('ON Data'!AM:AM,'ON Data'!$D:$D,$A$4,'ON Data'!$E:$E,5),SUMIFS('ON Data'!AM:AM,'ON Data'!$E:$E,5))</f>
        <v>0</v>
      </c>
      <c r="AJ14" s="248">
        <f xml:space="preserve">
IF($A$4&lt;=12,SUMIFS('ON Data'!AN:AN,'ON Data'!$D:$D,$A$4,'ON Data'!$E:$E,5),SUMIFS('ON Data'!AN:AN,'ON Data'!$E:$E,5))</f>
        <v>0</v>
      </c>
      <c r="AK14" s="248">
        <f xml:space="preserve">
IF($A$4&lt;=12,SUMIFS('ON Data'!AO:AO,'ON Data'!$D:$D,$A$4,'ON Data'!$E:$E,5),SUMIFS('ON Data'!AO:AO,'ON Data'!$E:$E,5))</f>
        <v>0</v>
      </c>
      <c r="AL14" s="248">
        <f xml:space="preserve">
IF($A$4&lt;=12,SUMIFS('ON Data'!AP:AP,'ON Data'!$D:$D,$A$4,'ON Data'!$E:$E,5),SUMIFS('ON Data'!AP:AP,'ON Data'!$E:$E,5))</f>
        <v>0</v>
      </c>
      <c r="AM14" s="248">
        <f xml:space="preserve">
IF($A$4&lt;=12,SUMIFS('ON Data'!AQ:AQ,'ON Data'!$D:$D,$A$4,'ON Data'!$E:$E,5),SUMIFS('ON Data'!AQ:AQ,'ON Data'!$E:$E,5))</f>
        <v>0</v>
      </c>
      <c r="AN14" s="247">
        <f xml:space="preserve">
IF($A$4&lt;=12,SUMIFS('ON Data'!AR:AR,'ON Data'!$D:$D,$A$4,'ON Data'!$E:$E,5),SUMIFS('ON Data'!AR:AR,'ON Data'!$E:$E,5))</f>
        <v>0</v>
      </c>
      <c r="AO14" s="248">
        <f xml:space="preserve">
IF($A$4&lt;=12,SUMIFS('ON Data'!AS:AS,'ON Data'!$D:$D,$A$4,'ON Data'!$E:$E,5),SUMIFS('ON Data'!AS:AS,'ON Data'!$E:$E,5))</f>
        <v>0</v>
      </c>
      <c r="AP14" s="248">
        <f xml:space="preserve">
IF($A$4&lt;=12,SUMIFS('ON Data'!AT:AT,'ON Data'!$D:$D,$A$4,'ON Data'!$E:$E,5),SUMIFS('ON Data'!AT:AT,'ON Data'!$E:$E,5))</f>
        <v>0</v>
      </c>
      <c r="AQ14" s="248">
        <f xml:space="preserve">
IF($A$4&lt;=12,SUMIFS('ON Data'!AU:AU,'ON Data'!$D:$D,$A$4,'ON Data'!$E:$E,5),SUMIFS('ON Data'!AU:AU,'ON Data'!$E:$E,5))</f>
        <v>0</v>
      </c>
      <c r="AR14" s="248">
        <f xml:space="preserve">
IF($A$4&lt;=12,SUMIFS('ON Data'!AV:AV,'ON Data'!$D:$D,$A$4,'ON Data'!$E:$E,5),SUMIFS('ON Data'!AV:AV,'ON Data'!$E:$E,5))</f>
        <v>0</v>
      </c>
      <c r="AS14" s="523">
        <f xml:space="preserve">
IF($A$4&lt;=12,SUMIFS('ON Data'!AW:AW,'ON Data'!$D:$D,$A$4,'ON Data'!$E:$E,5),SUMIFS('ON Data'!AW:AW,'ON Data'!$E:$E,5))</f>
        <v>0</v>
      </c>
      <c r="AT14" s="531"/>
    </row>
    <row r="15" spans="1:46" x14ac:dyDescent="0.3">
      <c r="A15" s="146" t="s">
        <v>178</v>
      </c>
      <c r="B15" s="250"/>
      <c r="C15" s="251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306"/>
      <c r="AO15" s="252"/>
      <c r="AP15" s="252"/>
      <c r="AQ15" s="252"/>
      <c r="AR15" s="252"/>
      <c r="AS15" s="524"/>
      <c r="AT15" s="531"/>
    </row>
    <row r="16" spans="1:46" x14ac:dyDescent="0.3">
      <c r="A16" s="227" t="s">
        <v>169</v>
      </c>
      <c r="B16" s="242">
        <f xml:space="preserve">
IF($A$4&lt;=12,SUMIFS('ON Data'!F:F,'ON Data'!$D:$D,$A$4,'ON Data'!$E:$E,7),SUMIFS('ON Data'!F:F,'ON Data'!$E:$E,7))</f>
        <v>0</v>
      </c>
      <c r="C16" s="243">
        <f xml:space="preserve">
IF($A$4&lt;=12,SUMIFS('ON Data'!G:G,'ON Data'!$D:$D,$A$4,'ON Data'!$E:$E,7),SUMIFS('ON Data'!G:G,'ON Data'!$E:$E,7))</f>
        <v>0</v>
      </c>
      <c r="D16" s="244">
        <f xml:space="preserve">
IF($A$4&lt;=12,SUMIFS('ON Data'!H:H,'ON Data'!$D:$D,$A$4,'ON Data'!$E:$E,7),SUMIFS('ON Data'!H:H,'ON Data'!$E:$E,7))</f>
        <v>0</v>
      </c>
      <c r="E16" s="244"/>
      <c r="F16" s="244">
        <f xml:space="preserve">
IF($A$4&lt;=12,SUMIFS('ON Data'!J:J,'ON Data'!$D:$D,$A$4,'ON Data'!$E:$E,7),SUMIFS('ON Data'!J:J,'ON Data'!$E:$E,7))</f>
        <v>0</v>
      </c>
      <c r="G16" s="244">
        <f xml:space="preserve">
IF($A$4&lt;=12,SUMIFS('ON Data'!K:K,'ON Data'!$D:$D,$A$4,'ON Data'!$E:$E,7),SUMIFS('ON Data'!K:K,'ON Data'!$E:$E,7))</f>
        <v>0</v>
      </c>
      <c r="H16" s="244">
        <f xml:space="preserve">
IF($A$4&lt;=12,SUMIFS('ON Data'!L:L,'ON Data'!$D:$D,$A$4,'ON Data'!$E:$E,7),SUMIFS('ON Data'!L:L,'ON Data'!$E:$E,7))</f>
        <v>0</v>
      </c>
      <c r="I16" s="244">
        <f xml:space="preserve">
IF($A$4&lt;=12,SUMIFS('ON Data'!M:M,'ON Data'!$D:$D,$A$4,'ON Data'!$E:$E,7),SUMIFS('ON Data'!M:M,'ON Data'!$E:$E,7))</f>
        <v>0</v>
      </c>
      <c r="J16" s="244">
        <f xml:space="preserve">
IF($A$4&lt;=12,SUMIFS('ON Data'!N:N,'ON Data'!$D:$D,$A$4,'ON Data'!$E:$E,7),SUMIFS('ON Data'!N:N,'ON Data'!$E:$E,7))</f>
        <v>0</v>
      </c>
      <c r="K16" s="244">
        <f xml:space="preserve">
IF($A$4&lt;=12,SUMIFS('ON Data'!O:O,'ON Data'!$D:$D,$A$4,'ON Data'!$E:$E,7),SUMIFS('ON Data'!O:O,'ON Data'!$E:$E,7))</f>
        <v>0</v>
      </c>
      <c r="L16" s="244">
        <f xml:space="preserve">
IF($A$4&lt;=12,SUMIFS('ON Data'!P:P,'ON Data'!$D:$D,$A$4,'ON Data'!$E:$E,7),SUMIFS('ON Data'!P:P,'ON Data'!$E:$E,7))</f>
        <v>0</v>
      </c>
      <c r="M16" s="244">
        <f xml:space="preserve">
IF($A$4&lt;=12,SUMIFS('ON Data'!Q:Q,'ON Data'!$D:$D,$A$4,'ON Data'!$E:$E,7),SUMIFS('ON Data'!Q:Q,'ON Data'!$E:$E,7))</f>
        <v>0</v>
      </c>
      <c r="N16" s="244">
        <f xml:space="preserve">
IF($A$4&lt;=12,SUMIFS('ON Data'!R:R,'ON Data'!$D:$D,$A$4,'ON Data'!$E:$E,7),SUMIFS('ON Data'!R:R,'ON Data'!$E:$E,7))</f>
        <v>0</v>
      </c>
      <c r="O16" s="244">
        <f xml:space="preserve">
IF($A$4&lt;=12,SUMIFS('ON Data'!S:S,'ON Data'!$D:$D,$A$4,'ON Data'!$E:$E,7),SUMIFS('ON Data'!S:S,'ON Data'!$E:$E,7))</f>
        <v>0</v>
      </c>
      <c r="P16" s="244">
        <f xml:space="preserve">
IF($A$4&lt;=12,SUMIFS('ON Data'!T:T,'ON Data'!$D:$D,$A$4,'ON Data'!$E:$E,7),SUMIFS('ON Data'!T:T,'ON Data'!$E:$E,7))</f>
        <v>0</v>
      </c>
      <c r="Q16" s="244">
        <f xml:space="preserve">
IF($A$4&lt;=12,SUMIFS('ON Data'!U:U,'ON Data'!$D:$D,$A$4,'ON Data'!$E:$E,7),SUMIFS('ON Data'!U:U,'ON Data'!$E:$E,7))</f>
        <v>0</v>
      </c>
      <c r="R16" s="244">
        <f xml:space="preserve">
IF($A$4&lt;=12,SUMIFS('ON Data'!V:V,'ON Data'!$D:$D,$A$4,'ON Data'!$E:$E,7),SUMIFS('ON Data'!V:V,'ON Data'!$E:$E,7))</f>
        <v>0</v>
      </c>
      <c r="S16" s="244">
        <f xml:space="preserve">
IF($A$4&lt;=12,SUMIFS('ON Data'!W:W,'ON Data'!$D:$D,$A$4,'ON Data'!$E:$E,7),SUMIFS('ON Data'!W:W,'ON Data'!$E:$E,7))</f>
        <v>0</v>
      </c>
      <c r="T16" s="244">
        <f xml:space="preserve">
IF($A$4&lt;=12,SUMIFS('ON Data'!X:X,'ON Data'!$D:$D,$A$4,'ON Data'!$E:$E,7),SUMIFS('ON Data'!X:X,'ON Data'!$E:$E,7))</f>
        <v>0</v>
      </c>
      <c r="U16" s="244">
        <f xml:space="preserve">
IF($A$4&lt;=12,SUMIFS('ON Data'!Y:Y,'ON Data'!$D:$D,$A$4,'ON Data'!$E:$E,7),SUMIFS('ON Data'!Y:Y,'ON Data'!$E:$E,7))</f>
        <v>0</v>
      </c>
      <c r="V16" s="244">
        <f xml:space="preserve">
IF($A$4&lt;=12,SUMIFS('ON Data'!Z:Z,'ON Data'!$D:$D,$A$4,'ON Data'!$E:$E,7),SUMIFS('ON Data'!Z:Z,'ON Data'!$E:$E,7))</f>
        <v>0</v>
      </c>
      <c r="W16" s="244">
        <f xml:space="preserve">
IF($A$4&lt;=12,SUMIFS('ON Data'!AA:AA,'ON Data'!$D:$D,$A$4,'ON Data'!$E:$E,7),SUMIFS('ON Data'!AA:AA,'ON Data'!$E:$E,7))</f>
        <v>0</v>
      </c>
      <c r="X16" s="244">
        <f xml:space="preserve">
IF($A$4&lt;=12,SUMIFS('ON Data'!AB:AB,'ON Data'!$D:$D,$A$4,'ON Data'!$E:$E,7),SUMIFS('ON Data'!AB:AB,'ON Data'!$E:$E,7))</f>
        <v>0</v>
      </c>
      <c r="Y16" s="244">
        <f xml:space="preserve">
IF($A$4&lt;=12,SUMIFS('ON Data'!AC:AC,'ON Data'!$D:$D,$A$4,'ON Data'!$E:$E,7),SUMIFS('ON Data'!AC:AC,'ON Data'!$E:$E,7))</f>
        <v>0</v>
      </c>
      <c r="Z16" s="244">
        <f xml:space="preserve">
IF($A$4&lt;=12,SUMIFS('ON Data'!AD:AD,'ON Data'!$D:$D,$A$4,'ON Data'!$E:$E,7),SUMIFS('ON Data'!AD:AD,'ON Data'!$E:$E,7))</f>
        <v>0</v>
      </c>
      <c r="AA16" s="244"/>
      <c r="AB16" s="244">
        <f xml:space="preserve">
IF($A$4&lt;=12,SUMIFS('ON Data'!AF:AF,'ON Data'!$D:$D,$A$4,'ON Data'!$E:$E,7),SUMIFS('ON Data'!AF:AF,'ON Data'!$E:$E,7))</f>
        <v>0</v>
      </c>
      <c r="AC16" s="244">
        <f xml:space="preserve">
IF($A$4&lt;=12,SUMIFS('ON Data'!AG:AG,'ON Data'!$D:$D,$A$4,'ON Data'!$E:$E,7),SUMIFS('ON Data'!AG:AG,'ON Data'!$E:$E,7))</f>
        <v>0</v>
      </c>
      <c r="AD16" s="244">
        <f xml:space="preserve">
IF($A$4&lt;=12,SUMIFS('ON Data'!AH:AH,'ON Data'!$D:$D,$A$4,'ON Data'!$E:$E,7),SUMIFS('ON Data'!AH:AH,'ON Data'!$E:$E,7))</f>
        <v>0</v>
      </c>
      <c r="AE16" s="244">
        <f xml:space="preserve">
IF($A$4&lt;=12,SUMIFS('ON Data'!AI:AI,'ON Data'!$D:$D,$A$4,'ON Data'!$E:$E,7),SUMIFS('ON Data'!AI:AI,'ON Data'!$E:$E,7))</f>
        <v>0</v>
      </c>
      <c r="AF16" s="244">
        <f xml:space="preserve">
IF($A$4&lt;=12,SUMIFS('ON Data'!AJ:AJ,'ON Data'!$D:$D,$A$4,'ON Data'!$E:$E,7),SUMIFS('ON Data'!AJ:AJ,'ON Data'!$E:$E,7))</f>
        <v>0</v>
      </c>
      <c r="AG16" s="244">
        <f xml:space="preserve">
IF($A$4&lt;=12,SUMIFS('ON Data'!AK:AK,'ON Data'!$D:$D,$A$4,'ON Data'!$E:$E,7),SUMIFS('ON Data'!AK:AK,'ON Data'!$E:$E,7))</f>
        <v>0</v>
      </c>
      <c r="AH16" s="244">
        <f xml:space="preserve">
IF($A$4&lt;=12,SUMIFS('ON Data'!AL:AL,'ON Data'!$D:$D,$A$4,'ON Data'!$E:$E,7),SUMIFS('ON Data'!AL:AL,'ON Data'!$E:$E,7))</f>
        <v>0</v>
      </c>
      <c r="AI16" s="244">
        <f xml:space="preserve">
IF($A$4&lt;=12,SUMIFS('ON Data'!AM:AM,'ON Data'!$D:$D,$A$4,'ON Data'!$E:$E,7),SUMIFS('ON Data'!AM:AM,'ON Data'!$E:$E,7))</f>
        <v>0</v>
      </c>
      <c r="AJ16" s="244">
        <f xml:space="preserve">
IF($A$4&lt;=12,SUMIFS('ON Data'!AN:AN,'ON Data'!$D:$D,$A$4,'ON Data'!$E:$E,7),SUMIFS('ON Data'!AN:AN,'ON Data'!$E:$E,7))</f>
        <v>0</v>
      </c>
      <c r="AK16" s="244">
        <f xml:space="preserve">
IF($A$4&lt;=12,SUMIFS('ON Data'!AO:AO,'ON Data'!$D:$D,$A$4,'ON Data'!$E:$E,7),SUMIFS('ON Data'!AO:AO,'ON Data'!$E:$E,7))</f>
        <v>0</v>
      </c>
      <c r="AL16" s="244">
        <f xml:space="preserve">
IF($A$4&lt;=12,SUMIFS('ON Data'!AP:AP,'ON Data'!$D:$D,$A$4,'ON Data'!$E:$E,7),SUMIFS('ON Data'!AP:AP,'ON Data'!$E:$E,7))</f>
        <v>0</v>
      </c>
      <c r="AM16" s="244">
        <f xml:space="preserve">
IF($A$4&lt;=12,SUMIFS('ON Data'!AQ:AQ,'ON Data'!$D:$D,$A$4,'ON Data'!$E:$E,7),SUMIFS('ON Data'!AQ:AQ,'ON Data'!$E:$E,7))</f>
        <v>0</v>
      </c>
      <c r="AN16" s="243">
        <f xml:space="preserve">
IF($A$4&lt;=12,SUMIFS('ON Data'!AR:AR,'ON Data'!$D:$D,$A$4,'ON Data'!$E:$E,7),SUMIFS('ON Data'!AR:AR,'ON Data'!$E:$E,7))</f>
        <v>0</v>
      </c>
      <c r="AO16" s="244">
        <f xml:space="preserve">
IF($A$4&lt;=12,SUMIFS('ON Data'!AS:AS,'ON Data'!$D:$D,$A$4,'ON Data'!$E:$E,7),SUMIFS('ON Data'!AS:AS,'ON Data'!$E:$E,7))</f>
        <v>0</v>
      </c>
      <c r="AP16" s="244">
        <f xml:space="preserve">
IF($A$4&lt;=12,SUMIFS('ON Data'!AT:AT,'ON Data'!$D:$D,$A$4,'ON Data'!$E:$E,7),SUMIFS('ON Data'!AT:AT,'ON Data'!$E:$E,7))</f>
        <v>0</v>
      </c>
      <c r="AQ16" s="244">
        <f xml:space="preserve">
IF($A$4&lt;=12,SUMIFS('ON Data'!AU:AU,'ON Data'!$D:$D,$A$4,'ON Data'!$E:$E,7),SUMIFS('ON Data'!AU:AU,'ON Data'!$E:$E,7))</f>
        <v>0</v>
      </c>
      <c r="AR16" s="244">
        <f xml:space="preserve">
IF($A$4&lt;=12,SUMIFS('ON Data'!AV:AV,'ON Data'!$D:$D,$A$4,'ON Data'!$E:$E,7),SUMIFS('ON Data'!AV:AV,'ON Data'!$E:$E,7))</f>
        <v>0</v>
      </c>
      <c r="AS16" s="522">
        <f xml:space="preserve">
IF($A$4&lt;=12,SUMIFS('ON Data'!AW:AW,'ON Data'!$D:$D,$A$4,'ON Data'!$E:$E,7),SUMIFS('ON Data'!AW:AW,'ON Data'!$E:$E,7))</f>
        <v>0</v>
      </c>
      <c r="AT16" s="531"/>
    </row>
    <row r="17" spans="1:46" x14ac:dyDescent="0.3">
      <c r="A17" s="227" t="s">
        <v>170</v>
      </c>
      <c r="B17" s="242">
        <f xml:space="preserve">
IF($A$4&lt;=12,SUMIFS('ON Data'!F:F,'ON Data'!$D:$D,$A$4,'ON Data'!$E:$E,8),SUMIFS('ON Data'!F:F,'ON Data'!$E:$E,8))</f>
        <v>0</v>
      </c>
      <c r="C17" s="243">
        <f xml:space="preserve">
IF($A$4&lt;=12,SUMIFS('ON Data'!G:G,'ON Data'!$D:$D,$A$4,'ON Data'!$E:$E,8),SUMIFS('ON Data'!G:G,'ON Data'!$E:$E,8))</f>
        <v>0</v>
      </c>
      <c r="D17" s="244">
        <f xml:space="preserve">
IF($A$4&lt;=12,SUMIFS('ON Data'!H:H,'ON Data'!$D:$D,$A$4,'ON Data'!$E:$E,8),SUMIFS('ON Data'!H:H,'ON Data'!$E:$E,8))</f>
        <v>0</v>
      </c>
      <c r="E17" s="244"/>
      <c r="F17" s="244">
        <f xml:space="preserve">
IF($A$4&lt;=12,SUMIFS('ON Data'!J:J,'ON Data'!$D:$D,$A$4,'ON Data'!$E:$E,8),SUMIFS('ON Data'!J:J,'ON Data'!$E:$E,8))</f>
        <v>0</v>
      </c>
      <c r="G17" s="244">
        <f xml:space="preserve">
IF($A$4&lt;=12,SUMIFS('ON Data'!K:K,'ON Data'!$D:$D,$A$4,'ON Data'!$E:$E,8),SUMIFS('ON Data'!K:K,'ON Data'!$E:$E,8))</f>
        <v>0</v>
      </c>
      <c r="H17" s="244">
        <f xml:space="preserve">
IF($A$4&lt;=12,SUMIFS('ON Data'!L:L,'ON Data'!$D:$D,$A$4,'ON Data'!$E:$E,8),SUMIFS('ON Data'!L:L,'ON Data'!$E:$E,8))</f>
        <v>0</v>
      </c>
      <c r="I17" s="244">
        <f xml:space="preserve">
IF($A$4&lt;=12,SUMIFS('ON Data'!M:M,'ON Data'!$D:$D,$A$4,'ON Data'!$E:$E,8),SUMIFS('ON Data'!M:M,'ON Data'!$E:$E,8))</f>
        <v>0</v>
      </c>
      <c r="J17" s="244">
        <f xml:space="preserve">
IF($A$4&lt;=12,SUMIFS('ON Data'!N:N,'ON Data'!$D:$D,$A$4,'ON Data'!$E:$E,8),SUMIFS('ON Data'!N:N,'ON Data'!$E:$E,8))</f>
        <v>0</v>
      </c>
      <c r="K17" s="244">
        <f xml:space="preserve">
IF($A$4&lt;=12,SUMIFS('ON Data'!O:O,'ON Data'!$D:$D,$A$4,'ON Data'!$E:$E,8),SUMIFS('ON Data'!O:O,'ON Data'!$E:$E,8))</f>
        <v>0</v>
      </c>
      <c r="L17" s="244">
        <f xml:space="preserve">
IF($A$4&lt;=12,SUMIFS('ON Data'!P:P,'ON Data'!$D:$D,$A$4,'ON Data'!$E:$E,8),SUMIFS('ON Data'!P:P,'ON Data'!$E:$E,8))</f>
        <v>0</v>
      </c>
      <c r="M17" s="244">
        <f xml:space="preserve">
IF($A$4&lt;=12,SUMIFS('ON Data'!Q:Q,'ON Data'!$D:$D,$A$4,'ON Data'!$E:$E,8),SUMIFS('ON Data'!Q:Q,'ON Data'!$E:$E,8))</f>
        <v>0</v>
      </c>
      <c r="N17" s="244">
        <f xml:space="preserve">
IF($A$4&lt;=12,SUMIFS('ON Data'!R:R,'ON Data'!$D:$D,$A$4,'ON Data'!$E:$E,8),SUMIFS('ON Data'!R:R,'ON Data'!$E:$E,8))</f>
        <v>0</v>
      </c>
      <c r="O17" s="244">
        <f xml:space="preserve">
IF($A$4&lt;=12,SUMIFS('ON Data'!S:S,'ON Data'!$D:$D,$A$4,'ON Data'!$E:$E,8),SUMIFS('ON Data'!S:S,'ON Data'!$E:$E,8))</f>
        <v>0</v>
      </c>
      <c r="P17" s="244">
        <f xml:space="preserve">
IF($A$4&lt;=12,SUMIFS('ON Data'!T:T,'ON Data'!$D:$D,$A$4,'ON Data'!$E:$E,8),SUMIFS('ON Data'!T:T,'ON Data'!$E:$E,8))</f>
        <v>0</v>
      </c>
      <c r="Q17" s="244">
        <f xml:space="preserve">
IF($A$4&lt;=12,SUMIFS('ON Data'!U:U,'ON Data'!$D:$D,$A$4,'ON Data'!$E:$E,8),SUMIFS('ON Data'!U:U,'ON Data'!$E:$E,8))</f>
        <v>0</v>
      </c>
      <c r="R17" s="244">
        <f xml:space="preserve">
IF($A$4&lt;=12,SUMIFS('ON Data'!V:V,'ON Data'!$D:$D,$A$4,'ON Data'!$E:$E,8),SUMIFS('ON Data'!V:V,'ON Data'!$E:$E,8))</f>
        <v>0</v>
      </c>
      <c r="S17" s="244">
        <f xml:space="preserve">
IF($A$4&lt;=12,SUMIFS('ON Data'!W:W,'ON Data'!$D:$D,$A$4,'ON Data'!$E:$E,8),SUMIFS('ON Data'!W:W,'ON Data'!$E:$E,8))</f>
        <v>0</v>
      </c>
      <c r="T17" s="244">
        <f xml:space="preserve">
IF($A$4&lt;=12,SUMIFS('ON Data'!X:X,'ON Data'!$D:$D,$A$4,'ON Data'!$E:$E,8),SUMIFS('ON Data'!X:X,'ON Data'!$E:$E,8))</f>
        <v>0</v>
      </c>
      <c r="U17" s="244">
        <f xml:space="preserve">
IF($A$4&lt;=12,SUMIFS('ON Data'!Y:Y,'ON Data'!$D:$D,$A$4,'ON Data'!$E:$E,8),SUMIFS('ON Data'!Y:Y,'ON Data'!$E:$E,8))</f>
        <v>0</v>
      </c>
      <c r="V17" s="244">
        <f xml:space="preserve">
IF($A$4&lt;=12,SUMIFS('ON Data'!Z:Z,'ON Data'!$D:$D,$A$4,'ON Data'!$E:$E,8),SUMIFS('ON Data'!Z:Z,'ON Data'!$E:$E,8))</f>
        <v>0</v>
      </c>
      <c r="W17" s="244">
        <f xml:space="preserve">
IF($A$4&lt;=12,SUMIFS('ON Data'!AA:AA,'ON Data'!$D:$D,$A$4,'ON Data'!$E:$E,8),SUMIFS('ON Data'!AA:AA,'ON Data'!$E:$E,8))</f>
        <v>0</v>
      </c>
      <c r="X17" s="244">
        <f xml:space="preserve">
IF($A$4&lt;=12,SUMIFS('ON Data'!AB:AB,'ON Data'!$D:$D,$A$4,'ON Data'!$E:$E,8),SUMIFS('ON Data'!AB:AB,'ON Data'!$E:$E,8))</f>
        <v>0</v>
      </c>
      <c r="Y17" s="244">
        <f xml:space="preserve">
IF($A$4&lt;=12,SUMIFS('ON Data'!AC:AC,'ON Data'!$D:$D,$A$4,'ON Data'!$E:$E,8),SUMIFS('ON Data'!AC:AC,'ON Data'!$E:$E,8))</f>
        <v>0</v>
      </c>
      <c r="Z17" s="244">
        <f xml:space="preserve">
IF($A$4&lt;=12,SUMIFS('ON Data'!AD:AD,'ON Data'!$D:$D,$A$4,'ON Data'!$E:$E,8),SUMIFS('ON Data'!AD:AD,'ON Data'!$E:$E,8))</f>
        <v>0</v>
      </c>
      <c r="AA17" s="244"/>
      <c r="AB17" s="244">
        <f xml:space="preserve">
IF($A$4&lt;=12,SUMIFS('ON Data'!AF:AF,'ON Data'!$D:$D,$A$4,'ON Data'!$E:$E,8),SUMIFS('ON Data'!AF:AF,'ON Data'!$E:$E,8))</f>
        <v>0</v>
      </c>
      <c r="AC17" s="244">
        <f xml:space="preserve">
IF($A$4&lt;=12,SUMIFS('ON Data'!AG:AG,'ON Data'!$D:$D,$A$4,'ON Data'!$E:$E,8),SUMIFS('ON Data'!AG:AG,'ON Data'!$E:$E,8))</f>
        <v>0</v>
      </c>
      <c r="AD17" s="244">
        <f xml:space="preserve">
IF($A$4&lt;=12,SUMIFS('ON Data'!AH:AH,'ON Data'!$D:$D,$A$4,'ON Data'!$E:$E,8),SUMIFS('ON Data'!AH:AH,'ON Data'!$E:$E,8))</f>
        <v>0</v>
      </c>
      <c r="AE17" s="244">
        <f xml:space="preserve">
IF($A$4&lt;=12,SUMIFS('ON Data'!AI:AI,'ON Data'!$D:$D,$A$4,'ON Data'!$E:$E,8),SUMIFS('ON Data'!AI:AI,'ON Data'!$E:$E,8))</f>
        <v>0</v>
      </c>
      <c r="AF17" s="244">
        <f xml:space="preserve">
IF($A$4&lt;=12,SUMIFS('ON Data'!AJ:AJ,'ON Data'!$D:$D,$A$4,'ON Data'!$E:$E,8),SUMIFS('ON Data'!AJ:AJ,'ON Data'!$E:$E,8))</f>
        <v>0</v>
      </c>
      <c r="AG17" s="244">
        <f xml:space="preserve">
IF($A$4&lt;=12,SUMIFS('ON Data'!AK:AK,'ON Data'!$D:$D,$A$4,'ON Data'!$E:$E,8),SUMIFS('ON Data'!AK:AK,'ON Data'!$E:$E,8))</f>
        <v>0</v>
      </c>
      <c r="AH17" s="244">
        <f xml:space="preserve">
IF($A$4&lt;=12,SUMIFS('ON Data'!AL:AL,'ON Data'!$D:$D,$A$4,'ON Data'!$E:$E,8),SUMIFS('ON Data'!AL:AL,'ON Data'!$E:$E,8))</f>
        <v>0</v>
      </c>
      <c r="AI17" s="244">
        <f xml:space="preserve">
IF($A$4&lt;=12,SUMIFS('ON Data'!AM:AM,'ON Data'!$D:$D,$A$4,'ON Data'!$E:$E,8),SUMIFS('ON Data'!AM:AM,'ON Data'!$E:$E,8))</f>
        <v>0</v>
      </c>
      <c r="AJ17" s="244">
        <f xml:space="preserve">
IF($A$4&lt;=12,SUMIFS('ON Data'!AN:AN,'ON Data'!$D:$D,$A$4,'ON Data'!$E:$E,8),SUMIFS('ON Data'!AN:AN,'ON Data'!$E:$E,8))</f>
        <v>0</v>
      </c>
      <c r="AK17" s="244">
        <f xml:space="preserve">
IF($A$4&lt;=12,SUMIFS('ON Data'!AO:AO,'ON Data'!$D:$D,$A$4,'ON Data'!$E:$E,8),SUMIFS('ON Data'!AO:AO,'ON Data'!$E:$E,8))</f>
        <v>0</v>
      </c>
      <c r="AL17" s="244">
        <f xml:space="preserve">
IF($A$4&lt;=12,SUMIFS('ON Data'!AP:AP,'ON Data'!$D:$D,$A$4,'ON Data'!$E:$E,8),SUMIFS('ON Data'!AP:AP,'ON Data'!$E:$E,8))</f>
        <v>0</v>
      </c>
      <c r="AM17" s="244">
        <f xml:space="preserve">
IF($A$4&lt;=12,SUMIFS('ON Data'!AQ:AQ,'ON Data'!$D:$D,$A$4,'ON Data'!$E:$E,8),SUMIFS('ON Data'!AQ:AQ,'ON Data'!$E:$E,8))</f>
        <v>0</v>
      </c>
      <c r="AN17" s="243">
        <f xml:space="preserve">
IF($A$4&lt;=12,SUMIFS('ON Data'!AR:AR,'ON Data'!$D:$D,$A$4,'ON Data'!$E:$E,8),SUMIFS('ON Data'!AR:AR,'ON Data'!$E:$E,8))</f>
        <v>0</v>
      </c>
      <c r="AO17" s="244">
        <f xml:space="preserve">
IF($A$4&lt;=12,SUMIFS('ON Data'!AS:AS,'ON Data'!$D:$D,$A$4,'ON Data'!$E:$E,8),SUMIFS('ON Data'!AS:AS,'ON Data'!$E:$E,8))</f>
        <v>0</v>
      </c>
      <c r="AP17" s="244">
        <f xml:space="preserve">
IF($A$4&lt;=12,SUMIFS('ON Data'!AT:AT,'ON Data'!$D:$D,$A$4,'ON Data'!$E:$E,8),SUMIFS('ON Data'!AT:AT,'ON Data'!$E:$E,8))</f>
        <v>0</v>
      </c>
      <c r="AQ17" s="244">
        <f xml:space="preserve">
IF($A$4&lt;=12,SUMIFS('ON Data'!AU:AU,'ON Data'!$D:$D,$A$4,'ON Data'!$E:$E,8),SUMIFS('ON Data'!AU:AU,'ON Data'!$E:$E,8))</f>
        <v>0</v>
      </c>
      <c r="AR17" s="244">
        <f xml:space="preserve">
IF($A$4&lt;=12,SUMIFS('ON Data'!AV:AV,'ON Data'!$D:$D,$A$4,'ON Data'!$E:$E,8),SUMIFS('ON Data'!AV:AV,'ON Data'!$E:$E,8))</f>
        <v>0</v>
      </c>
      <c r="AS17" s="522">
        <f xml:space="preserve">
IF($A$4&lt;=12,SUMIFS('ON Data'!AW:AW,'ON Data'!$D:$D,$A$4,'ON Data'!$E:$E,8),SUMIFS('ON Data'!AW:AW,'ON Data'!$E:$E,8))</f>
        <v>0</v>
      </c>
      <c r="AT17" s="531"/>
    </row>
    <row r="18" spans="1:46" x14ac:dyDescent="0.3">
      <c r="A18" s="227" t="s">
        <v>171</v>
      </c>
      <c r="B18" s="242">
        <f xml:space="preserve">
B19-B16-B17</f>
        <v>11660</v>
      </c>
      <c r="C18" s="243">
        <f t="shared" ref="C18:I18" si="0" xml:space="preserve">
C19-C16-C17</f>
        <v>0</v>
      </c>
      <c r="D18" s="244">
        <f t="shared" si="0"/>
        <v>0</v>
      </c>
      <c r="E18" s="244"/>
      <c r="F18" s="244">
        <f t="shared" si="0"/>
        <v>0</v>
      </c>
      <c r="G18" s="244">
        <f t="shared" si="0"/>
        <v>0</v>
      </c>
      <c r="H18" s="244">
        <f t="shared" si="0"/>
        <v>0</v>
      </c>
      <c r="I18" s="244">
        <f t="shared" si="0"/>
        <v>0</v>
      </c>
      <c r="J18" s="244">
        <f t="shared" ref="J18:AK18" si="1" xml:space="preserve">
J19-J16-J17</f>
        <v>0</v>
      </c>
      <c r="K18" s="244">
        <f t="shared" si="1"/>
        <v>0</v>
      </c>
      <c r="L18" s="244">
        <f t="shared" si="1"/>
        <v>0</v>
      </c>
      <c r="M18" s="244">
        <f t="shared" si="1"/>
        <v>0</v>
      </c>
      <c r="N18" s="244">
        <f t="shared" si="1"/>
        <v>0</v>
      </c>
      <c r="O18" s="244">
        <f t="shared" si="1"/>
        <v>0</v>
      </c>
      <c r="P18" s="244">
        <f t="shared" si="1"/>
        <v>0</v>
      </c>
      <c r="Q18" s="244">
        <f t="shared" si="1"/>
        <v>0</v>
      </c>
      <c r="R18" s="244">
        <f t="shared" si="1"/>
        <v>0</v>
      </c>
      <c r="S18" s="244">
        <f t="shared" si="1"/>
        <v>10160</v>
      </c>
      <c r="T18" s="244">
        <f t="shared" si="1"/>
        <v>0</v>
      </c>
      <c r="U18" s="244">
        <f t="shared" si="1"/>
        <v>0</v>
      </c>
      <c r="V18" s="244">
        <f t="shared" si="1"/>
        <v>0</v>
      </c>
      <c r="W18" s="244">
        <f t="shared" si="1"/>
        <v>0</v>
      </c>
      <c r="X18" s="244">
        <f t="shared" si="1"/>
        <v>0</v>
      </c>
      <c r="Y18" s="244">
        <f t="shared" si="1"/>
        <v>0</v>
      </c>
      <c r="Z18" s="244">
        <f t="shared" si="1"/>
        <v>0</v>
      </c>
      <c r="AA18" s="244"/>
      <c r="AB18" s="244">
        <f t="shared" si="1"/>
        <v>0</v>
      </c>
      <c r="AC18" s="244">
        <f t="shared" si="1"/>
        <v>0</v>
      </c>
      <c r="AD18" s="244">
        <f t="shared" si="1"/>
        <v>0</v>
      </c>
      <c r="AE18" s="244">
        <f t="shared" si="1"/>
        <v>0</v>
      </c>
      <c r="AF18" s="244">
        <f t="shared" si="1"/>
        <v>0</v>
      </c>
      <c r="AG18" s="244">
        <f t="shared" si="1"/>
        <v>0</v>
      </c>
      <c r="AH18" s="244">
        <f t="shared" si="1"/>
        <v>0</v>
      </c>
      <c r="AI18" s="244">
        <f t="shared" si="1"/>
        <v>0</v>
      </c>
      <c r="AJ18" s="244">
        <f t="shared" si="1"/>
        <v>0</v>
      </c>
      <c r="AK18" s="244">
        <f t="shared" si="1"/>
        <v>0</v>
      </c>
      <c r="AL18" s="244">
        <f t="shared" ref="AL18:AS18" si="2" xml:space="preserve">
AL19-AL16-AL17</f>
        <v>0</v>
      </c>
      <c r="AM18" s="244">
        <f t="shared" si="2"/>
        <v>0</v>
      </c>
      <c r="AN18" s="243">
        <f t="shared" si="2"/>
        <v>0</v>
      </c>
      <c r="AO18" s="244">
        <f t="shared" si="2"/>
        <v>0</v>
      </c>
      <c r="AP18" s="244">
        <f t="shared" si="2"/>
        <v>1500</v>
      </c>
      <c r="AQ18" s="244">
        <f t="shared" si="2"/>
        <v>0</v>
      </c>
      <c r="AR18" s="244">
        <f t="shared" si="2"/>
        <v>0</v>
      </c>
      <c r="AS18" s="522">
        <f t="shared" si="2"/>
        <v>0</v>
      </c>
      <c r="AT18" s="531"/>
    </row>
    <row r="19" spans="1:46" ht="15" thickBot="1" x14ac:dyDescent="0.35">
      <c r="A19" s="228" t="s">
        <v>172</v>
      </c>
      <c r="B19" s="253">
        <f xml:space="preserve">
IF($A$4&lt;=12,SUMIFS('ON Data'!F:F,'ON Data'!$D:$D,$A$4,'ON Data'!$E:$E,9),SUMIFS('ON Data'!F:F,'ON Data'!$E:$E,9))</f>
        <v>11660</v>
      </c>
      <c r="C19" s="254">
        <f xml:space="preserve">
IF($A$4&lt;=12,SUMIFS('ON Data'!G:G,'ON Data'!$D:$D,$A$4,'ON Data'!$E:$E,9),SUMIFS('ON Data'!G:G,'ON Data'!$E:$E,9))</f>
        <v>0</v>
      </c>
      <c r="D19" s="255">
        <f xml:space="preserve">
IF($A$4&lt;=12,SUMIFS('ON Data'!H:H,'ON Data'!$D:$D,$A$4,'ON Data'!$E:$E,9),SUMIFS('ON Data'!H:H,'ON Data'!$E:$E,9))</f>
        <v>0</v>
      </c>
      <c r="E19" s="255"/>
      <c r="F19" s="255">
        <f xml:space="preserve">
IF($A$4&lt;=12,SUMIFS('ON Data'!J:J,'ON Data'!$D:$D,$A$4,'ON Data'!$E:$E,9),SUMIFS('ON Data'!J:J,'ON Data'!$E:$E,9))</f>
        <v>0</v>
      </c>
      <c r="G19" s="255">
        <f xml:space="preserve">
IF($A$4&lt;=12,SUMIFS('ON Data'!K:K,'ON Data'!$D:$D,$A$4,'ON Data'!$E:$E,9),SUMIFS('ON Data'!K:K,'ON Data'!$E:$E,9))</f>
        <v>0</v>
      </c>
      <c r="H19" s="255">
        <f xml:space="preserve">
IF($A$4&lt;=12,SUMIFS('ON Data'!L:L,'ON Data'!$D:$D,$A$4,'ON Data'!$E:$E,9),SUMIFS('ON Data'!L:L,'ON Data'!$E:$E,9))</f>
        <v>0</v>
      </c>
      <c r="I19" s="255">
        <f xml:space="preserve">
IF($A$4&lt;=12,SUMIFS('ON Data'!M:M,'ON Data'!$D:$D,$A$4,'ON Data'!$E:$E,9),SUMIFS('ON Data'!M:M,'ON Data'!$E:$E,9))</f>
        <v>0</v>
      </c>
      <c r="J19" s="255">
        <f xml:space="preserve">
IF($A$4&lt;=12,SUMIFS('ON Data'!N:N,'ON Data'!$D:$D,$A$4,'ON Data'!$E:$E,9),SUMIFS('ON Data'!N:N,'ON Data'!$E:$E,9))</f>
        <v>0</v>
      </c>
      <c r="K19" s="255">
        <f xml:space="preserve">
IF($A$4&lt;=12,SUMIFS('ON Data'!O:O,'ON Data'!$D:$D,$A$4,'ON Data'!$E:$E,9),SUMIFS('ON Data'!O:O,'ON Data'!$E:$E,9))</f>
        <v>0</v>
      </c>
      <c r="L19" s="255">
        <f xml:space="preserve">
IF($A$4&lt;=12,SUMIFS('ON Data'!P:P,'ON Data'!$D:$D,$A$4,'ON Data'!$E:$E,9),SUMIFS('ON Data'!P:P,'ON Data'!$E:$E,9))</f>
        <v>0</v>
      </c>
      <c r="M19" s="255">
        <f xml:space="preserve">
IF($A$4&lt;=12,SUMIFS('ON Data'!Q:Q,'ON Data'!$D:$D,$A$4,'ON Data'!$E:$E,9),SUMIFS('ON Data'!Q:Q,'ON Data'!$E:$E,9))</f>
        <v>0</v>
      </c>
      <c r="N19" s="255">
        <f xml:space="preserve">
IF($A$4&lt;=12,SUMIFS('ON Data'!R:R,'ON Data'!$D:$D,$A$4,'ON Data'!$E:$E,9),SUMIFS('ON Data'!R:R,'ON Data'!$E:$E,9))</f>
        <v>0</v>
      </c>
      <c r="O19" s="255">
        <f xml:space="preserve">
IF($A$4&lt;=12,SUMIFS('ON Data'!S:S,'ON Data'!$D:$D,$A$4,'ON Data'!$E:$E,9),SUMIFS('ON Data'!S:S,'ON Data'!$E:$E,9))</f>
        <v>0</v>
      </c>
      <c r="P19" s="255">
        <f xml:space="preserve">
IF($A$4&lt;=12,SUMIFS('ON Data'!T:T,'ON Data'!$D:$D,$A$4,'ON Data'!$E:$E,9),SUMIFS('ON Data'!T:T,'ON Data'!$E:$E,9))</f>
        <v>0</v>
      </c>
      <c r="Q19" s="255">
        <f xml:space="preserve">
IF($A$4&lt;=12,SUMIFS('ON Data'!U:U,'ON Data'!$D:$D,$A$4,'ON Data'!$E:$E,9),SUMIFS('ON Data'!U:U,'ON Data'!$E:$E,9))</f>
        <v>0</v>
      </c>
      <c r="R19" s="255">
        <f xml:space="preserve">
IF($A$4&lt;=12,SUMIFS('ON Data'!V:V,'ON Data'!$D:$D,$A$4,'ON Data'!$E:$E,9),SUMIFS('ON Data'!V:V,'ON Data'!$E:$E,9))</f>
        <v>0</v>
      </c>
      <c r="S19" s="255">
        <f xml:space="preserve">
IF($A$4&lt;=12,SUMIFS('ON Data'!W:W,'ON Data'!$D:$D,$A$4,'ON Data'!$E:$E,9),SUMIFS('ON Data'!W:W,'ON Data'!$E:$E,9))</f>
        <v>10160</v>
      </c>
      <c r="T19" s="255">
        <f xml:space="preserve">
IF($A$4&lt;=12,SUMIFS('ON Data'!X:X,'ON Data'!$D:$D,$A$4,'ON Data'!$E:$E,9),SUMIFS('ON Data'!X:X,'ON Data'!$E:$E,9))</f>
        <v>0</v>
      </c>
      <c r="U19" s="255">
        <f xml:space="preserve">
IF($A$4&lt;=12,SUMIFS('ON Data'!Y:Y,'ON Data'!$D:$D,$A$4,'ON Data'!$E:$E,9),SUMIFS('ON Data'!Y:Y,'ON Data'!$E:$E,9))</f>
        <v>0</v>
      </c>
      <c r="V19" s="255">
        <f xml:space="preserve">
IF($A$4&lt;=12,SUMIFS('ON Data'!Z:Z,'ON Data'!$D:$D,$A$4,'ON Data'!$E:$E,9),SUMIFS('ON Data'!Z:Z,'ON Data'!$E:$E,9))</f>
        <v>0</v>
      </c>
      <c r="W19" s="255">
        <f xml:space="preserve">
IF($A$4&lt;=12,SUMIFS('ON Data'!AA:AA,'ON Data'!$D:$D,$A$4,'ON Data'!$E:$E,9),SUMIFS('ON Data'!AA:AA,'ON Data'!$E:$E,9))</f>
        <v>0</v>
      </c>
      <c r="X19" s="255">
        <f xml:space="preserve">
IF($A$4&lt;=12,SUMIFS('ON Data'!AB:AB,'ON Data'!$D:$D,$A$4,'ON Data'!$E:$E,9),SUMIFS('ON Data'!AB:AB,'ON Data'!$E:$E,9))</f>
        <v>0</v>
      </c>
      <c r="Y19" s="255">
        <f xml:space="preserve">
IF($A$4&lt;=12,SUMIFS('ON Data'!AC:AC,'ON Data'!$D:$D,$A$4,'ON Data'!$E:$E,9),SUMIFS('ON Data'!AC:AC,'ON Data'!$E:$E,9))</f>
        <v>0</v>
      </c>
      <c r="Z19" s="255">
        <f xml:space="preserve">
IF($A$4&lt;=12,SUMIFS('ON Data'!AD:AD,'ON Data'!$D:$D,$A$4,'ON Data'!$E:$E,9),SUMIFS('ON Data'!AD:AD,'ON Data'!$E:$E,9))</f>
        <v>0</v>
      </c>
      <c r="AA19" s="255"/>
      <c r="AB19" s="255">
        <f xml:space="preserve">
IF($A$4&lt;=12,SUMIFS('ON Data'!AF:AF,'ON Data'!$D:$D,$A$4,'ON Data'!$E:$E,9),SUMIFS('ON Data'!AF:AF,'ON Data'!$E:$E,9))</f>
        <v>0</v>
      </c>
      <c r="AC19" s="255">
        <f xml:space="preserve">
IF($A$4&lt;=12,SUMIFS('ON Data'!AG:AG,'ON Data'!$D:$D,$A$4,'ON Data'!$E:$E,9),SUMIFS('ON Data'!AG:AG,'ON Data'!$E:$E,9))</f>
        <v>0</v>
      </c>
      <c r="AD19" s="255">
        <f xml:space="preserve">
IF($A$4&lt;=12,SUMIFS('ON Data'!AH:AH,'ON Data'!$D:$D,$A$4,'ON Data'!$E:$E,9),SUMIFS('ON Data'!AH:AH,'ON Data'!$E:$E,9))</f>
        <v>0</v>
      </c>
      <c r="AE19" s="255">
        <f xml:space="preserve">
IF($A$4&lt;=12,SUMIFS('ON Data'!AI:AI,'ON Data'!$D:$D,$A$4,'ON Data'!$E:$E,9),SUMIFS('ON Data'!AI:AI,'ON Data'!$E:$E,9))</f>
        <v>0</v>
      </c>
      <c r="AF19" s="255">
        <f xml:space="preserve">
IF($A$4&lt;=12,SUMIFS('ON Data'!AJ:AJ,'ON Data'!$D:$D,$A$4,'ON Data'!$E:$E,9),SUMIFS('ON Data'!AJ:AJ,'ON Data'!$E:$E,9))</f>
        <v>0</v>
      </c>
      <c r="AG19" s="255">
        <f xml:space="preserve">
IF($A$4&lt;=12,SUMIFS('ON Data'!AK:AK,'ON Data'!$D:$D,$A$4,'ON Data'!$E:$E,9),SUMIFS('ON Data'!AK:AK,'ON Data'!$E:$E,9))</f>
        <v>0</v>
      </c>
      <c r="AH19" s="255">
        <f xml:space="preserve">
IF($A$4&lt;=12,SUMIFS('ON Data'!AL:AL,'ON Data'!$D:$D,$A$4,'ON Data'!$E:$E,9),SUMIFS('ON Data'!AL:AL,'ON Data'!$E:$E,9))</f>
        <v>0</v>
      </c>
      <c r="AI19" s="255">
        <f xml:space="preserve">
IF($A$4&lt;=12,SUMIFS('ON Data'!AM:AM,'ON Data'!$D:$D,$A$4,'ON Data'!$E:$E,9),SUMIFS('ON Data'!AM:AM,'ON Data'!$E:$E,9))</f>
        <v>0</v>
      </c>
      <c r="AJ19" s="255">
        <f xml:space="preserve">
IF($A$4&lt;=12,SUMIFS('ON Data'!AN:AN,'ON Data'!$D:$D,$A$4,'ON Data'!$E:$E,9),SUMIFS('ON Data'!AN:AN,'ON Data'!$E:$E,9))</f>
        <v>0</v>
      </c>
      <c r="AK19" s="255">
        <f xml:space="preserve">
IF($A$4&lt;=12,SUMIFS('ON Data'!AO:AO,'ON Data'!$D:$D,$A$4,'ON Data'!$E:$E,9),SUMIFS('ON Data'!AO:AO,'ON Data'!$E:$E,9))</f>
        <v>0</v>
      </c>
      <c r="AL19" s="255">
        <f xml:space="preserve">
IF($A$4&lt;=12,SUMIFS('ON Data'!AP:AP,'ON Data'!$D:$D,$A$4,'ON Data'!$E:$E,9),SUMIFS('ON Data'!AP:AP,'ON Data'!$E:$E,9))</f>
        <v>0</v>
      </c>
      <c r="AM19" s="255">
        <f xml:space="preserve">
IF($A$4&lt;=12,SUMIFS('ON Data'!AQ:AQ,'ON Data'!$D:$D,$A$4,'ON Data'!$E:$E,9),SUMIFS('ON Data'!AQ:AQ,'ON Data'!$E:$E,9))</f>
        <v>0</v>
      </c>
      <c r="AN19" s="254">
        <f xml:space="preserve">
IF($A$4&lt;=12,SUMIFS('ON Data'!AR:AR,'ON Data'!$D:$D,$A$4,'ON Data'!$E:$E,9),SUMIFS('ON Data'!AR:AR,'ON Data'!$E:$E,9))</f>
        <v>0</v>
      </c>
      <c r="AO19" s="255">
        <f xml:space="preserve">
IF($A$4&lt;=12,SUMIFS('ON Data'!AS:AS,'ON Data'!$D:$D,$A$4,'ON Data'!$E:$E,9),SUMIFS('ON Data'!AS:AS,'ON Data'!$E:$E,9))</f>
        <v>0</v>
      </c>
      <c r="AP19" s="255">
        <f xml:space="preserve">
IF($A$4&lt;=12,SUMIFS('ON Data'!AT:AT,'ON Data'!$D:$D,$A$4,'ON Data'!$E:$E,9),SUMIFS('ON Data'!AT:AT,'ON Data'!$E:$E,9))</f>
        <v>1500</v>
      </c>
      <c r="AQ19" s="255">
        <f xml:space="preserve">
IF($A$4&lt;=12,SUMIFS('ON Data'!AU:AU,'ON Data'!$D:$D,$A$4,'ON Data'!$E:$E,9),SUMIFS('ON Data'!AU:AU,'ON Data'!$E:$E,9))</f>
        <v>0</v>
      </c>
      <c r="AR19" s="255">
        <f xml:space="preserve">
IF($A$4&lt;=12,SUMIFS('ON Data'!AV:AV,'ON Data'!$D:$D,$A$4,'ON Data'!$E:$E,9),SUMIFS('ON Data'!AV:AV,'ON Data'!$E:$E,9))</f>
        <v>0</v>
      </c>
      <c r="AS19" s="525">
        <f xml:space="preserve">
IF($A$4&lt;=12,SUMIFS('ON Data'!AW:AW,'ON Data'!$D:$D,$A$4,'ON Data'!$E:$E,9),SUMIFS('ON Data'!AW:AW,'ON Data'!$E:$E,9))</f>
        <v>0</v>
      </c>
      <c r="AT19" s="531"/>
    </row>
    <row r="20" spans="1:46" ht="15" collapsed="1" thickBot="1" x14ac:dyDescent="0.35">
      <c r="A20" s="229" t="s">
        <v>60</v>
      </c>
      <c r="B20" s="256">
        <f xml:space="preserve">
IF($A$4&lt;=12,SUMIFS('ON Data'!F:F,'ON Data'!$D:$D,$A$4,'ON Data'!$E:$E,6),SUMIFS('ON Data'!F:F,'ON Data'!$E:$E,6))</f>
        <v>2441531</v>
      </c>
      <c r="C20" s="257">
        <f xml:space="preserve">
IF($A$4&lt;=12,SUMIFS('ON Data'!G:G,'ON Data'!$D:$D,$A$4,'ON Data'!$E:$E,6),SUMIFS('ON Data'!G:G,'ON Data'!$E:$E,6))</f>
        <v>0</v>
      </c>
      <c r="D20" s="258">
        <f xml:space="preserve">
IF($A$4&lt;=12,SUMIFS('ON Data'!H:H,'ON Data'!$D:$D,$A$4,'ON Data'!$E:$E,6),SUMIFS('ON Data'!H:H,'ON Data'!$E:$E,6))</f>
        <v>0</v>
      </c>
      <c r="E20" s="258"/>
      <c r="F20" s="258">
        <f xml:space="preserve">
IF($A$4&lt;=12,SUMIFS('ON Data'!J:J,'ON Data'!$D:$D,$A$4,'ON Data'!$E:$E,6),SUMIFS('ON Data'!J:J,'ON Data'!$E:$E,6))</f>
        <v>24231</v>
      </c>
      <c r="G20" s="258">
        <f xml:space="preserve">
IF($A$4&lt;=12,SUMIFS('ON Data'!K:K,'ON Data'!$D:$D,$A$4,'ON Data'!$E:$E,6),SUMIFS('ON Data'!K:K,'ON Data'!$E:$E,6))</f>
        <v>0</v>
      </c>
      <c r="H20" s="258">
        <f xml:space="preserve">
IF($A$4&lt;=12,SUMIFS('ON Data'!L:L,'ON Data'!$D:$D,$A$4,'ON Data'!$E:$E,6),SUMIFS('ON Data'!L:L,'ON Data'!$E:$E,6))</f>
        <v>618931</v>
      </c>
      <c r="I20" s="258">
        <f xml:space="preserve">
IF($A$4&lt;=12,SUMIFS('ON Data'!M:M,'ON Data'!$D:$D,$A$4,'ON Data'!$E:$E,6),SUMIFS('ON Data'!M:M,'ON Data'!$E:$E,6))</f>
        <v>0</v>
      </c>
      <c r="J20" s="258">
        <f xml:space="preserve">
IF($A$4&lt;=12,SUMIFS('ON Data'!N:N,'ON Data'!$D:$D,$A$4,'ON Data'!$E:$E,6),SUMIFS('ON Data'!N:N,'ON Data'!$E:$E,6))</f>
        <v>0</v>
      </c>
      <c r="K20" s="258">
        <f xml:space="preserve">
IF($A$4&lt;=12,SUMIFS('ON Data'!O:O,'ON Data'!$D:$D,$A$4,'ON Data'!$E:$E,6),SUMIFS('ON Data'!O:O,'ON Data'!$E:$E,6))</f>
        <v>0</v>
      </c>
      <c r="L20" s="258">
        <f xml:space="preserve">
IF($A$4&lt;=12,SUMIFS('ON Data'!P:P,'ON Data'!$D:$D,$A$4,'ON Data'!$E:$E,6),SUMIFS('ON Data'!P:P,'ON Data'!$E:$E,6))</f>
        <v>0</v>
      </c>
      <c r="M20" s="258">
        <f xml:space="preserve">
IF($A$4&lt;=12,SUMIFS('ON Data'!Q:Q,'ON Data'!$D:$D,$A$4,'ON Data'!$E:$E,6),SUMIFS('ON Data'!Q:Q,'ON Data'!$E:$E,6))</f>
        <v>0</v>
      </c>
      <c r="N20" s="258">
        <f xml:space="preserve">
IF($A$4&lt;=12,SUMIFS('ON Data'!R:R,'ON Data'!$D:$D,$A$4,'ON Data'!$E:$E,6),SUMIFS('ON Data'!R:R,'ON Data'!$E:$E,6))</f>
        <v>0</v>
      </c>
      <c r="O20" s="258">
        <f xml:space="preserve">
IF($A$4&lt;=12,SUMIFS('ON Data'!S:S,'ON Data'!$D:$D,$A$4,'ON Data'!$E:$E,6),SUMIFS('ON Data'!S:S,'ON Data'!$E:$E,6))</f>
        <v>0</v>
      </c>
      <c r="P20" s="258">
        <f xml:space="preserve">
IF($A$4&lt;=12,SUMIFS('ON Data'!T:T,'ON Data'!$D:$D,$A$4,'ON Data'!$E:$E,6),SUMIFS('ON Data'!T:T,'ON Data'!$E:$E,6))</f>
        <v>0</v>
      </c>
      <c r="Q20" s="258">
        <f xml:space="preserve">
IF($A$4&lt;=12,SUMIFS('ON Data'!U:U,'ON Data'!$D:$D,$A$4,'ON Data'!$E:$E,6),SUMIFS('ON Data'!U:U,'ON Data'!$E:$E,6))</f>
        <v>0</v>
      </c>
      <c r="R20" s="258">
        <f xml:space="preserve">
IF($A$4&lt;=12,SUMIFS('ON Data'!V:V,'ON Data'!$D:$D,$A$4,'ON Data'!$E:$E,6),SUMIFS('ON Data'!V:V,'ON Data'!$E:$E,6))</f>
        <v>0</v>
      </c>
      <c r="S20" s="258">
        <f xml:space="preserve">
IF($A$4&lt;=12,SUMIFS('ON Data'!W:W,'ON Data'!$D:$D,$A$4,'ON Data'!$E:$E,6),SUMIFS('ON Data'!W:W,'ON Data'!$E:$E,6))</f>
        <v>1221794</v>
      </c>
      <c r="T20" s="258">
        <f xml:space="preserve">
IF($A$4&lt;=12,SUMIFS('ON Data'!X:X,'ON Data'!$D:$D,$A$4,'ON Data'!$E:$E,6),SUMIFS('ON Data'!X:X,'ON Data'!$E:$E,6))</f>
        <v>0</v>
      </c>
      <c r="U20" s="258">
        <f xml:space="preserve">
IF($A$4&lt;=12,SUMIFS('ON Data'!Y:Y,'ON Data'!$D:$D,$A$4,'ON Data'!$E:$E,6),SUMIFS('ON Data'!Y:Y,'ON Data'!$E:$E,6))</f>
        <v>0</v>
      </c>
      <c r="V20" s="258">
        <f xml:space="preserve">
IF($A$4&lt;=12,SUMIFS('ON Data'!Z:Z,'ON Data'!$D:$D,$A$4,'ON Data'!$E:$E,6),SUMIFS('ON Data'!Z:Z,'ON Data'!$E:$E,6))</f>
        <v>0</v>
      </c>
      <c r="W20" s="258">
        <f xml:space="preserve">
IF($A$4&lt;=12,SUMIFS('ON Data'!AA:AA,'ON Data'!$D:$D,$A$4,'ON Data'!$E:$E,6),SUMIFS('ON Data'!AA:AA,'ON Data'!$E:$E,6))</f>
        <v>0</v>
      </c>
      <c r="X20" s="258">
        <f xml:space="preserve">
IF($A$4&lt;=12,SUMIFS('ON Data'!AB:AB,'ON Data'!$D:$D,$A$4,'ON Data'!$E:$E,6),SUMIFS('ON Data'!AB:AB,'ON Data'!$E:$E,6))</f>
        <v>0</v>
      </c>
      <c r="Y20" s="258">
        <f xml:space="preserve">
IF($A$4&lt;=12,SUMIFS('ON Data'!AC:AC,'ON Data'!$D:$D,$A$4,'ON Data'!$E:$E,6),SUMIFS('ON Data'!AC:AC,'ON Data'!$E:$E,6))</f>
        <v>0</v>
      </c>
      <c r="Z20" s="258">
        <f xml:space="preserve">
IF($A$4&lt;=12,SUMIFS('ON Data'!AD:AD,'ON Data'!$D:$D,$A$4,'ON Data'!$E:$E,6),SUMIFS('ON Data'!AD:AD,'ON Data'!$E:$E,6))</f>
        <v>0</v>
      </c>
      <c r="AA20" s="258"/>
      <c r="AB20" s="258">
        <f xml:space="preserve">
IF($A$4&lt;=12,SUMIFS('ON Data'!AF:AF,'ON Data'!$D:$D,$A$4,'ON Data'!$E:$E,6),SUMIFS('ON Data'!AF:AF,'ON Data'!$E:$E,6))</f>
        <v>0</v>
      </c>
      <c r="AC20" s="258">
        <f xml:space="preserve">
IF($A$4&lt;=12,SUMIFS('ON Data'!AG:AG,'ON Data'!$D:$D,$A$4,'ON Data'!$E:$E,6),SUMIFS('ON Data'!AG:AG,'ON Data'!$E:$E,6))</f>
        <v>0</v>
      </c>
      <c r="AD20" s="258">
        <f xml:space="preserve">
IF($A$4&lt;=12,SUMIFS('ON Data'!AH:AH,'ON Data'!$D:$D,$A$4,'ON Data'!$E:$E,6),SUMIFS('ON Data'!AH:AH,'ON Data'!$E:$E,6))</f>
        <v>0</v>
      </c>
      <c r="AE20" s="258">
        <f xml:space="preserve">
IF($A$4&lt;=12,SUMIFS('ON Data'!AI:AI,'ON Data'!$D:$D,$A$4,'ON Data'!$E:$E,6),SUMIFS('ON Data'!AI:AI,'ON Data'!$E:$E,6))</f>
        <v>0</v>
      </c>
      <c r="AF20" s="258">
        <f xml:space="preserve">
IF($A$4&lt;=12,SUMIFS('ON Data'!AJ:AJ,'ON Data'!$D:$D,$A$4,'ON Data'!$E:$E,6),SUMIFS('ON Data'!AJ:AJ,'ON Data'!$E:$E,6))</f>
        <v>0</v>
      </c>
      <c r="AG20" s="258">
        <f xml:space="preserve">
IF($A$4&lt;=12,SUMIFS('ON Data'!AK:AK,'ON Data'!$D:$D,$A$4,'ON Data'!$E:$E,6),SUMIFS('ON Data'!AK:AK,'ON Data'!$E:$E,6))</f>
        <v>0</v>
      </c>
      <c r="AH20" s="258">
        <f xml:space="preserve">
IF($A$4&lt;=12,SUMIFS('ON Data'!AL:AL,'ON Data'!$D:$D,$A$4,'ON Data'!$E:$E,6),SUMIFS('ON Data'!AL:AL,'ON Data'!$E:$E,6))</f>
        <v>0</v>
      </c>
      <c r="AI20" s="258">
        <f xml:space="preserve">
IF($A$4&lt;=12,SUMIFS('ON Data'!AM:AM,'ON Data'!$D:$D,$A$4,'ON Data'!$E:$E,6),SUMIFS('ON Data'!AM:AM,'ON Data'!$E:$E,6))</f>
        <v>0</v>
      </c>
      <c r="AJ20" s="258">
        <f xml:space="preserve">
IF($A$4&lt;=12,SUMIFS('ON Data'!AN:AN,'ON Data'!$D:$D,$A$4,'ON Data'!$E:$E,6),SUMIFS('ON Data'!AN:AN,'ON Data'!$E:$E,6))</f>
        <v>0</v>
      </c>
      <c r="AK20" s="258">
        <f xml:space="preserve">
IF($A$4&lt;=12,SUMIFS('ON Data'!AO:AO,'ON Data'!$D:$D,$A$4,'ON Data'!$E:$E,6),SUMIFS('ON Data'!AO:AO,'ON Data'!$E:$E,6))</f>
        <v>0</v>
      </c>
      <c r="AL20" s="258">
        <f xml:space="preserve">
IF($A$4&lt;=12,SUMIFS('ON Data'!AP:AP,'ON Data'!$D:$D,$A$4,'ON Data'!$E:$E,6),SUMIFS('ON Data'!AP:AP,'ON Data'!$E:$E,6))</f>
        <v>0</v>
      </c>
      <c r="AM20" s="258">
        <f xml:space="preserve">
IF($A$4&lt;=12,SUMIFS('ON Data'!AQ:AQ,'ON Data'!$D:$D,$A$4,'ON Data'!$E:$E,6),SUMIFS('ON Data'!AQ:AQ,'ON Data'!$E:$E,6))</f>
        <v>0</v>
      </c>
      <c r="AN20" s="257">
        <f xml:space="preserve">
IF($A$4&lt;=12,SUMIFS('ON Data'!AR:AR,'ON Data'!$D:$D,$A$4,'ON Data'!$E:$E,6),SUMIFS('ON Data'!AR:AR,'ON Data'!$E:$E,6))</f>
        <v>0</v>
      </c>
      <c r="AO20" s="258">
        <f xml:space="preserve">
IF($A$4&lt;=12,SUMIFS('ON Data'!AS:AS,'ON Data'!$D:$D,$A$4,'ON Data'!$E:$E,6),SUMIFS('ON Data'!AS:AS,'ON Data'!$E:$E,6))</f>
        <v>0</v>
      </c>
      <c r="AP20" s="258">
        <f xml:space="preserve">
IF($A$4&lt;=12,SUMIFS('ON Data'!AT:AT,'ON Data'!$D:$D,$A$4,'ON Data'!$E:$E,6),SUMIFS('ON Data'!AT:AT,'ON Data'!$E:$E,6))</f>
        <v>114926</v>
      </c>
      <c r="AQ20" s="258">
        <f xml:space="preserve">
IF($A$4&lt;=12,SUMIFS('ON Data'!AU:AU,'ON Data'!$D:$D,$A$4,'ON Data'!$E:$E,6),SUMIFS('ON Data'!AU:AU,'ON Data'!$E:$E,6))</f>
        <v>0</v>
      </c>
      <c r="AR20" s="258">
        <f xml:space="preserve">
IF($A$4&lt;=12,SUMIFS('ON Data'!AV:AV,'ON Data'!$D:$D,$A$4,'ON Data'!$E:$E,6),SUMIFS('ON Data'!AV:AV,'ON Data'!$E:$E,6))</f>
        <v>0</v>
      </c>
      <c r="AS20" s="526">
        <f xml:space="preserve">
IF($A$4&lt;=12,SUMIFS('ON Data'!AW:AW,'ON Data'!$D:$D,$A$4,'ON Data'!$E:$E,6),SUMIFS('ON Data'!AW:AW,'ON Data'!$E:$E,6))</f>
        <v>420442</v>
      </c>
      <c r="AT20" s="531"/>
    </row>
    <row r="21" spans="1:46" ht="15" hidden="1" outlineLevel="1" thickBot="1" x14ac:dyDescent="0.35">
      <c r="A21" s="222" t="s">
        <v>94</v>
      </c>
      <c r="B21" s="242">
        <f xml:space="preserve">
IF($A$4&lt;=12,SUMIFS('ON Data'!F:F,'ON Data'!$D:$D,$A$4,'ON Data'!$E:$E,12),SUMIFS('ON Data'!F:F,'ON Data'!$E:$E,12))</f>
        <v>0</v>
      </c>
      <c r="C21" s="243">
        <f xml:space="preserve">
IF($A$4&lt;=12,SUMIFS('ON Data'!G:G,'ON Data'!$D:$D,$A$4,'ON Data'!$E:$E,12),SUMIFS('ON Data'!G:G,'ON Data'!$E:$E,12))</f>
        <v>0</v>
      </c>
      <c r="D21" s="244">
        <f xml:space="preserve">
IF($A$4&lt;=12,SUMIFS('ON Data'!H:H,'ON Data'!$D:$D,$A$4,'ON Data'!$E:$E,12),SUMIFS('ON Data'!H:H,'ON Data'!$E:$E,12))</f>
        <v>0</v>
      </c>
      <c r="E21" s="244"/>
      <c r="F21" s="244">
        <f xml:space="preserve">
IF($A$4&lt;=12,SUMIFS('ON Data'!J:J,'ON Data'!$D:$D,$A$4,'ON Data'!$E:$E,12),SUMIFS('ON Data'!J:J,'ON Data'!$E:$E,12))</f>
        <v>0</v>
      </c>
      <c r="G21" s="244">
        <f xml:space="preserve">
IF($A$4&lt;=12,SUMIFS('ON Data'!K:K,'ON Data'!$D:$D,$A$4,'ON Data'!$E:$E,12),SUMIFS('ON Data'!K:K,'ON Data'!$E:$E,12))</f>
        <v>0</v>
      </c>
      <c r="H21" s="244">
        <f xml:space="preserve">
IF($A$4&lt;=12,SUMIFS('ON Data'!L:L,'ON Data'!$D:$D,$A$4,'ON Data'!$E:$E,12),SUMIFS('ON Data'!L:L,'ON Data'!$E:$E,12))</f>
        <v>0</v>
      </c>
      <c r="I21" s="244">
        <f xml:space="preserve">
IF($A$4&lt;=12,SUMIFS('ON Data'!M:M,'ON Data'!$D:$D,$A$4,'ON Data'!$E:$E,12),SUMIFS('ON Data'!M:M,'ON Data'!$E:$E,12))</f>
        <v>0</v>
      </c>
      <c r="J21" s="244">
        <f xml:space="preserve">
IF($A$4&lt;=12,SUMIFS('ON Data'!N:N,'ON Data'!$D:$D,$A$4,'ON Data'!$E:$E,12),SUMIFS('ON Data'!N:N,'ON Data'!$E:$E,12))</f>
        <v>0</v>
      </c>
      <c r="K21" s="244">
        <f xml:space="preserve">
IF($A$4&lt;=12,SUMIFS('ON Data'!O:O,'ON Data'!$D:$D,$A$4,'ON Data'!$E:$E,12),SUMIFS('ON Data'!O:O,'ON Data'!$E:$E,12))</f>
        <v>0</v>
      </c>
      <c r="L21" s="244">
        <f xml:space="preserve">
IF($A$4&lt;=12,SUMIFS('ON Data'!P:P,'ON Data'!$D:$D,$A$4,'ON Data'!$E:$E,12),SUMIFS('ON Data'!P:P,'ON Data'!$E:$E,12))</f>
        <v>0</v>
      </c>
      <c r="M21" s="244">
        <f xml:space="preserve">
IF($A$4&lt;=12,SUMIFS('ON Data'!Q:Q,'ON Data'!$D:$D,$A$4,'ON Data'!$E:$E,12),SUMIFS('ON Data'!Q:Q,'ON Data'!$E:$E,12))</f>
        <v>0</v>
      </c>
      <c r="N21" s="244">
        <f xml:space="preserve">
IF($A$4&lt;=12,SUMIFS('ON Data'!R:R,'ON Data'!$D:$D,$A$4,'ON Data'!$E:$E,12),SUMIFS('ON Data'!R:R,'ON Data'!$E:$E,12))</f>
        <v>0</v>
      </c>
      <c r="O21" s="244">
        <f xml:space="preserve">
IF($A$4&lt;=12,SUMIFS('ON Data'!S:S,'ON Data'!$D:$D,$A$4,'ON Data'!$E:$E,12),SUMIFS('ON Data'!S:S,'ON Data'!$E:$E,12))</f>
        <v>0</v>
      </c>
      <c r="P21" s="244">
        <f xml:space="preserve">
IF($A$4&lt;=12,SUMIFS('ON Data'!T:T,'ON Data'!$D:$D,$A$4,'ON Data'!$E:$E,12),SUMIFS('ON Data'!T:T,'ON Data'!$E:$E,12))</f>
        <v>0</v>
      </c>
      <c r="Q21" s="244">
        <f xml:space="preserve">
IF($A$4&lt;=12,SUMIFS('ON Data'!U:U,'ON Data'!$D:$D,$A$4,'ON Data'!$E:$E,12),SUMIFS('ON Data'!U:U,'ON Data'!$E:$E,12))</f>
        <v>0</v>
      </c>
      <c r="R21" s="244">
        <f xml:space="preserve">
IF($A$4&lt;=12,SUMIFS('ON Data'!V:V,'ON Data'!$D:$D,$A$4,'ON Data'!$E:$E,12),SUMIFS('ON Data'!V:V,'ON Data'!$E:$E,12))</f>
        <v>0</v>
      </c>
      <c r="S21" s="244">
        <f xml:space="preserve">
IF($A$4&lt;=12,SUMIFS('ON Data'!W:W,'ON Data'!$D:$D,$A$4,'ON Data'!$E:$E,12),SUMIFS('ON Data'!W:W,'ON Data'!$E:$E,12))</f>
        <v>0</v>
      </c>
      <c r="T21" s="244">
        <f xml:space="preserve">
IF($A$4&lt;=12,SUMIFS('ON Data'!X:X,'ON Data'!$D:$D,$A$4,'ON Data'!$E:$E,12),SUMIFS('ON Data'!X:X,'ON Data'!$E:$E,12))</f>
        <v>0</v>
      </c>
      <c r="U21" s="244">
        <f xml:space="preserve">
IF($A$4&lt;=12,SUMIFS('ON Data'!Y:Y,'ON Data'!$D:$D,$A$4,'ON Data'!$E:$E,12),SUMIFS('ON Data'!Y:Y,'ON Data'!$E:$E,12))</f>
        <v>0</v>
      </c>
      <c r="V21" s="244">
        <f xml:space="preserve">
IF($A$4&lt;=12,SUMIFS('ON Data'!Z:Z,'ON Data'!$D:$D,$A$4,'ON Data'!$E:$E,12),SUMIFS('ON Data'!Z:Z,'ON Data'!$E:$E,12))</f>
        <v>0</v>
      </c>
      <c r="W21" s="244">
        <f xml:space="preserve">
IF($A$4&lt;=12,SUMIFS('ON Data'!AA:AA,'ON Data'!$D:$D,$A$4,'ON Data'!$E:$E,12),SUMIFS('ON Data'!AA:AA,'ON Data'!$E:$E,12))</f>
        <v>0</v>
      </c>
      <c r="X21" s="244">
        <f xml:space="preserve">
IF($A$4&lt;=12,SUMIFS('ON Data'!AB:AB,'ON Data'!$D:$D,$A$4,'ON Data'!$E:$E,12),SUMIFS('ON Data'!AB:AB,'ON Data'!$E:$E,12))</f>
        <v>0</v>
      </c>
      <c r="Y21" s="244">
        <f xml:space="preserve">
IF($A$4&lt;=12,SUMIFS('ON Data'!AC:AC,'ON Data'!$D:$D,$A$4,'ON Data'!$E:$E,12),SUMIFS('ON Data'!AC:AC,'ON Data'!$E:$E,12))</f>
        <v>0</v>
      </c>
      <c r="Z21" s="244">
        <f xml:space="preserve">
IF($A$4&lt;=12,SUMIFS('ON Data'!AD:AD,'ON Data'!$D:$D,$A$4,'ON Data'!$E:$E,12),SUMIFS('ON Data'!AD:AD,'ON Data'!$E:$E,12))</f>
        <v>0</v>
      </c>
      <c r="AA21" s="244"/>
      <c r="AB21" s="244">
        <f xml:space="preserve">
IF($A$4&lt;=12,SUMIFS('ON Data'!AF:AF,'ON Data'!$D:$D,$A$4,'ON Data'!$E:$E,12),SUMIFS('ON Data'!AF:AF,'ON Data'!$E:$E,12))</f>
        <v>0</v>
      </c>
      <c r="AC21" s="244">
        <f xml:space="preserve">
IF($A$4&lt;=12,SUMIFS('ON Data'!AG:AG,'ON Data'!$D:$D,$A$4,'ON Data'!$E:$E,12),SUMIFS('ON Data'!AG:AG,'ON Data'!$E:$E,12))</f>
        <v>0</v>
      </c>
      <c r="AD21" s="244">
        <f xml:space="preserve">
IF($A$4&lt;=12,SUMIFS('ON Data'!AH:AH,'ON Data'!$D:$D,$A$4,'ON Data'!$E:$E,12),SUMIFS('ON Data'!AH:AH,'ON Data'!$E:$E,12))</f>
        <v>0</v>
      </c>
      <c r="AE21" s="244">
        <f xml:space="preserve">
IF($A$4&lt;=12,SUMIFS('ON Data'!AI:AI,'ON Data'!$D:$D,$A$4,'ON Data'!$E:$E,12),SUMIFS('ON Data'!AI:AI,'ON Data'!$E:$E,12))</f>
        <v>0</v>
      </c>
      <c r="AF21" s="244">
        <f xml:space="preserve">
IF($A$4&lt;=12,SUMIFS('ON Data'!AJ:AJ,'ON Data'!$D:$D,$A$4,'ON Data'!$E:$E,12),SUMIFS('ON Data'!AJ:AJ,'ON Data'!$E:$E,12))</f>
        <v>0</v>
      </c>
      <c r="AG21" s="244">
        <f xml:space="preserve">
IF($A$4&lt;=12,SUMIFS('ON Data'!AK:AK,'ON Data'!$D:$D,$A$4,'ON Data'!$E:$E,12),SUMIFS('ON Data'!AK:AK,'ON Data'!$E:$E,12))</f>
        <v>0</v>
      </c>
      <c r="AH21" s="244">
        <f xml:space="preserve">
IF($A$4&lt;=12,SUMIFS('ON Data'!AL:AL,'ON Data'!$D:$D,$A$4,'ON Data'!$E:$E,12),SUMIFS('ON Data'!AL:AL,'ON Data'!$E:$E,12))</f>
        <v>0</v>
      </c>
      <c r="AI21" s="244">
        <f xml:space="preserve">
IF($A$4&lt;=12,SUMIFS('ON Data'!AM:AM,'ON Data'!$D:$D,$A$4,'ON Data'!$E:$E,12),SUMIFS('ON Data'!AM:AM,'ON Data'!$E:$E,12))</f>
        <v>0</v>
      </c>
      <c r="AJ21" s="244">
        <f xml:space="preserve">
IF($A$4&lt;=12,SUMIFS('ON Data'!AN:AN,'ON Data'!$D:$D,$A$4,'ON Data'!$E:$E,12),SUMIFS('ON Data'!AN:AN,'ON Data'!$E:$E,12))</f>
        <v>0</v>
      </c>
      <c r="AK21" s="244">
        <f xml:space="preserve">
IF($A$4&lt;=12,SUMIFS('ON Data'!AO:AO,'ON Data'!$D:$D,$A$4,'ON Data'!$E:$E,12),SUMIFS('ON Data'!AO:AO,'ON Data'!$E:$E,12))</f>
        <v>0</v>
      </c>
      <c r="AL21" s="244">
        <f xml:space="preserve">
IF($A$4&lt;=12,SUMIFS('ON Data'!AP:AP,'ON Data'!$D:$D,$A$4,'ON Data'!$E:$E,12),SUMIFS('ON Data'!AP:AP,'ON Data'!$E:$E,12))</f>
        <v>0</v>
      </c>
      <c r="AM21" s="245">
        <f xml:space="preserve">
IF($A$4&lt;=12,SUMIFS('ON Data'!AQ:AQ,'ON Data'!$D:$D,$A$4,'ON Data'!$E:$E,12),SUMIFS('ON Data'!AQ:AQ,'ON Data'!$E:$E,12))</f>
        <v>0</v>
      </c>
      <c r="AN21" s="317"/>
      <c r="AO21" s="317"/>
      <c r="AP21" s="317"/>
      <c r="AQ21" s="317"/>
      <c r="AR21" s="317"/>
      <c r="AS21" s="317"/>
      <c r="AT21" s="531"/>
    </row>
    <row r="22" spans="1:46" ht="15" hidden="1" outlineLevel="1" thickBot="1" x14ac:dyDescent="0.35">
      <c r="A22" s="222" t="s">
        <v>62</v>
      </c>
      <c r="B22" s="299" t="str">
        <f xml:space="preserve">
IF(OR(B21="",B21=0),"",B20/B21)</f>
        <v/>
      </c>
      <c r="C22" s="300" t="str">
        <f t="shared" ref="C22:I22" si="3" xml:space="preserve">
IF(OR(C21="",C21=0),"",C20/C21)</f>
        <v/>
      </c>
      <c r="D22" s="301" t="str">
        <f t="shared" si="3"/>
        <v/>
      </c>
      <c r="E22" s="301"/>
      <c r="F22" s="301" t="str">
        <f t="shared" si="3"/>
        <v/>
      </c>
      <c r="G22" s="301" t="str">
        <f t="shared" si="3"/>
        <v/>
      </c>
      <c r="H22" s="301" t="str">
        <f t="shared" si="3"/>
        <v/>
      </c>
      <c r="I22" s="301" t="str">
        <f t="shared" si="3"/>
        <v/>
      </c>
      <c r="J22" s="301" t="str">
        <f t="shared" ref="J22:AM22" si="4" xml:space="preserve">
IF(OR(J21="",J21=0),"",J20/J21)</f>
        <v/>
      </c>
      <c r="K22" s="301" t="str">
        <f t="shared" si="4"/>
        <v/>
      </c>
      <c r="L22" s="301" t="str">
        <f t="shared" si="4"/>
        <v/>
      </c>
      <c r="M22" s="301" t="str">
        <f t="shared" si="4"/>
        <v/>
      </c>
      <c r="N22" s="301" t="str">
        <f t="shared" si="4"/>
        <v/>
      </c>
      <c r="O22" s="301" t="str">
        <f t="shared" si="4"/>
        <v/>
      </c>
      <c r="P22" s="301" t="str">
        <f t="shared" si="4"/>
        <v/>
      </c>
      <c r="Q22" s="301" t="str">
        <f t="shared" si="4"/>
        <v/>
      </c>
      <c r="R22" s="301" t="str">
        <f t="shared" si="4"/>
        <v/>
      </c>
      <c r="S22" s="301" t="str">
        <f t="shared" si="4"/>
        <v/>
      </c>
      <c r="T22" s="301" t="str">
        <f t="shared" si="4"/>
        <v/>
      </c>
      <c r="U22" s="301" t="str">
        <f t="shared" si="4"/>
        <v/>
      </c>
      <c r="V22" s="301" t="str">
        <f t="shared" si="4"/>
        <v/>
      </c>
      <c r="W22" s="301" t="str">
        <f t="shared" si="4"/>
        <v/>
      </c>
      <c r="X22" s="301" t="str">
        <f t="shared" si="4"/>
        <v/>
      </c>
      <c r="Y22" s="301" t="str">
        <f t="shared" si="4"/>
        <v/>
      </c>
      <c r="Z22" s="301" t="str">
        <f t="shared" si="4"/>
        <v/>
      </c>
      <c r="AA22" s="301"/>
      <c r="AB22" s="301" t="str">
        <f t="shared" si="4"/>
        <v/>
      </c>
      <c r="AC22" s="301" t="str">
        <f t="shared" si="4"/>
        <v/>
      </c>
      <c r="AD22" s="301" t="str">
        <f t="shared" si="4"/>
        <v/>
      </c>
      <c r="AE22" s="301" t="str">
        <f t="shared" si="4"/>
        <v/>
      </c>
      <c r="AF22" s="301" t="str">
        <f t="shared" si="4"/>
        <v/>
      </c>
      <c r="AG22" s="301" t="str">
        <f t="shared" si="4"/>
        <v/>
      </c>
      <c r="AH22" s="301" t="str">
        <f t="shared" si="4"/>
        <v/>
      </c>
      <c r="AI22" s="301" t="str">
        <f t="shared" si="4"/>
        <v/>
      </c>
      <c r="AJ22" s="301" t="str">
        <f t="shared" si="4"/>
        <v/>
      </c>
      <c r="AK22" s="301" t="str">
        <f t="shared" si="4"/>
        <v/>
      </c>
      <c r="AL22" s="301" t="str">
        <f t="shared" si="4"/>
        <v/>
      </c>
      <c r="AM22" s="302" t="str">
        <f t="shared" si="4"/>
        <v/>
      </c>
      <c r="AN22" s="317"/>
      <c r="AO22" s="317"/>
      <c r="AP22" s="317"/>
      <c r="AQ22" s="317"/>
      <c r="AR22" s="317"/>
      <c r="AS22" s="317"/>
      <c r="AT22" s="531"/>
    </row>
    <row r="23" spans="1:46" ht="15" hidden="1" outlineLevel="1" thickBot="1" x14ac:dyDescent="0.35">
      <c r="A23" s="230" t="s">
        <v>55</v>
      </c>
      <c r="B23" s="246">
        <f xml:space="preserve">
IF(B21="","",B20-B21)</f>
        <v>2441531</v>
      </c>
      <c r="C23" s="247">
        <f t="shared" ref="C23:I23" si="5" xml:space="preserve">
IF(C21="","",C20-C21)</f>
        <v>0</v>
      </c>
      <c r="D23" s="248">
        <f t="shared" si="5"/>
        <v>0</v>
      </c>
      <c r="E23" s="248"/>
      <c r="F23" s="248">
        <f t="shared" si="5"/>
        <v>24231</v>
      </c>
      <c r="G23" s="248">
        <f t="shared" si="5"/>
        <v>0</v>
      </c>
      <c r="H23" s="248">
        <f t="shared" si="5"/>
        <v>618931</v>
      </c>
      <c r="I23" s="248">
        <f t="shared" si="5"/>
        <v>0</v>
      </c>
      <c r="J23" s="248">
        <f t="shared" ref="J23:AM23" si="6" xml:space="preserve">
IF(J21="","",J20-J21)</f>
        <v>0</v>
      </c>
      <c r="K23" s="248">
        <f t="shared" si="6"/>
        <v>0</v>
      </c>
      <c r="L23" s="248">
        <f t="shared" si="6"/>
        <v>0</v>
      </c>
      <c r="M23" s="248">
        <f t="shared" si="6"/>
        <v>0</v>
      </c>
      <c r="N23" s="248">
        <f t="shared" si="6"/>
        <v>0</v>
      </c>
      <c r="O23" s="248">
        <f t="shared" si="6"/>
        <v>0</v>
      </c>
      <c r="P23" s="248">
        <f t="shared" si="6"/>
        <v>0</v>
      </c>
      <c r="Q23" s="248">
        <f t="shared" si="6"/>
        <v>0</v>
      </c>
      <c r="R23" s="248">
        <f t="shared" si="6"/>
        <v>0</v>
      </c>
      <c r="S23" s="248">
        <f t="shared" si="6"/>
        <v>1221794</v>
      </c>
      <c r="T23" s="248">
        <f t="shared" si="6"/>
        <v>0</v>
      </c>
      <c r="U23" s="248">
        <f t="shared" si="6"/>
        <v>0</v>
      </c>
      <c r="V23" s="248">
        <f t="shared" si="6"/>
        <v>0</v>
      </c>
      <c r="W23" s="248">
        <f t="shared" si="6"/>
        <v>0</v>
      </c>
      <c r="X23" s="248">
        <f t="shared" si="6"/>
        <v>0</v>
      </c>
      <c r="Y23" s="248">
        <f t="shared" si="6"/>
        <v>0</v>
      </c>
      <c r="Z23" s="248">
        <f t="shared" si="6"/>
        <v>0</v>
      </c>
      <c r="AA23" s="248"/>
      <c r="AB23" s="248">
        <f t="shared" si="6"/>
        <v>0</v>
      </c>
      <c r="AC23" s="248">
        <f t="shared" si="6"/>
        <v>0</v>
      </c>
      <c r="AD23" s="248">
        <f t="shared" si="6"/>
        <v>0</v>
      </c>
      <c r="AE23" s="248">
        <f t="shared" si="6"/>
        <v>0</v>
      </c>
      <c r="AF23" s="248">
        <f t="shared" si="6"/>
        <v>0</v>
      </c>
      <c r="AG23" s="248">
        <f t="shared" si="6"/>
        <v>0</v>
      </c>
      <c r="AH23" s="248">
        <f t="shared" si="6"/>
        <v>0</v>
      </c>
      <c r="AI23" s="248">
        <f t="shared" si="6"/>
        <v>0</v>
      </c>
      <c r="AJ23" s="248">
        <f t="shared" si="6"/>
        <v>0</v>
      </c>
      <c r="AK23" s="248">
        <f t="shared" si="6"/>
        <v>0</v>
      </c>
      <c r="AL23" s="248">
        <f t="shared" si="6"/>
        <v>0</v>
      </c>
      <c r="AM23" s="249">
        <f t="shared" si="6"/>
        <v>0</v>
      </c>
      <c r="AN23" s="317"/>
      <c r="AO23" s="317"/>
      <c r="AP23" s="317"/>
      <c r="AQ23" s="317"/>
      <c r="AR23" s="317"/>
      <c r="AS23" s="317"/>
      <c r="AT23" s="531"/>
    </row>
    <row r="24" spans="1:46" x14ac:dyDescent="0.3">
      <c r="A24" s="224" t="s">
        <v>173</v>
      </c>
      <c r="B24" s="273" t="s">
        <v>3</v>
      </c>
      <c r="C24" s="532" t="s">
        <v>185</v>
      </c>
      <c r="D24" s="503"/>
      <c r="E24" s="504"/>
      <c r="F24" s="505" t="s">
        <v>271</v>
      </c>
      <c r="G24" s="506"/>
      <c r="H24" s="506"/>
      <c r="I24" s="506"/>
      <c r="J24" s="506"/>
      <c r="K24" s="506"/>
      <c r="L24" s="505" t="s">
        <v>184</v>
      </c>
      <c r="M24" s="504"/>
      <c r="N24" s="504"/>
      <c r="O24" s="504"/>
      <c r="P24" s="504"/>
      <c r="Q24" s="504"/>
      <c r="R24" s="504"/>
      <c r="S24" s="504"/>
      <c r="T24" s="504"/>
      <c r="U24" s="504"/>
      <c r="V24" s="504"/>
      <c r="W24" s="504"/>
      <c r="X24" s="504"/>
      <c r="Y24" s="504"/>
      <c r="Z24" s="504"/>
      <c r="AA24" s="504"/>
      <c r="AB24" s="504"/>
      <c r="AC24" s="504"/>
      <c r="AD24" s="504"/>
      <c r="AE24" s="504"/>
      <c r="AF24" s="504"/>
      <c r="AG24" s="504"/>
      <c r="AH24" s="504"/>
      <c r="AI24" s="504"/>
      <c r="AJ24" s="504"/>
      <c r="AK24" s="504"/>
      <c r="AL24" s="504"/>
      <c r="AM24" s="504"/>
      <c r="AN24" s="504"/>
      <c r="AO24" s="504"/>
      <c r="AP24" s="504"/>
      <c r="AQ24" s="505" t="s">
        <v>272</v>
      </c>
      <c r="AR24" s="504"/>
      <c r="AS24" s="527"/>
      <c r="AT24" s="531"/>
    </row>
    <row r="25" spans="1:46" x14ac:dyDescent="0.3">
      <c r="A25" s="225" t="s">
        <v>60</v>
      </c>
      <c r="B25" s="242">
        <f xml:space="preserve">
SUM(C25:AS25)</f>
        <v>1750</v>
      </c>
      <c r="C25" s="533">
        <f xml:space="preserve">
IF($A$4&lt;=12,SUMIFS('ON Data'!$I:$I,'ON Data'!$D:$D,$A$4,'ON Data'!$E:$E,10),SUMIFS('ON Data'!$I:$I,'ON Data'!$E:$E,10))</f>
        <v>0</v>
      </c>
      <c r="D25" s="507"/>
      <c r="E25" s="508"/>
      <c r="F25" s="509">
        <f xml:space="preserve">
IF($A$4&lt;=12,SUMIFS('ON Data'!K:K,'ON Data'!$D:$D,$A$4,'ON Data'!$E:$E,10),SUMIFS('ON Data'!K:K,'ON Data'!$E:$E,10))</f>
        <v>0</v>
      </c>
      <c r="G25" s="508"/>
      <c r="H25" s="508"/>
      <c r="I25" s="508"/>
      <c r="J25" s="508"/>
      <c r="K25" s="508"/>
      <c r="L25" s="509">
        <f xml:space="preserve">
IF($A$4&lt;=12,SUMIFS('ON Data'!P:P,'ON Data'!$D:$D,$A$4,'ON Data'!$E:$E,10),SUMIFS('ON Data'!P:P,'ON Data'!$E:$E,10))</f>
        <v>1750</v>
      </c>
      <c r="M25" s="508"/>
      <c r="N25" s="508"/>
      <c r="O25" s="508"/>
      <c r="P25" s="508"/>
      <c r="Q25" s="508"/>
      <c r="R25" s="508"/>
      <c r="S25" s="508"/>
      <c r="T25" s="508"/>
      <c r="U25" s="508"/>
      <c r="V25" s="508"/>
      <c r="W25" s="508"/>
      <c r="X25" s="508"/>
      <c r="Y25" s="508"/>
      <c r="Z25" s="508"/>
      <c r="AA25" s="508"/>
      <c r="AB25" s="508"/>
      <c r="AC25" s="508"/>
      <c r="AD25" s="508"/>
      <c r="AE25" s="508"/>
      <c r="AF25" s="508"/>
      <c r="AG25" s="508"/>
      <c r="AH25" s="508"/>
      <c r="AI25" s="508"/>
      <c r="AJ25" s="508"/>
      <c r="AK25" s="508"/>
      <c r="AL25" s="508"/>
      <c r="AM25" s="508"/>
      <c r="AN25" s="508"/>
      <c r="AO25" s="508"/>
      <c r="AP25" s="508"/>
      <c r="AQ25" s="509">
        <f xml:space="preserve">
IF($A$4&lt;=12,SUMIFS('ON Data'!AW:AW,'ON Data'!$D:$D,$A$4,'ON Data'!$E:$E,10),SUMIFS('ON Data'!AW:AW,'ON Data'!$E:$E,10))</f>
        <v>0</v>
      </c>
      <c r="AR25" s="508"/>
      <c r="AS25" s="528"/>
      <c r="AT25" s="531"/>
    </row>
    <row r="26" spans="1:46" x14ac:dyDescent="0.3">
      <c r="A26" s="231" t="s">
        <v>183</v>
      </c>
      <c r="B26" s="253">
        <f xml:space="preserve">
SUM(C26:AS26)</f>
        <v>5651.2940976339505</v>
      </c>
      <c r="C26" s="533">
        <f xml:space="preserve">
IF($A$4&lt;=12,SUMIFS('ON Data'!$I:$I,'ON Data'!$D:$D,$A$4,'ON Data'!$E:$E,11),SUMIFS('ON Data'!$I:$I,'ON Data'!$E:$E,11))</f>
        <v>0</v>
      </c>
      <c r="D26" s="507"/>
      <c r="E26" s="508"/>
      <c r="F26" s="509">
        <f xml:space="preserve">
IF($A$4&lt;=12,SUMIFS('ON Data'!K:K,'ON Data'!$D:$D,$A$4,'ON Data'!$E:$E,11),SUMIFS('ON Data'!K:K,'ON Data'!$E:$E,11))</f>
        <v>2484.6274309672831</v>
      </c>
      <c r="G26" s="508"/>
      <c r="H26" s="508"/>
      <c r="I26" s="508"/>
      <c r="J26" s="508"/>
      <c r="K26" s="508"/>
      <c r="L26" s="510">
        <f xml:space="preserve">
IF($A$4&lt;=12,SUMIFS('ON Data'!P:P,'ON Data'!$D:$D,$A$4,'ON Data'!$E:$E,11),SUMIFS('ON Data'!P:P,'ON Data'!$E:$E,11))</f>
        <v>1083.3333333333333</v>
      </c>
      <c r="M26" s="511"/>
      <c r="N26" s="511"/>
      <c r="O26" s="511"/>
      <c r="P26" s="511"/>
      <c r="Q26" s="511"/>
      <c r="R26" s="511"/>
      <c r="S26" s="511"/>
      <c r="T26" s="511"/>
      <c r="U26" s="511"/>
      <c r="V26" s="511"/>
      <c r="W26" s="511"/>
      <c r="X26" s="511"/>
      <c r="Y26" s="511"/>
      <c r="Z26" s="511"/>
      <c r="AA26" s="511"/>
      <c r="AB26" s="511"/>
      <c r="AC26" s="511"/>
      <c r="AD26" s="511"/>
      <c r="AE26" s="511"/>
      <c r="AF26" s="511"/>
      <c r="AG26" s="511"/>
      <c r="AH26" s="511"/>
      <c r="AI26" s="511"/>
      <c r="AJ26" s="511"/>
      <c r="AK26" s="511"/>
      <c r="AL26" s="511"/>
      <c r="AM26" s="511"/>
      <c r="AN26" s="511"/>
      <c r="AO26" s="511"/>
      <c r="AP26" s="511"/>
      <c r="AQ26" s="510">
        <f xml:space="preserve">
IF($A$4&lt;=12,SUMIFS('ON Data'!AW:AW,'ON Data'!$D:$D,$A$4,'ON Data'!$E:$E,11),SUMIFS('ON Data'!AW:AW,'ON Data'!$E:$E,11))</f>
        <v>2083.3333333333335</v>
      </c>
      <c r="AR26" s="511"/>
      <c r="AS26" s="529"/>
      <c r="AT26" s="531"/>
    </row>
    <row r="27" spans="1:46" x14ac:dyDescent="0.3">
      <c r="A27" s="231" t="s">
        <v>62</v>
      </c>
      <c r="B27" s="274">
        <f xml:space="preserve">
IF(B26=0,0,B25/B26)</f>
        <v>0.30966358674072181</v>
      </c>
      <c r="C27" s="534">
        <f xml:space="preserve">
IF(C26=0,0,C25/C26)</f>
        <v>0</v>
      </c>
      <c r="D27" s="507"/>
      <c r="E27" s="508"/>
      <c r="F27" s="512">
        <f xml:space="preserve">
IF(F26=0,0,F25/F26)</f>
        <v>0</v>
      </c>
      <c r="G27" s="508"/>
      <c r="H27" s="508"/>
      <c r="I27" s="508"/>
      <c r="J27" s="508"/>
      <c r="K27" s="508"/>
      <c r="L27" s="512">
        <f xml:space="preserve">
IF(L26=0,0,L25/L26)</f>
        <v>1.6153846153846154</v>
      </c>
      <c r="M27" s="508"/>
      <c r="N27" s="508"/>
      <c r="O27" s="508"/>
      <c r="P27" s="508"/>
      <c r="Q27" s="508"/>
      <c r="R27" s="508"/>
      <c r="S27" s="508"/>
      <c r="T27" s="508"/>
      <c r="U27" s="508"/>
      <c r="V27" s="508"/>
      <c r="W27" s="508"/>
      <c r="X27" s="508"/>
      <c r="Y27" s="508"/>
      <c r="Z27" s="508"/>
      <c r="AA27" s="508"/>
      <c r="AB27" s="508"/>
      <c r="AC27" s="508"/>
      <c r="AD27" s="508"/>
      <c r="AE27" s="508"/>
      <c r="AF27" s="508"/>
      <c r="AG27" s="508"/>
      <c r="AH27" s="508"/>
      <c r="AI27" s="508"/>
      <c r="AJ27" s="508"/>
      <c r="AK27" s="508"/>
      <c r="AL27" s="508"/>
      <c r="AM27" s="508"/>
      <c r="AN27" s="508"/>
      <c r="AO27" s="508"/>
      <c r="AP27" s="508"/>
      <c r="AQ27" s="512">
        <f xml:space="preserve">
IF(AQ26=0,0,AQ25/AQ26)</f>
        <v>0</v>
      </c>
      <c r="AR27" s="508"/>
      <c r="AS27" s="528"/>
      <c r="AT27" s="531"/>
    </row>
    <row r="28" spans="1:46" ht="15" thickBot="1" x14ac:dyDescent="0.35">
      <c r="A28" s="231" t="s">
        <v>182</v>
      </c>
      <c r="B28" s="253">
        <f xml:space="preserve">
SUM(C28:AS28)</f>
        <v>3901.2940976339496</v>
      </c>
      <c r="C28" s="535">
        <f xml:space="preserve">
C26-C25</f>
        <v>0</v>
      </c>
      <c r="D28" s="513"/>
      <c r="E28" s="514"/>
      <c r="F28" s="515">
        <f xml:space="preserve">
F26-F25</f>
        <v>2484.6274309672831</v>
      </c>
      <c r="G28" s="514"/>
      <c r="H28" s="514"/>
      <c r="I28" s="514"/>
      <c r="J28" s="514"/>
      <c r="K28" s="514"/>
      <c r="L28" s="515">
        <f xml:space="preserve">
L26-L25</f>
        <v>-666.66666666666674</v>
      </c>
      <c r="M28" s="514"/>
      <c r="N28" s="514"/>
      <c r="O28" s="514"/>
      <c r="P28" s="514"/>
      <c r="Q28" s="514"/>
      <c r="R28" s="514"/>
      <c r="S28" s="514"/>
      <c r="T28" s="514"/>
      <c r="U28" s="514"/>
      <c r="V28" s="514"/>
      <c r="W28" s="514"/>
      <c r="X28" s="514"/>
      <c r="Y28" s="514"/>
      <c r="Z28" s="514"/>
      <c r="AA28" s="514"/>
      <c r="AB28" s="514"/>
      <c r="AC28" s="514"/>
      <c r="AD28" s="514"/>
      <c r="AE28" s="514"/>
      <c r="AF28" s="514"/>
      <c r="AG28" s="514"/>
      <c r="AH28" s="514"/>
      <c r="AI28" s="514"/>
      <c r="AJ28" s="514"/>
      <c r="AK28" s="514"/>
      <c r="AL28" s="514"/>
      <c r="AM28" s="514"/>
      <c r="AN28" s="514"/>
      <c r="AO28" s="514"/>
      <c r="AP28" s="514"/>
      <c r="AQ28" s="515">
        <f xml:space="preserve">
AQ26-AQ25</f>
        <v>2083.3333333333335</v>
      </c>
      <c r="AR28" s="514"/>
      <c r="AS28" s="530"/>
      <c r="AT28" s="531"/>
    </row>
    <row r="29" spans="1:46" x14ac:dyDescent="0.3">
      <c r="A29" s="232"/>
      <c r="B29" s="232"/>
      <c r="C29" s="233"/>
      <c r="D29" s="232"/>
      <c r="E29" s="232"/>
      <c r="F29" s="232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3"/>
      <c r="AF29" s="233"/>
      <c r="AG29" s="233"/>
      <c r="AH29" s="233"/>
      <c r="AI29" s="232"/>
      <c r="AJ29" s="232"/>
      <c r="AK29" s="232"/>
      <c r="AL29" s="232"/>
      <c r="AM29" s="232"/>
    </row>
    <row r="30" spans="1:46" x14ac:dyDescent="0.3">
      <c r="A30" s="99" t="s">
        <v>139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34"/>
      <c r="AL30" s="134"/>
      <c r="AM30" s="134"/>
    </row>
    <row r="31" spans="1:46" x14ac:dyDescent="0.3">
      <c r="A31" s="100" t="s">
        <v>180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34"/>
      <c r="AL31" s="134"/>
      <c r="AM31" s="134"/>
    </row>
    <row r="32" spans="1:46" ht="14.4" customHeight="1" x14ac:dyDescent="0.3">
      <c r="A32" s="270" t="s">
        <v>177</v>
      </c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1"/>
      <c r="V32" s="271"/>
      <c r="W32" s="271"/>
      <c r="X32" s="271"/>
      <c r="Y32" s="271"/>
      <c r="Z32" s="271"/>
      <c r="AA32" s="271"/>
      <c r="AB32" s="271"/>
      <c r="AC32" s="271"/>
      <c r="AD32" s="271"/>
      <c r="AE32" s="271"/>
      <c r="AF32" s="271"/>
      <c r="AG32" s="271"/>
      <c r="AH32" s="271"/>
      <c r="AI32" s="271"/>
      <c r="AJ32" s="271"/>
    </row>
    <row r="33" spans="1:1" x14ac:dyDescent="0.3">
      <c r="A33" s="272" t="s">
        <v>267</v>
      </c>
    </row>
    <row r="34" spans="1:1" x14ac:dyDescent="0.3">
      <c r="A34" s="272" t="s">
        <v>268</v>
      </c>
    </row>
    <row r="35" spans="1:1" x14ac:dyDescent="0.3">
      <c r="A35" s="272" t="s">
        <v>269</v>
      </c>
    </row>
    <row r="36" spans="1:1" x14ac:dyDescent="0.3">
      <c r="A36" s="272" t="s">
        <v>270</v>
      </c>
    </row>
    <row r="37" spans="1:1" x14ac:dyDescent="0.3">
      <c r="A37" s="272" t="s">
        <v>186</v>
      </c>
    </row>
  </sheetData>
  <mergeCells count="22">
    <mergeCell ref="AQ28:AS28"/>
    <mergeCell ref="L24:AP24"/>
    <mergeCell ref="L25:AP25"/>
    <mergeCell ref="L26:AP26"/>
    <mergeCell ref="L27:AP27"/>
    <mergeCell ref="L28:AP28"/>
    <mergeCell ref="A1:AS1"/>
    <mergeCell ref="F24:K24"/>
    <mergeCell ref="F25:K25"/>
    <mergeCell ref="F26:K26"/>
    <mergeCell ref="F27:K27"/>
    <mergeCell ref="B3:B4"/>
    <mergeCell ref="AQ24:AS24"/>
    <mergeCell ref="AQ25:AS25"/>
    <mergeCell ref="AQ26:AS26"/>
    <mergeCell ref="AQ27:AS27"/>
    <mergeCell ref="F28:K28"/>
    <mergeCell ref="C24:E24"/>
    <mergeCell ref="C25:E25"/>
    <mergeCell ref="C26:E26"/>
    <mergeCell ref="C27:E27"/>
    <mergeCell ref="C28:E28"/>
  </mergeCells>
  <conditionalFormatting sqref="C27">
    <cfRule type="cellIs" dxfId="10" priority="12" operator="greaterThan">
      <formula>1</formula>
    </cfRule>
  </conditionalFormatting>
  <conditionalFormatting sqref="C28">
    <cfRule type="cellIs" dxfId="9" priority="11" operator="lessThan">
      <formula>0</formula>
    </cfRule>
  </conditionalFormatting>
  <conditionalFormatting sqref="B22:AM22">
    <cfRule type="cellIs" dxfId="8" priority="10" operator="greaterThan">
      <formula>1</formula>
    </cfRule>
  </conditionalFormatting>
  <conditionalFormatting sqref="B23:AM23">
    <cfRule type="cellIs" dxfId="7" priority="9" operator="greaterThan">
      <formula>0</formula>
    </cfRule>
  </conditionalFormatting>
  <conditionalFormatting sqref="L28">
    <cfRule type="cellIs" dxfId="6" priority="5" operator="lessThan">
      <formula>0</formula>
    </cfRule>
  </conditionalFormatting>
  <conditionalFormatting sqref="L27">
    <cfRule type="cellIs" dxfId="5" priority="6" operator="greaterThan">
      <formula>1</formula>
    </cfRule>
  </conditionalFormatting>
  <conditionalFormatting sqref="F27">
    <cfRule type="cellIs" dxfId="4" priority="4" operator="greaterThan">
      <formula>1</formula>
    </cfRule>
  </conditionalFormatting>
  <conditionalFormatting sqref="F28">
    <cfRule type="cellIs" dxfId="3" priority="3" operator="lessThan">
      <formula>0</formula>
    </cfRule>
  </conditionalFormatting>
  <conditionalFormatting sqref="AQ28">
    <cfRule type="cellIs" dxfId="2" priority="1" operator="lessThan">
      <formula>0</formula>
    </cfRule>
  </conditionalFormatting>
  <conditionalFormatting sqref="AQ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18"/>
  <sheetViews>
    <sheetView showGridLines="0" showRowColHeaders="0" workbookViewId="0"/>
  </sheetViews>
  <sheetFormatPr defaultRowHeight="14.4" x14ac:dyDescent="0.3"/>
  <cols>
    <col min="1" max="16384" width="8.88671875" style="211"/>
  </cols>
  <sheetData>
    <row r="1" spans="1:49" x14ac:dyDescent="0.3">
      <c r="A1" s="211" t="s">
        <v>1017</v>
      </c>
    </row>
    <row r="2" spans="1:49" x14ac:dyDescent="0.3">
      <c r="A2" s="215" t="s">
        <v>273</v>
      </c>
    </row>
    <row r="3" spans="1:49" x14ac:dyDescent="0.3">
      <c r="A3" s="211" t="s">
        <v>145</v>
      </c>
      <c r="B3" s="236">
        <v>2017</v>
      </c>
      <c r="D3" s="212">
        <f>MAX(D5:D1048576)</f>
        <v>2</v>
      </c>
      <c r="F3" s="212">
        <f>SUMIF($E5:$E1048576,"&lt;10",F5:F1048576)</f>
        <v>2463074.5</v>
      </c>
      <c r="G3" s="212">
        <f t="shared" ref="G3:AW3" si="0">SUMIF($E5:$E1048576,"&lt;10",G5:G1048576)</f>
        <v>0</v>
      </c>
      <c r="H3" s="212">
        <f t="shared" si="0"/>
        <v>0</v>
      </c>
      <c r="I3" s="212">
        <f t="shared" si="0"/>
        <v>41489</v>
      </c>
      <c r="J3" s="212">
        <f t="shared" si="0"/>
        <v>24304.799999999999</v>
      </c>
      <c r="K3" s="212">
        <f t="shared" si="0"/>
        <v>0</v>
      </c>
      <c r="L3" s="212">
        <f t="shared" si="0"/>
        <v>620137.69999999995</v>
      </c>
      <c r="M3" s="212">
        <f t="shared" si="0"/>
        <v>0</v>
      </c>
      <c r="N3" s="212">
        <f t="shared" si="0"/>
        <v>0</v>
      </c>
      <c r="O3" s="212">
        <f t="shared" si="0"/>
        <v>0</v>
      </c>
      <c r="P3" s="212">
        <f t="shared" si="0"/>
        <v>0</v>
      </c>
      <c r="Q3" s="212">
        <f t="shared" si="0"/>
        <v>0</v>
      </c>
      <c r="R3" s="212">
        <f t="shared" si="0"/>
        <v>0</v>
      </c>
      <c r="S3" s="212">
        <f t="shared" si="0"/>
        <v>0</v>
      </c>
      <c r="T3" s="212">
        <f t="shared" si="0"/>
        <v>0</v>
      </c>
      <c r="U3" s="212">
        <f t="shared" si="0"/>
        <v>0</v>
      </c>
      <c r="V3" s="212">
        <f t="shared" si="0"/>
        <v>0</v>
      </c>
      <c r="W3" s="212">
        <f t="shared" si="0"/>
        <v>1237786</v>
      </c>
      <c r="X3" s="212">
        <f t="shared" si="0"/>
        <v>0</v>
      </c>
      <c r="Y3" s="212">
        <f t="shared" si="0"/>
        <v>0</v>
      </c>
      <c r="Z3" s="212">
        <f t="shared" si="0"/>
        <v>0</v>
      </c>
      <c r="AA3" s="212">
        <f t="shared" si="0"/>
        <v>0</v>
      </c>
      <c r="AB3" s="212">
        <f t="shared" si="0"/>
        <v>0</v>
      </c>
      <c r="AC3" s="212">
        <f t="shared" si="0"/>
        <v>0</v>
      </c>
      <c r="AD3" s="212">
        <f t="shared" si="0"/>
        <v>0</v>
      </c>
      <c r="AE3" s="212">
        <f t="shared" si="0"/>
        <v>0</v>
      </c>
      <c r="AF3" s="212">
        <f t="shared" si="0"/>
        <v>0</v>
      </c>
      <c r="AG3" s="212">
        <f t="shared" si="0"/>
        <v>0</v>
      </c>
      <c r="AH3" s="212">
        <f t="shared" si="0"/>
        <v>0</v>
      </c>
      <c r="AI3" s="212">
        <f t="shared" si="0"/>
        <v>0</v>
      </c>
      <c r="AJ3" s="212">
        <f t="shared" si="0"/>
        <v>0</v>
      </c>
      <c r="AK3" s="212">
        <f t="shared" si="0"/>
        <v>0</v>
      </c>
      <c r="AL3" s="212">
        <f t="shared" si="0"/>
        <v>0</v>
      </c>
      <c r="AM3" s="212">
        <f t="shared" si="0"/>
        <v>0</v>
      </c>
      <c r="AN3" s="212">
        <f t="shared" si="0"/>
        <v>0</v>
      </c>
      <c r="AO3" s="212">
        <f t="shared" si="0"/>
        <v>0</v>
      </c>
      <c r="AP3" s="212">
        <f t="shared" si="0"/>
        <v>0</v>
      </c>
      <c r="AQ3" s="212">
        <f t="shared" si="0"/>
        <v>0</v>
      </c>
      <c r="AR3" s="212">
        <f t="shared" si="0"/>
        <v>0</v>
      </c>
      <c r="AS3" s="212">
        <f t="shared" si="0"/>
        <v>0</v>
      </c>
      <c r="AT3" s="212">
        <f t="shared" si="0"/>
        <v>117344</v>
      </c>
      <c r="AU3" s="212">
        <f t="shared" si="0"/>
        <v>0</v>
      </c>
      <c r="AV3" s="212">
        <f t="shared" si="0"/>
        <v>0</v>
      </c>
      <c r="AW3" s="212">
        <f t="shared" si="0"/>
        <v>422013</v>
      </c>
    </row>
    <row r="4" spans="1:49" x14ac:dyDescent="0.3">
      <c r="A4" s="211" t="s">
        <v>146</v>
      </c>
      <c r="B4" s="236">
        <v>1</v>
      </c>
      <c r="C4" s="213" t="s">
        <v>5</v>
      </c>
      <c r="D4" s="214" t="s">
        <v>54</v>
      </c>
      <c r="E4" s="214" t="s">
        <v>144</v>
      </c>
      <c r="F4" s="214" t="s">
        <v>3</v>
      </c>
      <c r="G4" s="214">
        <v>0</v>
      </c>
      <c r="H4" s="214">
        <v>25</v>
      </c>
      <c r="I4" s="214">
        <v>30</v>
      </c>
      <c r="J4" s="214">
        <v>99</v>
      </c>
      <c r="K4" s="214">
        <v>100</v>
      </c>
      <c r="L4" s="214">
        <v>101</v>
      </c>
      <c r="M4" s="214">
        <v>102</v>
      </c>
      <c r="N4" s="214">
        <v>103</v>
      </c>
      <c r="O4" s="214">
        <v>203</v>
      </c>
      <c r="P4" s="214">
        <v>302</v>
      </c>
      <c r="Q4" s="214">
        <v>303</v>
      </c>
      <c r="R4" s="214">
        <v>304</v>
      </c>
      <c r="S4" s="214">
        <v>305</v>
      </c>
      <c r="T4" s="214">
        <v>306</v>
      </c>
      <c r="U4" s="214">
        <v>407</v>
      </c>
      <c r="V4" s="214">
        <v>408</v>
      </c>
      <c r="W4" s="214">
        <v>409</v>
      </c>
      <c r="X4" s="214">
        <v>410</v>
      </c>
      <c r="Y4" s="214">
        <v>415</v>
      </c>
      <c r="Z4" s="214">
        <v>416</v>
      </c>
      <c r="AA4" s="214">
        <v>418</v>
      </c>
      <c r="AB4" s="214">
        <v>419</v>
      </c>
      <c r="AC4" s="214">
        <v>420</v>
      </c>
      <c r="AD4" s="214">
        <v>421</v>
      </c>
      <c r="AE4" s="214">
        <v>422</v>
      </c>
      <c r="AF4" s="214">
        <v>520</v>
      </c>
      <c r="AG4" s="214">
        <v>521</v>
      </c>
      <c r="AH4" s="214">
        <v>522</v>
      </c>
      <c r="AI4" s="214">
        <v>523</v>
      </c>
      <c r="AJ4" s="214">
        <v>524</v>
      </c>
      <c r="AK4" s="214">
        <v>525</v>
      </c>
      <c r="AL4" s="214">
        <v>526</v>
      </c>
      <c r="AM4" s="214">
        <v>527</v>
      </c>
      <c r="AN4" s="214">
        <v>528</v>
      </c>
      <c r="AO4" s="214">
        <v>629</v>
      </c>
      <c r="AP4" s="214">
        <v>630</v>
      </c>
      <c r="AQ4" s="214">
        <v>636</v>
      </c>
      <c r="AR4" s="214">
        <v>637</v>
      </c>
      <c r="AS4" s="214">
        <v>640</v>
      </c>
      <c r="AT4" s="214">
        <v>642</v>
      </c>
      <c r="AU4" s="214">
        <v>743</v>
      </c>
      <c r="AV4" s="214">
        <v>745</v>
      </c>
      <c r="AW4" s="214">
        <v>746</v>
      </c>
    </row>
    <row r="5" spans="1:49" x14ac:dyDescent="0.3">
      <c r="A5" s="211" t="s">
        <v>147</v>
      </c>
      <c r="B5" s="236">
        <v>2</v>
      </c>
      <c r="C5" s="211">
        <v>40</v>
      </c>
      <c r="D5" s="211">
        <v>1</v>
      </c>
      <c r="E5" s="211">
        <v>1</v>
      </c>
      <c r="F5" s="211">
        <v>31.85</v>
      </c>
      <c r="G5" s="211">
        <v>0</v>
      </c>
      <c r="H5" s="211">
        <v>0</v>
      </c>
      <c r="I5" s="211">
        <v>1</v>
      </c>
      <c r="J5" s="211">
        <v>0.2</v>
      </c>
      <c r="K5" s="211">
        <v>0</v>
      </c>
      <c r="L5" s="211">
        <v>3.6500000000000004</v>
      </c>
      <c r="M5" s="211">
        <v>0</v>
      </c>
      <c r="N5" s="211">
        <v>0</v>
      </c>
      <c r="O5" s="211">
        <v>0</v>
      </c>
      <c r="P5" s="211">
        <v>0</v>
      </c>
      <c r="Q5" s="211">
        <v>0</v>
      </c>
      <c r="R5" s="211">
        <v>0</v>
      </c>
      <c r="S5" s="211">
        <v>0</v>
      </c>
      <c r="T5" s="211">
        <v>0</v>
      </c>
      <c r="U5" s="211">
        <v>0</v>
      </c>
      <c r="V5" s="211">
        <v>0</v>
      </c>
      <c r="W5" s="211">
        <v>19</v>
      </c>
      <c r="X5" s="211">
        <v>0</v>
      </c>
      <c r="Y5" s="211">
        <v>0</v>
      </c>
      <c r="Z5" s="211">
        <v>0</v>
      </c>
      <c r="AA5" s="211">
        <v>0</v>
      </c>
      <c r="AB5" s="211">
        <v>0</v>
      </c>
      <c r="AC5" s="211">
        <v>0</v>
      </c>
      <c r="AD5" s="211">
        <v>0</v>
      </c>
      <c r="AE5" s="211">
        <v>0</v>
      </c>
      <c r="AF5" s="211">
        <v>0</v>
      </c>
      <c r="AG5" s="211">
        <v>0</v>
      </c>
      <c r="AH5" s="211">
        <v>0</v>
      </c>
      <c r="AI5" s="211">
        <v>0</v>
      </c>
      <c r="AJ5" s="211">
        <v>0</v>
      </c>
      <c r="AK5" s="211">
        <v>0</v>
      </c>
      <c r="AL5" s="211">
        <v>0</v>
      </c>
      <c r="AM5" s="211">
        <v>0</v>
      </c>
      <c r="AN5" s="211">
        <v>0</v>
      </c>
      <c r="AO5" s="211">
        <v>0</v>
      </c>
      <c r="AP5" s="211">
        <v>0</v>
      </c>
      <c r="AQ5" s="211">
        <v>0</v>
      </c>
      <c r="AR5" s="211">
        <v>0</v>
      </c>
      <c r="AS5" s="211">
        <v>0</v>
      </c>
      <c r="AT5" s="211">
        <v>3</v>
      </c>
      <c r="AU5" s="211">
        <v>0</v>
      </c>
      <c r="AV5" s="211">
        <v>0</v>
      </c>
      <c r="AW5" s="211">
        <v>5</v>
      </c>
    </row>
    <row r="6" spans="1:49" x14ac:dyDescent="0.3">
      <c r="A6" s="211" t="s">
        <v>148</v>
      </c>
      <c r="B6" s="236">
        <v>3</v>
      </c>
      <c r="C6" s="211">
        <v>40</v>
      </c>
      <c r="D6" s="211">
        <v>1</v>
      </c>
      <c r="E6" s="211">
        <v>2</v>
      </c>
      <c r="F6" s="211">
        <v>5003.6000000000004</v>
      </c>
      <c r="G6" s="211">
        <v>0</v>
      </c>
      <c r="H6" s="211">
        <v>0</v>
      </c>
      <c r="I6" s="211">
        <v>152</v>
      </c>
      <c r="J6" s="211">
        <v>35.200000000000003</v>
      </c>
      <c r="K6" s="211">
        <v>0</v>
      </c>
      <c r="L6" s="211">
        <v>592.4</v>
      </c>
      <c r="M6" s="211">
        <v>0</v>
      </c>
      <c r="N6" s="211">
        <v>0</v>
      </c>
      <c r="O6" s="211">
        <v>0</v>
      </c>
      <c r="P6" s="211">
        <v>0</v>
      </c>
      <c r="Q6" s="211">
        <v>0</v>
      </c>
      <c r="R6" s="211">
        <v>0</v>
      </c>
      <c r="S6" s="211">
        <v>0</v>
      </c>
      <c r="T6" s="211">
        <v>0</v>
      </c>
      <c r="U6" s="211">
        <v>0</v>
      </c>
      <c r="V6" s="211">
        <v>0</v>
      </c>
      <c r="W6" s="211">
        <v>2936</v>
      </c>
      <c r="X6" s="211">
        <v>0</v>
      </c>
      <c r="Y6" s="211">
        <v>0</v>
      </c>
      <c r="Z6" s="211">
        <v>0</v>
      </c>
      <c r="AA6" s="211">
        <v>0</v>
      </c>
      <c r="AB6" s="211">
        <v>0</v>
      </c>
      <c r="AC6" s="211">
        <v>0</v>
      </c>
      <c r="AD6" s="211">
        <v>0</v>
      </c>
      <c r="AE6" s="211">
        <v>0</v>
      </c>
      <c r="AF6" s="211">
        <v>0</v>
      </c>
      <c r="AG6" s="211">
        <v>0</v>
      </c>
      <c r="AH6" s="211">
        <v>0</v>
      </c>
      <c r="AI6" s="211">
        <v>0</v>
      </c>
      <c r="AJ6" s="211">
        <v>0</v>
      </c>
      <c r="AK6" s="211">
        <v>0</v>
      </c>
      <c r="AL6" s="211">
        <v>0</v>
      </c>
      <c r="AM6" s="211">
        <v>0</v>
      </c>
      <c r="AN6" s="211">
        <v>0</v>
      </c>
      <c r="AO6" s="211">
        <v>0</v>
      </c>
      <c r="AP6" s="211">
        <v>0</v>
      </c>
      <c r="AQ6" s="211">
        <v>0</v>
      </c>
      <c r="AR6" s="211">
        <v>0</v>
      </c>
      <c r="AS6" s="211">
        <v>0</v>
      </c>
      <c r="AT6" s="211">
        <v>504</v>
      </c>
      <c r="AU6" s="211">
        <v>0</v>
      </c>
      <c r="AV6" s="211">
        <v>0</v>
      </c>
      <c r="AW6" s="211">
        <v>784</v>
      </c>
    </row>
    <row r="7" spans="1:49" x14ac:dyDescent="0.3">
      <c r="A7" s="211" t="s">
        <v>149</v>
      </c>
      <c r="B7" s="236">
        <v>4</v>
      </c>
      <c r="C7" s="211">
        <v>40</v>
      </c>
      <c r="D7" s="211">
        <v>1</v>
      </c>
      <c r="E7" s="211">
        <v>3</v>
      </c>
      <c r="F7" s="211">
        <v>22</v>
      </c>
      <c r="G7" s="211">
        <v>0</v>
      </c>
      <c r="H7" s="211">
        <v>0</v>
      </c>
      <c r="I7" s="211">
        <v>0</v>
      </c>
      <c r="J7" s="211">
        <v>0</v>
      </c>
      <c r="K7" s="211">
        <v>0</v>
      </c>
      <c r="L7" s="211">
        <v>22</v>
      </c>
      <c r="M7" s="211">
        <v>0</v>
      </c>
      <c r="N7" s="211">
        <v>0</v>
      </c>
      <c r="O7" s="211">
        <v>0</v>
      </c>
      <c r="P7" s="211">
        <v>0</v>
      </c>
      <c r="Q7" s="211">
        <v>0</v>
      </c>
      <c r="R7" s="211">
        <v>0</v>
      </c>
      <c r="S7" s="211">
        <v>0</v>
      </c>
      <c r="T7" s="211">
        <v>0</v>
      </c>
      <c r="U7" s="211">
        <v>0</v>
      </c>
      <c r="V7" s="211">
        <v>0</v>
      </c>
      <c r="W7" s="211">
        <v>0</v>
      </c>
      <c r="X7" s="211">
        <v>0</v>
      </c>
      <c r="Y7" s="211">
        <v>0</v>
      </c>
      <c r="Z7" s="211">
        <v>0</v>
      </c>
      <c r="AA7" s="211">
        <v>0</v>
      </c>
      <c r="AB7" s="211">
        <v>0</v>
      </c>
      <c r="AC7" s="211">
        <v>0</v>
      </c>
      <c r="AD7" s="211">
        <v>0</v>
      </c>
      <c r="AE7" s="211">
        <v>0</v>
      </c>
      <c r="AF7" s="211">
        <v>0</v>
      </c>
      <c r="AG7" s="211">
        <v>0</v>
      </c>
      <c r="AH7" s="211">
        <v>0</v>
      </c>
      <c r="AI7" s="211">
        <v>0</v>
      </c>
      <c r="AJ7" s="211">
        <v>0</v>
      </c>
      <c r="AK7" s="211">
        <v>0</v>
      </c>
      <c r="AL7" s="211">
        <v>0</v>
      </c>
      <c r="AM7" s="211">
        <v>0</v>
      </c>
      <c r="AN7" s="211">
        <v>0</v>
      </c>
      <c r="AO7" s="211">
        <v>0</v>
      </c>
      <c r="AP7" s="211">
        <v>0</v>
      </c>
      <c r="AQ7" s="211">
        <v>0</v>
      </c>
      <c r="AR7" s="211">
        <v>0</v>
      </c>
      <c r="AS7" s="211">
        <v>0</v>
      </c>
      <c r="AT7" s="211">
        <v>0</v>
      </c>
      <c r="AU7" s="211">
        <v>0</v>
      </c>
      <c r="AV7" s="211">
        <v>0</v>
      </c>
      <c r="AW7" s="211">
        <v>0</v>
      </c>
    </row>
    <row r="8" spans="1:49" x14ac:dyDescent="0.3">
      <c r="A8" s="211" t="s">
        <v>150</v>
      </c>
      <c r="B8" s="236">
        <v>5</v>
      </c>
      <c r="C8" s="211">
        <v>40</v>
      </c>
      <c r="D8" s="211">
        <v>1</v>
      </c>
      <c r="E8" s="211">
        <v>4</v>
      </c>
      <c r="F8" s="211">
        <v>198</v>
      </c>
      <c r="G8" s="211">
        <v>0</v>
      </c>
      <c r="H8" s="211">
        <v>0</v>
      </c>
      <c r="I8" s="211">
        <v>0</v>
      </c>
      <c r="J8" s="211">
        <v>0</v>
      </c>
      <c r="K8" s="211">
        <v>0</v>
      </c>
      <c r="L8" s="211">
        <v>8</v>
      </c>
      <c r="M8" s="211">
        <v>0</v>
      </c>
      <c r="N8" s="211">
        <v>0</v>
      </c>
      <c r="O8" s="211">
        <v>0</v>
      </c>
      <c r="P8" s="211">
        <v>0</v>
      </c>
      <c r="Q8" s="211">
        <v>0</v>
      </c>
      <c r="R8" s="211">
        <v>0</v>
      </c>
      <c r="S8" s="211">
        <v>0</v>
      </c>
      <c r="T8" s="211">
        <v>0</v>
      </c>
      <c r="U8" s="211">
        <v>0</v>
      </c>
      <c r="V8" s="211">
        <v>0</v>
      </c>
      <c r="W8" s="211">
        <v>134</v>
      </c>
      <c r="X8" s="211">
        <v>0</v>
      </c>
      <c r="Y8" s="211">
        <v>0</v>
      </c>
      <c r="Z8" s="211">
        <v>0</v>
      </c>
      <c r="AA8" s="211">
        <v>0</v>
      </c>
      <c r="AB8" s="211">
        <v>0</v>
      </c>
      <c r="AC8" s="211">
        <v>0</v>
      </c>
      <c r="AD8" s="211">
        <v>0</v>
      </c>
      <c r="AE8" s="211">
        <v>0</v>
      </c>
      <c r="AF8" s="211">
        <v>0</v>
      </c>
      <c r="AG8" s="211">
        <v>0</v>
      </c>
      <c r="AH8" s="211">
        <v>0</v>
      </c>
      <c r="AI8" s="211">
        <v>0</v>
      </c>
      <c r="AJ8" s="211">
        <v>0</v>
      </c>
      <c r="AK8" s="211">
        <v>0</v>
      </c>
      <c r="AL8" s="211">
        <v>0</v>
      </c>
      <c r="AM8" s="211">
        <v>0</v>
      </c>
      <c r="AN8" s="211">
        <v>0</v>
      </c>
      <c r="AO8" s="211">
        <v>0</v>
      </c>
      <c r="AP8" s="211">
        <v>0</v>
      </c>
      <c r="AQ8" s="211">
        <v>0</v>
      </c>
      <c r="AR8" s="211">
        <v>0</v>
      </c>
      <c r="AS8" s="211">
        <v>0</v>
      </c>
      <c r="AT8" s="211">
        <v>0</v>
      </c>
      <c r="AU8" s="211">
        <v>0</v>
      </c>
      <c r="AV8" s="211">
        <v>0</v>
      </c>
      <c r="AW8" s="211">
        <v>56</v>
      </c>
    </row>
    <row r="9" spans="1:49" x14ac:dyDescent="0.3">
      <c r="A9" s="211" t="s">
        <v>151</v>
      </c>
      <c r="B9" s="236">
        <v>6</v>
      </c>
      <c r="C9" s="211">
        <v>40</v>
      </c>
      <c r="D9" s="211">
        <v>1</v>
      </c>
      <c r="E9" s="211">
        <v>6</v>
      </c>
      <c r="F9" s="211">
        <v>1255562</v>
      </c>
      <c r="G9" s="211">
        <v>0</v>
      </c>
      <c r="H9" s="211">
        <v>0</v>
      </c>
      <c r="I9" s="211">
        <v>20764</v>
      </c>
      <c r="J9" s="211">
        <v>7660</v>
      </c>
      <c r="K9" s="211">
        <v>0</v>
      </c>
      <c r="L9" s="211">
        <v>323456</v>
      </c>
      <c r="M9" s="211">
        <v>0</v>
      </c>
      <c r="N9" s="211">
        <v>0</v>
      </c>
      <c r="O9" s="211">
        <v>0</v>
      </c>
      <c r="P9" s="211">
        <v>0</v>
      </c>
      <c r="Q9" s="211">
        <v>0</v>
      </c>
      <c r="R9" s="211">
        <v>0</v>
      </c>
      <c r="S9" s="211">
        <v>0</v>
      </c>
      <c r="T9" s="211">
        <v>0</v>
      </c>
      <c r="U9" s="211">
        <v>0</v>
      </c>
      <c r="V9" s="211">
        <v>0</v>
      </c>
      <c r="W9" s="211">
        <v>624814</v>
      </c>
      <c r="X9" s="211">
        <v>0</v>
      </c>
      <c r="Y9" s="211">
        <v>0</v>
      </c>
      <c r="Z9" s="211">
        <v>0</v>
      </c>
      <c r="AA9" s="211">
        <v>0</v>
      </c>
      <c r="AB9" s="211">
        <v>0</v>
      </c>
      <c r="AC9" s="211">
        <v>0</v>
      </c>
      <c r="AD9" s="211">
        <v>0</v>
      </c>
      <c r="AE9" s="211">
        <v>0</v>
      </c>
      <c r="AF9" s="211">
        <v>0</v>
      </c>
      <c r="AG9" s="211">
        <v>0</v>
      </c>
      <c r="AH9" s="211">
        <v>0</v>
      </c>
      <c r="AI9" s="211">
        <v>0</v>
      </c>
      <c r="AJ9" s="211">
        <v>0</v>
      </c>
      <c r="AK9" s="211">
        <v>0</v>
      </c>
      <c r="AL9" s="211">
        <v>0</v>
      </c>
      <c r="AM9" s="211">
        <v>0</v>
      </c>
      <c r="AN9" s="211">
        <v>0</v>
      </c>
      <c r="AO9" s="211">
        <v>0</v>
      </c>
      <c r="AP9" s="211">
        <v>0</v>
      </c>
      <c r="AQ9" s="211">
        <v>0</v>
      </c>
      <c r="AR9" s="211">
        <v>0</v>
      </c>
      <c r="AS9" s="211">
        <v>0</v>
      </c>
      <c r="AT9" s="211">
        <v>60283</v>
      </c>
      <c r="AU9" s="211">
        <v>0</v>
      </c>
      <c r="AV9" s="211">
        <v>0</v>
      </c>
      <c r="AW9" s="211">
        <v>218585</v>
      </c>
    </row>
    <row r="10" spans="1:49" x14ac:dyDescent="0.3">
      <c r="A10" s="211" t="s">
        <v>152</v>
      </c>
      <c r="B10" s="236">
        <v>7</v>
      </c>
      <c r="C10" s="211">
        <v>40</v>
      </c>
      <c r="D10" s="211">
        <v>1</v>
      </c>
      <c r="E10" s="211">
        <v>10</v>
      </c>
      <c r="F10" s="211">
        <v>1750</v>
      </c>
      <c r="G10" s="211">
        <v>0</v>
      </c>
      <c r="H10" s="211">
        <v>0</v>
      </c>
      <c r="I10" s="211">
        <v>0</v>
      </c>
      <c r="J10" s="211">
        <v>0</v>
      </c>
      <c r="K10" s="211">
        <v>0</v>
      </c>
      <c r="L10" s="211">
        <v>0</v>
      </c>
      <c r="M10" s="211">
        <v>0</v>
      </c>
      <c r="N10" s="211">
        <v>0</v>
      </c>
      <c r="O10" s="211">
        <v>0</v>
      </c>
      <c r="P10" s="211">
        <v>1750</v>
      </c>
      <c r="Q10" s="211">
        <v>0</v>
      </c>
      <c r="R10" s="211">
        <v>0</v>
      </c>
      <c r="S10" s="211">
        <v>0</v>
      </c>
      <c r="T10" s="211">
        <v>0</v>
      </c>
      <c r="U10" s="211">
        <v>0</v>
      </c>
      <c r="V10" s="211">
        <v>0</v>
      </c>
      <c r="W10" s="211">
        <v>0</v>
      </c>
      <c r="X10" s="211">
        <v>0</v>
      </c>
      <c r="Y10" s="211">
        <v>0</v>
      </c>
      <c r="Z10" s="211">
        <v>0</v>
      </c>
      <c r="AA10" s="211">
        <v>0</v>
      </c>
      <c r="AB10" s="211">
        <v>0</v>
      </c>
      <c r="AC10" s="211">
        <v>0</v>
      </c>
      <c r="AD10" s="211">
        <v>0</v>
      </c>
      <c r="AE10" s="211">
        <v>0</v>
      </c>
      <c r="AF10" s="211">
        <v>0</v>
      </c>
      <c r="AG10" s="211">
        <v>0</v>
      </c>
      <c r="AH10" s="211">
        <v>0</v>
      </c>
      <c r="AI10" s="211">
        <v>0</v>
      </c>
      <c r="AJ10" s="211">
        <v>0</v>
      </c>
      <c r="AK10" s="211">
        <v>0</v>
      </c>
      <c r="AL10" s="211">
        <v>0</v>
      </c>
      <c r="AM10" s="211">
        <v>0</v>
      </c>
      <c r="AN10" s="211">
        <v>0</v>
      </c>
      <c r="AO10" s="211">
        <v>0</v>
      </c>
      <c r="AP10" s="211">
        <v>0</v>
      </c>
      <c r="AQ10" s="211">
        <v>0</v>
      </c>
      <c r="AR10" s="211">
        <v>0</v>
      </c>
      <c r="AS10" s="211">
        <v>0</v>
      </c>
      <c r="AT10" s="211">
        <v>0</v>
      </c>
      <c r="AU10" s="211">
        <v>0</v>
      </c>
      <c r="AV10" s="211">
        <v>0</v>
      </c>
      <c r="AW10" s="211">
        <v>0</v>
      </c>
    </row>
    <row r="11" spans="1:49" x14ac:dyDescent="0.3">
      <c r="A11" s="211" t="s">
        <v>153</v>
      </c>
      <c r="B11" s="236">
        <v>8</v>
      </c>
      <c r="C11" s="211">
        <v>40</v>
      </c>
      <c r="D11" s="211">
        <v>1</v>
      </c>
      <c r="E11" s="211">
        <v>11</v>
      </c>
      <c r="F11" s="211">
        <v>2825.6470488169753</v>
      </c>
      <c r="G11" s="211">
        <v>0</v>
      </c>
      <c r="H11" s="211">
        <v>0</v>
      </c>
      <c r="I11" s="211">
        <v>0</v>
      </c>
      <c r="J11" s="211">
        <v>0</v>
      </c>
      <c r="K11" s="211">
        <v>1242.3137154836415</v>
      </c>
      <c r="L11" s="211">
        <v>0</v>
      </c>
      <c r="M11" s="211">
        <v>0</v>
      </c>
      <c r="N11" s="211">
        <v>0</v>
      </c>
      <c r="O11" s="211">
        <v>0</v>
      </c>
      <c r="P11" s="211">
        <v>541.66666666666663</v>
      </c>
      <c r="Q11" s="211">
        <v>0</v>
      </c>
      <c r="R11" s="211">
        <v>0</v>
      </c>
      <c r="S11" s="211">
        <v>0</v>
      </c>
      <c r="T11" s="211">
        <v>0</v>
      </c>
      <c r="U11" s="211">
        <v>0</v>
      </c>
      <c r="V11" s="211">
        <v>0</v>
      </c>
      <c r="W11" s="211">
        <v>0</v>
      </c>
      <c r="X11" s="211">
        <v>0</v>
      </c>
      <c r="Y11" s="211">
        <v>0</v>
      </c>
      <c r="Z11" s="211">
        <v>0</v>
      </c>
      <c r="AA11" s="211">
        <v>0</v>
      </c>
      <c r="AB11" s="211">
        <v>0</v>
      </c>
      <c r="AC11" s="211">
        <v>0</v>
      </c>
      <c r="AD11" s="211">
        <v>0</v>
      </c>
      <c r="AE11" s="211">
        <v>0</v>
      </c>
      <c r="AF11" s="211">
        <v>0</v>
      </c>
      <c r="AG11" s="211">
        <v>0</v>
      </c>
      <c r="AH11" s="211">
        <v>0</v>
      </c>
      <c r="AI11" s="211">
        <v>0</v>
      </c>
      <c r="AJ11" s="211">
        <v>0</v>
      </c>
      <c r="AK11" s="211">
        <v>0</v>
      </c>
      <c r="AL11" s="211">
        <v>0</v>
      </c>
      <c r="AM11" s="211">
        <v>0</v>
      </c>
      <c r="AN11" s="211">
        <v>0</v>
      </c>
      <c r="AO11" s="211">
        <v>0</v>
      </c>
      <c r="AP11" s="211">
        <v>0</v>
      </c>
      <c r="AQ11" s="211">
        <v>0</v>
      </c>
      <c r="AR11" s="211">
        <v>0</v>
      </c>
      <c r="AS11" s="211">
        <v>0</v>
      </c>
      <c r="AT11" s="211">
        <v>0</v>
      </c>
      <c r="AU11" s="211">
        <v>0</v>
      </c>
      <c r="AV11" s="211">
        <v>0</v>
      </c>
      <c r="AW11" s="211">
        <v>1041.6666666666667</v>
      </c>
    </row>
    <row r="12" spans="1:49" x14ac:dyDescent="0.3">
      <c r="A12" s="211" t="s">
        <v>154</v>
      </c>
      <c r="B12" s="236">
        <v>9</v>
      </c>
      <c r="C12" s="211">
        <v>40</v>
      </c>
      <c r="D12" s="211">
        <v>2</v>
      </c>
      <c r="E12" s="211">
        <v>1</v>
      </c>
      <c r="F12" s="211">
        <v>31.85</v>
      </c>
      <c r="G12" s="211">
        <v>0</v>
      </c>
      <c r="H12" s="211">
        <v>0</v>
      </c>
      <c r="I12" s="211">
        <v>1</v>
      </c>
      <c r="J12" s="211">
        <v>0.2</v>
      </c>
      <c r="K12" s="211">
        <v>0</v>
      </c>
      <c r="L12" s="211">
        <v>3.6500000000000004</v>
      </c>
      <c r="M12" s="211">
        <v>0</v>
      </c>
      <c r="N12" s="211">
        <v>0</v>
      </c>
      <c r="O12" s="211">
        <v>0</v>
      </c>
      <c r="P12" s="211">
        <v>0</v>
      </c>
      <c r="Q12" s="211">
        <v>0</v>
      </c>
      <c r="R12" s="211">
        <v>0</v>
      </c>
      <c r="S12" s="211">
        <v>0</v>
      </c>
      <c r="T12" s="211">
        <v>0</v>
      </c>
      <c r="U12" s="211">
        <v>0</v>
      </c>
      <c r="V12" s="211">
        <v>0</v>
      </c>
      <c r="W12" s="211">
        <v>19</v>
      </c>
      <c r="X12" s="211">
        <v>0</v>
      </c>
      <c r="Y12" s="211">
        <v>0</v>
      </c>
      <c r="Z12" s="211">
        <v>0</v>
      </c>
      <c r="AA12" s="211">
        <v>0</v>
      </c>
      <c r="AB12" s="211">
        <v>0</v>
      </c>
      <c r="AC12" s="211">
        <v>0</v>
      </c>
      <c r="AD12" s="211">
        <v>0</v>
      </c>
      <c r="AE12" s="211">
        <v>0</v>
      </c>
      <c r="AF12" s="211">
        <v>0</v>
      </c>
      <c r="AG12" s="211">
        <v>0</v>
      </c>
      <c r="AH12" s="211">
        <v>0</v>
      </c>
      <c r="AI12" s="211">
        <v>0</v>
      </c>
      <c r="AJ12" s="211">
        <v>0</v>
      </c>
      <c r="AK12" s="211">
        <v>0</v>
      </c>
      <c r="AL12" s="211">
        <v>0</v>
      </c>
      <c r="AM12" s="211">
        <v>0</v>
      </c>
      <c r="AN12" s="211">
        <v>0</v>
      </c>
      <c r="AO12" s="211">
        <v>0</v>
      </c>
      <c r="AP12" s="211">
        <v>0</v>
      </c>
      <c r="AQ12" s="211">
        <v>0</v>
      </c>
      <c r="AR12" s="211">
        <v>0</v>
      </c>
      <c r="AS12" s="211">
        <v>0</v>
      </c>
      <c r="AT12" s="211">
        <v>3</v>
      </c>
      <c r="AU12" s="211">
        <v>0</v>
      </c>
      <c r="AV12" s="211">
        <v>0</v>
      </c>
      <c r="AW12" s="211">
        <v>5</v>
      </c>
    </row>
    <row r="13" spans="1:49" x14ac:dyDescent="0.3">
      <c r="A13" s="211" t="s">
        <v>155</v>
      </c>
      <c r="B13" s="236">
        <v>10</v>
      </c>
      <c r="C13" s="211">
        <v>40</v>
      </c>
      <c r="D13" s="211">
        <v>2</v>
      </c>
      <c r="E13" s="211">
        <v>2</v>
      </c>
      <c r="F13" s="211">
        <v>4410.3999999999996</v>
      </c>
      <c r="G13" s="211">
        <v>0</v>
      </c>
      <c r="H13" s="211">
        <v>0</v>
      </c>
      <c r="I13" s="211">
        <v>128</v>
      </c>
      <c r="J13" s="211">
        <v>27.2</v>
      </c>
      <c r="K13" s="211">
        <v>0</v>
      </c>
      <c r="L13" s="211">
        <v>555.20000000000005</v>
      </c>
      <c r="M13" s="211">
        <v>0</v>
      </c>
      <c r="N13" s="211">
        <v>0</v>
      </c>
      <c r="O13" s="211">
        <v>0</v>
      </c>
      <c r="P13" s="211">
        <v>0</v>
      </c>
      <c r="Q13" s="211">
        <v>0</v>
      </c>
      <c r="R13" s="211">
        <v>0</v>
      </c>
      <c r="S13" s="211">
        <v>0</v>
      </c>
      <c r="T13" s="211">
        <v>0</v>
      </c>
      <c r="U13" s="211">
        <v>0</v>
      </c>
      <c r="V13" s="211">
        <v>0</v>
      </c>
      <c r="W13" s="211">
        <v>2612</v>
      </c>
      <c r="X13" s="211">
        <v>0</v>
      </c>
      <c r="Y13" s="211">
        <v>0</v>
      </c>
      <c r="Z13" s="211">
        <v>0</v>
      </c>
      <c r="AA13" s="211">
        <v>0</v>
      </c>
      <c r="AB13" s="211">
        <v>0</v>
      </c>
      <c r="AC13" s="211">
        <v>0</v>
      </c>
      <c r="AD13" s="211">
        <v>0</v>
      </c>
      <c r="AE13" s="211">
        <v>0</v>
      </c>
      <c r="AF13" s="211">
        <v>0</v>
      </c>
      <c r="AG13" s="211">
        <v>0</v>
      </c>
      <c r="AH13" s="211">
        <v>0</v>
      </c>
      <c r="AI13" s="211">
        <v>0</v>
      </c>
      <c r="AJ13" s="211">
        <v>0</v>
      </c>
      <c r="AK13" s="211">
        <v>0</v>
      </c>
      <c r="AL13" s="211">
        <v>0</v>
      </c>
      <c r="AM13" s="211">
        <v>0</v>
      </c>
      <c r="AN13" s="211">
        <v>0</v>
      </c>
      <c r="AO13" s="211">
        <v>0</v>
      </c>
      <c r="AP13" s="211">
        <v>0</v>
      </c>
      <c r="AQ13" s="211">
        <v>0</v>
      </c>
      <c r="AR13" s="211">
        <v>0</v>
      </c>
      <c r="AS13" s="211">
        <v>0</v>
      </c>
      <c r="AT13" s="211">
        <v>408</v>
      </c>
      <c r="AU13" s="211">
        <v>0</v>
      </c>
      <c r="AV13" s="211">
        <v>0</v>
      </c>
      <c r="AW13" s="211">
        <v>680</v>
      </c>
    </row>
    <row r="14" spans="1:49" x14ac:dyDescent="0.3">
      <c r="A14" s="211" t="s">
        <v>156</v>
      </c>
      <c r="B14" s="236">
        <v>11</v>
      </c>
      <c r="C14" s="211">
        <v>40</v>
      </c>
      <c r="D14" s="211">
        <v>2</v>
      </c>
      <c r="E14" s="211">
        <v>3</v>
      </c>
      <c r="F14" s="211">
        <v>24.8</v>
      </c>
      <c r="G14" s="211">
        <v>0</v>
      </c>
      <c r="H14" s="211">
        <v>0</v>
      </c>
      <c r="I14" s="211">
        <v>0</v>
      </c>
      <c r="J14" s="211">
        <v>11</v>
      </c>
      <c r="K14" s="211">
        <v>0</v>
      </c>
      <c r="L14" s="211">
        <v>13.8</v>
      </c>
      <c r="M14" s="211">
        <v>0</v>
      </c>
      <c r="N14" s="211">
        <v>0</v>
      </c>
      <c r="O14" s="211">
        <v>0</v>
      </c>
      <c r="P14" s="211">
        <v>0</v>
      </c>
      <c r="Q14" s="211">
        <v>0</v>
      </c>
      <c r="R14" s="211">
        <v>0</v>
      </c>
      <c r="S14" s="211">
        <v>0</v>
      </c>
      <c r="T14" s="211">
        <v>0</v>
      </c>
      <c r="U14" s="211">
        <v>0</v>
      </c>
      <c r="V14" s="211">
        <v>0</v>
      </c>
      <c r="W14" s="211">
        <v>0</v>
      </c>
      <c r="X14" s="211">
        <v>0</v>
      </c>
      <c r="Y14" s="211">
        <v>0</v>
      </c>
      <c r="Z14" s="211">
        <v>0</v>
      </c>
      <c r="AA14" s="211">
        <v>0</v>
      </c>
      <c r="AB14" s="211">
        <v>0</v>
      </c>
      <c r="AC14" s="211">
        <v>0</v>
      </c>
      <c r="AD14" s="211">
        <v>0</v>
      </c>
      <c r="AE14" s="211">
        <v>0</v>
      </c>
      <c r="AF14" s="211">
        <v>0</v>
      </c>
      <c r="AG14" s="211">
        <v>0</v>
      </c>
      <c r="AH14" s="211">
        <v>0</v>
      </c>
      <c r="AI14" s="211">
        <v>0</v>
      </c>
      <c r="AJ14" s="211">
        <v>0</v>
      </c>
      <c r="AK14" s="211">
        <v>0</v>
      </c>
      <c r="AL14" s="211">
        <v>0</v>
      </c>
      <c r="AM14" s="211">
        <v>0</v>
      </c>
      <c r="AN14" s="211">
        <v>0</v>
      </c>
      <c r="AO14" s="211">
        <v>0</v>
      </c>
      <c r="AP14" s="211">
        <v>0</v>
      </c>
      <c r="AQ14" s="211">
        <v>0</v>
      </c>
      <c r="AR14" s="211">
        <v>0</v>
      </c>
      <c r="AS14" s="211">
        <v>0</v>
      </c>
      <c r="AT14" s="211">
        <v>0</v>
      </c>
      <c r="AU14" s="211">
        <v>0</v>
      </c>
      <c r="AV14" s="211">
        <v>0</v>
      </c>
      <c r="AW14" s="211">
        <v>0</v>
      </c>
    </row>
    <row r="15" spans="1:49" x14ac:dyDescent="0.3">
      <c r="A15" s="211" t="s">
        <v>157</v>
      </c>
      <c r="B15" s="236">
        <v>12</v>
      </c>
      <c r="C15" s="211">
        <v>40</v>
      </c>
      <c r="D15" s="211">
        <v>2</v>
      </c>
      <c r="E15" s="211">
        <v>4</v>
      </c>
      <c r="F15" s="211">
        <v>161</v>
      </c>
      <c r="G15" s="211">
        <v>0</v>
      </c>
      <c r="H15" s="211">
        <v>0</v>
      </c>
      <c r="I15" s="211">
        <v>0</v>
      </c>
      <c r="J15" s="211">
        <v>0</v>
      </c>
      <c r="K15" s="211">
        <v>0</v>
      </c>
      <c r="L15" s="211">
        <v>8</v>
      </c>
      <c r="M15" s="211">
        <v>0</v>
      </c>
      <c r="N15" s="211">
        <v>0</v>
      </c>
      <c r="O15" s="211">
        <v>0</v>
      </c>
      <c r="P15" s="211">
        <v>0</v>
      </c>
      <c r="Q15" s="211">
        <v>0</v>
      </c>
      <c r="R15" s="211">
        <v>0</v>
      </c>
      <c r="S15" s="211">
        <v>0</v>
      </c>
      <c r="T15" s="211">
        <v>0</v>
      </c>
      <c r="U15" s="211">
        <v>0</v>
      </c>
      <c r="V15" s="211">
        <v>0</v>
      </c>
      <c r="W15" s="211">
        <v>112</v>
      </c>
      <c r="X15" s="211">
        <v>0</v>
      </c>
      <c r="Y15" s="211">
        <v>0</v>
      </c>
      <c r="Z15" s="211">
        <v>0</v>
      </c>
      <c r="AA15" s="211">
        <v>0</v>
      </c>
      <c r="AB15" s="211">
        <v>0</v>
      </c>
      <c r="AC15" s="211">
        <v>0</v>
      </c>
      <c r="AD15" s="211">
        <v>0</v>
      </c>
      <c r="AE15" s="211">
        <v>0</v>
      </c>
      <c r="AF15" s="211">
        <v>0</v>
      </c>
      <c r="AG15" s="211">
        <v>0</v>
      </c>
      <c r="AH15" s="211">
        <v>0</v>
      </c>
      <c r="AI15" s="211">
        <v>0</v>
      </c>
      <c r="AJ15" s="211">
        <v>0</v>
      </c>
      <c r="AK15" s="211">
        <v>0</v>
      </c>
      <c r="AL15" s="211">
        <v>0</v>
      </c>
      <c r="AM15" s="211">
        <v>0</v>
      </c>
      <c r="AN15" s="211">
        <v>0</v>
      </c>
      <c r="AO15" s="211">
        <v>0</v>
      </c>
      <c r="AP15" s="211">
        <v>0</v>
      </c>
      <c r="AQ15" s="211">
        <v>0</v>
      </c>
      <c r="AR15" s="211">
        <v>0</v>
      </c>
      <c r="AS15" s="211">
        <v>0</v>
      </c>
      <c r="AT15" s="211">
        <v>0</v>
      </c>
      <c r="AU15" s="211">
        <v>0</v>
      </c>
      <c r="AV15" s="211">
        <v>0</v>
      </c>
      <c r="AW15" s="211">
        <v>41</v>
      </c>
    </row>
    <row r="16" spans="1:49" x14ac:dyDescent="0.3">
      <c r="A16" s="211" t="s">
        <v>145</v>
      </c>
      <c r="B16" s="236">
        <v>2017</v>
      </c>
      <c r="C16" s="211">
        <v>40</v>
      </c>
      <c r="D16" s="211">
        <v>2</v>
      </c>
      <c r="E16" s="211">
        <v>6</v>
      </c>
      <c r="F16" s="211">
        <v>1185969</v>
      </c>
      <c r="G16" s="211">
        <v>0</v>
      </c>
      <c r="H16" s="211">
        <v>0</v>
      </c>
      <c r="I16" s="211">
        <v>20443</v>
      </c>
      <c r="J16" s="211">
        <v>16571</v>
      </c>
      <c r="K16" s="211">
        <v>0</v>
      </c>
      <c r="L16" s="211">
        <v>295475</v>
      </c>
      <c r="M16" s="211">
        <v>0</v>
      </c>
      <c r="N16" s="211">
        <v>0</v>
      </c>
      <c r="O16" s="211">
        <v>0</v>
      </c>
      <c r="P16" s="211">
        <v>0</v>
      </c>
      <c r="Q16" s="211">
        <v>0</v>
      </c>
      <c r="R16" s="211">
        <v>0</v>
      </c>
      <c r="S16" s="211">
        <v>0</v>
      </c>
      <c r="T16" s="211">
        <v>0</v>
      </c>
      <c r="U16" s="211">
        <v>0</v>
      </c>
      <c r="V16" s="211">
        <v>0</v>
      </c>
      <c r="W16" s="211">
        <v>596980</v>
      </c>
      <c r="X16" s="211">
        <v>0</v>
      </c>
      <c r="Y16" s="211">
        <v>0</v>
      </c>
      <c r="Z16" s="211">
        <v>0</v>
      </c>
      <c r="AA16" s="211">
        <v>0</v>
      </c>
      <c r="AB16" s="211">
        <v>0</v>
      </c>
      <c r="AC16" s="211">
        <v>0</v>
      </c>
      <c r="AD16" s="211">
        <v>0</v>
      </c>
      <c r="AE16" s="211">
        <v>0</v>
      </c>
      <c r="AF16" s="211">
        <v>0</v>
      </c>
      <c r="AG16" s="211">
        <v>0</v>
      </c>
      <c r="AH16" s="211">
        <v>0</v>
      </c>
      <c r="AI16" s="211">
        <v>0</v>
      </c>
      <c r="AJ16" s="211">
        <v>0</v>
      </c>
      <c r="AK16" s="211">
        <v>0</v>
      </c>
      <c r="AL16" s="211">
        <v>0</v>
      </c>
      <c r="AM16" s="211">
        <v>0</v>
      </c>
      <c r="AN16" s="211">
        <v>0</v>
      </c>
      <c r="AO16" s="211">
        <v>0</v>
      </c>
      <c r="AP16" s="211">
        <v>0</v>
      </c>
      <c r="AQ16" s="211">
        <v>0</v>
      </c>
      <c r="AR16" s="211">
        <v>0</v>
      </c>
      <c r="AS16" s="211">
        <v>0</v>
      </c>
      <c r="AT16" s="211">
        <v>54643</v>
      </c>
      <c r="AU16" s="211">
        <v>0</v>
      </c>
      <c r="AV16" s="211">
        <v>0</v>
      </c>
      <c r="AW16" s="211">
        <v>201857</v>
      </c>
    </row>
    <row r="17" spans="3:49" x14ac:dyDescent="0.3">
      <c r="C17" s="211">
        <v>40</v>
      </c>
      <c r="D17" s="211">
        <v>2</v>
      </c>
      <c r="E17" s="211">
        <v>9</v>
      </c>
      <c r="F17" s="211">
        <v>11660</v>
      </c>
      <c r="G17" s="211">
        <v>0</v>
      </c>
      <c r="H17" s="211">
        <v>0</v>
      </c>
      <c r="I17" s="211">
        <v>0</v>
      </c>
      <c r="J17" s="211">
        <v>0</v>
      </c>
      <c r="K17" s="211">
        <v>0</v>
      </c>
      <c r="L17" s="211">
        <v>0</v>
      </c>
      <c r="M17" s="211">
        <v>0</v>
      </c>
      <c r="N17" s="211">
        <v>0</v>
      </c>
      <c r="O17" s="211">
        <v>0</v>
      </c>
      <c r="P17" s="211">
        <v>0</v>
      </c>
      <c r="Q17" s="211">
        <v>0</v>
      </c>
      <c r="R17" s="211">
        <v>0</v>
      </c>
      <c r="S17" s="211">
        <v>0</v>
      </c>
      <c r="T17" s="211">
        <v>0</v>
      </c>
      <c r="U17" s="211">
        <v>0</v>
      </c>
      <c r="V17" s="211">
        <v>0</v>
      </c>
      <c r="W17" s="211">
        <v>10160</v>
      </c>
      <c r="X17" s="211">
        <v>0</v>
      </c>
      <c r="Y17" s="211">
        <v>0</v>
      </c>
      <c r="Z17" s="211">
        <v>0</v>
      </c>
      <c r="AA17" s="211">
        <v>0</v>
      </c>
      <c r="AB17" s="211">
        <v>0</v>
      </c>
      <c r="AC17" s="211">
        <v>0</v>
      </c>
      <c r="AD17" s="211">
        <v>0</v>
      </c>
      <c r="AE17" s="211">
        <v>0</v>
      </c>
      <c r="AF17" s="211">
        <v>0</v>
      </c>
      <c r="AG17" s="211">
        <v>0</v>
      </c>
      <c r="AH17" s="211">
        <v>0</v>
      </c>
      <c r="AI17" s="211">
        <v>0</v>
      </c>
      <c r="AJ17" s="211">
        <v>0</v>
      </c>
      <c r="AK17" s="211">
        <v>0</v>
      </c>
      <c r="AL17" s="211">
        <v>0</v>
      </c>
      <c r="AM17" s="211">
        <v>0</v>
      </c>
      <c r="AN17" s="211">
        <v>0</v>
      </c>
      <c r="AO17" s="211">
        <v>0</v>
      </c>
      <c r="AP17" s="211">
        <v>0</v>
      </c>
      <c r="AQ17" s="211">
        <v>0</v>
      </c>
      <c r="AR17" s="211">
        <v>0</v>
      </c>
      <c r="AS17" s="211">
        <v>0</v>
      </c>
      <c r="AT17" s="211">
        <v>1500</v>
      </c>
      <c r="AU17" s="211">
        <v>0</v>
      </c>
      <c r="AV17" s="211">
        <v>0</v>
      </c>
      <c r="AW17" s="211">
        <v>0</v>
      </c>
    </row>
    <row r="18" spans="3:49" x14ac:dyDescent="0.3">
      <c r="C18" s="211">
        <v>40</v>
      </c>
      <c r="D18" s="211">
        <v>2</v>
      </c>
      <c r="E18" s="211">
        <v>11</v>
      </c>
      <c r="F18" s="211">
        <v>2825.6470488169753</v>
      </c>
      <c r="G18" s="211">
        <v>0</v>
      </c>
      <c r="H18" s="211">
        <v>0</v>
      </c>
      <c r="I18" s="211">
        <v>0</v>
      </c>
      <c r="J18" s="211">
        <v>0</v>
      </c>
      <c r="K18" s="211">
        <v>1242.3137154836415</v>
      </c>
      <c r="L18" s="211">
        <v>0</v>
      </c>
      <c r="M18" s="211">
        <v>0</v>
      </c>
      <c r="N18" s="211">
        <v>0</v>
      </c>
      <c r="O18" s="211">
        <v>0</v>
      </c>
      <c r="P18" s="211">
        <v>541.66666666666663</v>
      </c>
      <c r="Q18" s="211">
        <v>0</v>
      </c>
      <c r="R18" s="211">
        <v>0</v>
      </c>
      <c r="S18" s="211">
        <v>0</v>
      </c>
      <c r="T18" s="211">
        <v>0</v>
      </c>
      <c r="U18" s="211">
        <v>0</v>
      </c>
      <c r="V18" s="211">
        <v>0</v>
      </c>
      <c r="W18" s="211">
        <v>0</v>
      </c>
      <c r="X18" s="211">
        <v>0</v>
      </c>
      <c r="Y18" s="211">
        <v>0</v>
      </c>
      <c r="Z18" s="211">
        <v>0</v>
      </c>
      <c r="AA18" s="211">
        <v>0</v>
      </c>
      <c r="AB18" s="211">
        <v>0</v>
      </c>
      <c r="AC18" s="211">
        <v>0</v>
      </c>
      <c r="AD18" s="211">
        <v>0</v>
      </c>
      <c r="AE18" s="211">
        <v>0</v>
      </c>
      <c r="AF18" s="211">
        <v>0</v>
      </c>
      <c r="AG18" s="211">
        <v>0</v>
      </c>
      <c r="AH18" s="211">
        <v>0</v>
      </c>
      <c r="AI18" s="211">
        <v>0</v>
      </c>
      <c r="AJ18" s="211">
        <v>0</v>
      </c>
      <c r="AK18" s="211">
        <v>0</v>
      </c>
      <c r="AL18" s="211">
        <v>0</v>
      </c>
      <c r="AM18" s="211">
        <v>0</v>
      </c>
      <c r="AN18" s="211">
        <v>0</v>
      </c>
      <c r="AO18" s="211">
        <v>0</v>
      </c>
      <c r="AP18" s="211">
        <v>0</v>
      </c>
      <c r="AQ18" s="211">
        <v>0</v>
      </c>
      <c r="AR18" s="211">
        <v>0</v>
      </c>
      <c r="AS18" s="211">
        <v>0</v>
      </c>
      <c r="AT18" s="211">
        <v>0</v>
      </c>
      <c r="AU18" s="211">
        <v>0</v>
      </c>
      <c r="AV18" s="211">
        <v>0</v>
      </c>
      <c r="AW18" s="211">
        <v>1041.6666666666667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5" customWidth="1" collapsed="1"/>
    <col min="2" max="2" width="7.77734375" style="92" hidden="1" customWidth="1" outlineLevel="1"/>
    <col min="3" max="4" width="5.44140625" style="115" hidden="1" customWidth="1"/>
    <col min="5" max="5" width="7.77734375" style="92" customWidth="1"/>
    <col min="6" max="6" width="7.77734375" style="92" hidden="1" customWidth="1"/>
    <col min="7" max="7" width="5.44140625" style="115" hidden="1" customWidth="1"/>
    <col min="8" max="8" width="7.77734375" style="92" customWidth="1" collapsed="1"/>
    <col min="9" max="9" width="7.77734375" style="194" hidden="1" customWidth="1" outlineLevel="1"/>
    <col min="10" max="10" width="7.77734375" style="194" customWidth="1" collapsed="1"/>
    <col min="11" max="12" width="7.77734375" style="92" hidden="1" customWidth="1"/>
    <col min="13" max="13" width="5.44140625" style="115" hidden="1" customWidth="1"/>
    <col min="14" max="14" width="7.77734375" style="92" customWidth="1"/>
    <col min="15" max="15" width="7.77734375" style="92" hidden="1" customWidth="1"/>
    <col min="16" max="16" width="5.44140625" style="115" hidden="1" customWidth="1"/>
    <col min="17" max="17" width="7.77734375" style="92" customWidth="1" collapsed="1"/>
    <col min="18" max="18" width="7.77734375" style="194" hidden="1" customWidth="1" outlineLevel="1"/>
    <col min="19" max="19" width="7.77734375" style="194" customWidth="1" collapsed="1"/>
    <col min="20" max="21" width="7.77734375" style="92" hidden="1" customWidth="1"/>
    <col min="22" max="22" width="5" style="115" hidden="1" customWidth="1"/>
    <col min="23" max="23" width="7.77734375" style="92" customWidth="1"/>
    <col min="24" max="24" width="7.77734375" style="92" hidden="1" customWidth="1"/>
    <col min="25" max="25" width="5" style="115" hidden="1" customWidth="1"/>
    <col min="26" max="26" width="7.77734375" style="92" customWidth="1" collapsed="1"/>
    <col min="27" max="27" width="7.77734375" style="194" hidden="1" customWidth="1" outlineLevel="1"/>
    <col min="28" max="28" width="7.77734375" style="194" customWidth="1" collapsed="1"/>
    <col min="29" max="16384" width="8.88671875" style="115"/>
  </cols>
  <sheetData>
    <row r="1" spans="1:28" ht="18.600000000000001" customHeight="1" thickBot="1" x14ac:dyDescent="0.4">
      <c r="A1" s="384" t="s">
        <v>1020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</row>
    <row r="2" spans="1:28" ht="14.4" customHeight="1" thickBot="1" x14ac:dyDescent="0.35">
      <c r="A2" s="215" t="s">
        <v>273</v>
      </c>
      <c r="B2" s="97"/>
      <c r="C2" s="97"/>
      <c r="D2" s="97"/>
      <c r="E2" s="97"/>
      <c r="F2" s="97"/>
      <c r="G2" s="97"/>
      <c r="H2" s="97"/>
      <c r="I2" s="207"/>
      <c r="J2" s="207"/>
      <c r="K2" s="97"/>
      <c r="L2" s="97"/>
      <c r="M2" s="97"/>
      <c r="N2" s="97"/>
      <c r="O2" s="97"/>
      <c r="P2" s="97"/>
      <c r="Q2" s="97"/>
      <c r="R2" s="207"/>
      <c r="S2" s="207"/>
      <c r="T2" s="97"/>
      <c r="U2" s="97"/>
      <c r="V2" s="97"/>
      <c r="W2" s="97"/>
      <c r="X2" s="97"/>
      <c r="Y2" s="97"/>
      <c r="Z2" s="97"/>
      <c r="AA2" s="207"/>
      <c r="AB2" s="207"/>
    </row>
    <row r="3" spans="1:28" ht="14.4" customHeight="1" thickBot="1" x14ac:dyDescent="0.35">
      <c r="A3" s="200" t="s">
        <v>113</v>
      </c>
      <c r="B3" s="201">
        <f>SUBTOTAL(9,B6:B1048576)/4</f>
        <v>5262549</v>
      </c>
      <c r="C3" s="202">
        <f t="shared" ref="C3:Z3" si="0">SUBTOTAL(9,C6:C1048576)</f>
        <v>4</v>
      </c>
      <c r="D3" s="202"/>
      <c r="E3" s="202">
        <f>SUBTOTAL(9,E6:E1048576)/4</f>
        <v>6433032</v>
      </c>
      <c r="F3" s="202"/>
      <c r="G3" s="202">
        <f t="shared" si="0"/>
        <v>4</v>
      </c>
      <c r="H3" s="202">
        <f>SUBTOTAL(9,H6:H1048576)/4</f>
        <v>6221560</v>
      </c>
      <c r="I3" s="205">
        <f>IF(B3&lt;&gt;0,H3/B3,"")</f>
        <v>1.1822331725557329</v>
      </c>
      <c r="J3" s="203">
        <f>IF(E3&lt;&gt;0,H3/E3,"")</f>
        <v>0.96712716492005635</v>
      </c>
      <c r="K3" s="204">
        <f t="shared" si="0"/>
        <v>0</v>
      </c>
      <c r="L3" s="204"/>
      <c r="M3" s="202">
        <f t="shared" si="0"/>
        <v>0</v>
      </c>
      <c r="N3" s="202">
        <f t="shared" si="0"/>
        <v>0</v>
      </c>
      <c r="O3" s="202"/>
      <c r="P3" s="202">
        <f t="shared" si="0"/>
        <v>0</v>
      </c>
      <c r="Q3" s="202">
        <f t="shared" si="0"/>
        <v>0</v>
      </c>
      <c r="R3" s="205" t="str">
        <f>IF(K3&lt;&gt;0,Q3/K3,"")</f>
        <v/>
      </c>
      <c r="S3" s="205" t="str">
        <f>IF(N3&lt;&gt;0,Q3/N3,"")</f>
        <v/>
      </c>
      <c r="T3" s="201">
        <f t="shared" si="0"/>
        <v>0</v>
      </c>
      <c r="U3" s="204"/>
      <c r="V3" s="202">
        <f t="shared" si="0"/>
        <v>0</v>
      </c>
      <c r="W3" s="202">
        <f t="shared" si="0"/>
        <v>0</v>
      </c>
      <c r="X3" s="202"/>
      <c r="Y3" s="202">
        <f t="shared" si="0"/>
        <v>0</v>
      </c>
      <c r="Z3" s="202">
        <f t="shared" si="0"/>
        <v>0</v>
      </c>
      <c r="AA3" s="205" t="str">
        <f>IF(T3&lt;&gt;0,Z3/T3,"")</f>
        <v/>
      </c>
      <c r="AB3" s="203" t="str">
        <f>IF(W3&lt;&gt;0,Z3/W3,"")</f>
        <v/>
      </c>
    </row>
    <row r="4" spans="1:28" ht="14.4" customHeight="1" x14ac:dyDescent="0.3">
      <c r="A4" s="385" t="s">
        <v>228</v>
      </c>
      <c r="B4" s="386" t="s">
        <v>86</v>
      </c>
      <c r="C4" s="387"/>
      <c r="D4" s="388"/>
      <c r="E4" s="387"/>
      <c r="F4" s="388"/>
      <c r="G4" s="387"/>
      <c r="H4" s="387"/>
      <c r="I4" s="388"/>
      <c r="J4" s="389"/>
      <c r="K4" s="386" t="s">
        <v>87</v>
      </c>
      <c r="L4" s="388"/>
      <c r="M4" s="387"/>
      <c r="N4" s="387"/>
      <c r="O4" s="388"/>
      <c r="P4" s="387"/>
      <c r="Q4" s="387"/>
      <c r="R4" s="388"/>
      <c r="S4" s="389"/>
      <c r="T4" s="386" t="s">
        <v>88</v>
      </c>
      <c r="U4" s="388"/>
      <c r="V4" s="387"/>
      <c r="W4" s="387"/>
      <c r="X4" s="388"/>
      <c r="Y4" s="387"/>
      <c r="Z4" s="387"/>
      <c r="AA4" s="388"/>
      <c r="AB4" s="389"/>
    </row>
    <row r="5" spans="1:28" ht="14.4" customHeight="1" thickBot="1" x14ac:dyDescent="0.35">
      <c r="A5" s="536"/>
      <c r="B5" s="537">
        <v>2015</v>
      </c>
      <c r="C5" s="538"/>
      <c r="D5" s="538"/>
      <c r="E5" s="538">
        <v>2016</v>
      </c>
      <c r="F5" s="538"/>
      <c r="G5" s="538"/>
      <c r="H5" s="538">
        <v>2017</v>
      </c>
      <c r="I5" s="539" t="s">
        <v>260</v>
      </c>
      <c r="J5" s="540" t="s">
        <v>2</v>
      </c>
      <c r="K5" s="537">
        <v>2015</v>
      </c>
      <c r="L5" s="538"/>
      <c r="M5" s="538"/>
      <c r="N5" s="538">
        <v>2016</v>
      </c>
      <c r="O5" s="538"/>
      <c r="P5" s="538"/>
      <c r="Q5" s="538">
        <v>2017</v>
      </c>
      <c r="R5" s="539" t="s">
        <v>260</v>
      </c>
      <c r="S5" s="540" t="s">
        <v>2</v>
      </c>
      <c r="T5" s="537">
        <v>2015</v>
      </c>
      <c r="U5" s="538"/>
      <c r="V5" s="538"/>
      <c r="W5" s="538">
        <v>2016</v>
      </c>
      <c r="X5" s="538"/>
      <c r="Y5" s="538"/>
      <c r="Z5" s="538">
        <v>2017</v>
      </c>
      <c r="AA5" s="539" t="s">
        <v>260</v>
      </c>
      <c r="AB5" s="540" t="s">
        <v>2</v>
      </c>
    </row>
    <row r="6" spans="1:28" ht="14.4" customHeight="1" x14ac:dyDescent="0.3">
      <c r="A6" s="541" t="s">
        <v>1018</v>
      </c>
      <c r="B6" s="542">
        <v>5262549</v>
      </c>
      <c r="C6" s="543">
        <v>1</v>
      </c>
      <c r="D6" s="543">
        <v>0.81805111493305183</v>
      </c>
      <c r="E6" s="542">
        <v>6433032</v>
      </c>
      <c r="F6" s="543">
        <v>1.2224175014807463</v>
      </c>
      <c r="G6" s="543">
        <v>1</v>
      </c>
      <c r="H6" s="542">
        <v>6221560</v>
      </c>
      <c r="I6" s="543">
        <v>1.1822331725557329</v>
      </c>
      <c r="J6" s="543">
        <v>0.96712716492005635</v>
      </c>
      <c r="K6" s="542"/>
      <c r="L6" s="543"/>
      <c r="M6" s="543"/>
      <c r="N6" s="542"/>
      <c r="O6" s="543"/>
      <c r="P6" s="543"/>
      <c r="Q6" s="542"/>
      <c r="R6" s="543"/>
      <c r="S6" s="543"/>
      <c r="T6" s="542"/>
      <c r="U6" s="543"/>
      <c r="V6" s="543"/>
      <c r="W6" s="542"/>
      <c r="X6" s="543"/>
      <c r="Y6" s="543"/>
      <c r="Z6" s="542"/>
      <c r="AA6" s="543"/>
      <c r="AB6" s="544"/>
    </row>
    <row r="7" spans="1:28" ht="14.4" customHeight="1" thickBot="1" x14ac:dyDescent="0.35">
      <c r="A7" s="548" t="s">
        <v>1019</v>
      </c>
      <c r="B7" s="545">
        <v>5262549</v>
      </c>
      <c r="C7" s="546">
        <v>1</v>
      </c>
      <c r="D7" s="546">
        <v>0.81805111493305183</v>
      </c>
      <c r="E7" s="545">
        <v>6433032</v>
      </c>
      <c r="F7" s="546">
        <v>1.2224175014807463</v>
      </c>
      <c r="G7" s="546">
        <v>1</v>
      </c>
      <c r="H7" s="545">
        <v>6221560</v>
      </c>
      <c r="I7" s="546">
        <v>1.1822331725557329</v>
      </c>
      <c r="J7" s="546">
        <v>0.96712716492005635</v>
      </c>
      <c r="K7" s="545"/>
      <c r="L7" s="546"/>
      <c r="M7" s="546"/>
      <c r="N7" s="545"/>
      <c r="O7" s="546"/>
      <c r="P7" s="546"/>
      <c r="Q7" s="545"/>
      <c r="R7" s="546"/>
      <c r="S7" s="546"/>
      <c r="T7" s="545"/>
      <c r="U7" s="546"/>
      <c r="V7" s="546"/>
      <c r="W7" s="545"/>
      <c r="X7" s="546"/>
      <c r="Y7" s="546"/>
      <c r="Z7" s="545"/>
      <c r="AA7" s="546"/>
      <c r="AB7" s="547"/>
    </row>
    <row r="8" spans="1:28" ht="14.4" customHeight="1" thickBot="1" x14ac:dyDescent="0.35"/>
    <row r="9" spans="1:28" ht="14.4" customHeight="1" x14ac:dyDescent="0.3">
      <c r="A9" s="541" t="s">
        <v>432</v>
      </c>
      <c r="B9" s="542">
        <v>5262549</v>
      </c>
      <c r="C9" s="543">
        <v>1</v>
      </c>
      <c r="D9" s="543">
        <v>0.81805111493305183</v>
      </c>
      <c r="E9" s="542">
        <v>6433032</v>
      </c>
      <c r="F9" s="543">
        <v>1.2224175014807463</v>
      </c>
      <c r="G9" s="543">
        <v>1</v>
      </c>
      <c r="H9" s="542">
        <v>6221560</v>
      </c>
      <c r="I9" s="543">
        <v>1.1822331725557329</v>
      </c>
      <c r="J9" s="544">
        <v>0.96712716492005635</v>
      </c>
    </row>
    <row r="10" spans="1:28" ht="14.4" customHeight="1" thickBot="1" x14ac:dyDescent="0.35">
      <c r="A10" s="548" t="s">
        <v>1021</v>
      </c>
      <c r="B10" s="545">
        <v>5262549</v>
      </c>
      <c r="C10" s="546">
        <v>1</v>
      </c>
      <c r="D10" s="546">
        <v>0.81805111493305183</v>
      </c>
      <c r="E10" s="545">
        <v>6433032</v>
      </c>
      <c r="F10" s="546">
        <v>1.2224175014807463</v>
      </c>
      <c r="G10" s="546">
        <v>1</v>
      </c>
      <c r="H10" s="545">
        <v>6221560</v>
      </c>
      <c r="I10" s="546">
        <v>1.1822331725557329</v>
      </c>
      <c r="J10" s="547">
        <v>0.96712716492005635</v>
      </c>
    </row>
    <row r="11" spans="1:28" ht="14.4" customHeight="1" x14ac:dyDescent="0.3">
      <c r="A11" s="549" t="s">
        <v>1022</v>
      </c>
    </row>
    <row r="12" spans="1:28" ht="14.4" customHeight="1" x14ac:dyDescent="0.3">
      <c r="A12" s="550" t="s">
        <v>1023</v>
      </c>
    </row>
    <row r="13" spans="1:28" ht="14.4" customHeight="1" x14ac:dyDescent="0.3">
      <c r="A13" s="549" t="s">
        <v>1024</v>
      </c>
    </row>
    <row r="14" spans="1:28" ht="14.4" customHeight="1" x14ac:dyDescent="0.3">
      <c r="A14" s="549" t="s">
        <v>1025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5" bestFit="1" customWidth="1"/>
    <col min="2" max="2" width="7.77734375" style="191" hidden="1" customWidth="1" outlineLevel="1"/>
    <col min="3" max="3" width="7.77734375" style="191" customWidth="1" collapsed="1"/>
    <col min="4" max="4" width="7.77734375" style="191" customWidth="1"/>
    <col min="5" max="5" width="7.77734375" style="92" hidden="1" customWidth="1" outlineLevel="1"/>
    <col min="6" max="6" width="7.77734375" style="92" customWidth="1" collapsed="1"/>
    <col min="7" max="7" width="7.77734375" style="92" customWidth="1"/>
    <col min="8" max="16384" width="8.88671875" style="115"/>
  </cols>
  <sheetData>
    <row r="1" spans="1:7" ht="18.600000000000001" customHeight="1" thickBot="1" x14ac:dyDescent="0.4">
      <c r="A1" s="384" t="s">
        <v>1026</v>
      </c>
      <c r="B1" s="326"/>
      <c r="C1" s="326"/>
      <c r="D1" s="326"/>
      <c r="E1" s="326"/>
      <c r="F1" s="326"/>
      <c r="G1" s="326"/>
    </row>
    <row r="2" spans="1:7" ht="14.4" customHeight="1" thickBot="1" x14ac:dyDescent="0.35">
      <c r="A2" s="215" t="s">
        <v>273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321" t="s">
        <v>113</v>
      </c>
      <c r="B3" s="296">
        <f t="shared" ref="B3:G3" si="0">SUBTOTAL(9,B6:B1048576)</f>
        <v>24151</v>
      </c>
      <c r="C3" s="297">
        <f t="shared" si="0"/>
        <v>29261</v>
      </c>
      <c r="D3" s="320">
        <f t="shared" si="0"/>
        <v>28409</v>
      </c>
      <c r="E3" s="204">
        <f t="shared" si="0"/>
        <v>5262549</v>
      </c>
      <c r="F3" s="202">
        <f t="shared" si="0"/>
        <v>6433032</v>
      </c>
      <c r="G3" s="298">
        <f t="shared" si="0"/>
        <v>6221560</v>
      </c>
    </row>
    <row r="4" spans="1:7" ht="14.4" customHeight="1" x14ac:dyDescent="0.3">
      <c r="A4" s="385" t="s">
        <v>121</v>
      </c>
      <c r="B4" s="390" t="s">
        <v>225</v>
      </c>
      <c r="C4" s="388"/>
      <c r="D4" s="391"/>
      <c r="E4" s="390" t="s">
        <v>86</v>
      </c>
      <c r="F4" s="388"/>
      <c r="G4" s="391"/>
    </row>
    <row r="5" spans="1:7" ht="14.4" customHeight="1" thickBot="1" x14ac:dyDescent="0.35">
      <c r="A5" s="536"/>
      <c r="B5" s="537">
        <v>2015</v>
      </c>
      <c r="C5" s="538">
        <v>2016</v>
      </c>
      <c r="D5" s="551">
        <v>2017</v>
      </c>
      <c r="E5" s="537">
        <v>2015</v>
      </c>
      <c r="F5" s="538">
        <v>2016</v>
      </c>
      <c r="G5" s="551">
        <v>2017</v>
      </c>
    </row>
    <row r="6" spans="1:7" ht="14.4" customHeight="1" thickBot="1" x14ac:dyDescent="0.35">
      <c r="A6" s="554" t="s">
        <v>1021</v>
      </c>
      <c r="B6" s="471">
        <v>24151</v>
      </c>
      <c r="C6" s="471">
        <v>29261</v>
      </c>
      <c r="D6" s="471">
        <v>28409</v>
      </c>
      <c r="E6" s="552">
        <v>5262549</v>
      </c>
      <c r="F6" s="552">
        <v>6433032</v>
      </c>
      <c r="G6" s="553">
        <v>6221560</v>
      </c>
    </row>
    <row r="7" spans="1:7" ht="14.4" customHeight="1" x14ac:dyDescent="0.3">
      <c r="A7" s="549" t="s">
        <v>1022</v>
      </c>
    </row>
    <row r="8" spans="1:7" ht="14.4" customHeight="1" x14ac:dyDescent="0.3">
      <c r="A8" s="550" t="s">
        <v>1023</v>
      </c>
    </row>
    <row r="9" spans="1:7" ht="14.4" customHeight="1" x14ac:dyDescent="0.3">
      <c r="A9" s="549" t="s">
        <v>1024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6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.109375" style="115" bestFit="1" customWidth="1"/>
    <col min="5" max="5" width="8" style="115" customWidth="1"/>
    <col min="6" max="6" width="50.88671875" style="115" bestFit="1" customWidth="1" collapsed="1"/>
    <col min="7" max="8" width="11.109375" style="191" hidden="1" customWidth="1" outlineLevel="1"/>
    <col min="9" max="10" width="9.33203125" style="115" hidden="1" customWidth="1"/>
    <col min="11" max="12" width="11.109375" style="191" customWidth="1"/>
    <col min="13" max="14" width="9.33203125" style="115" hidden="1" customWidth="1"/>
    <col min="15" max="16" width="11.109375" style="191" customWidth="1"/>
    <col min="17" max="17" width="11.109375" style="194" customWidth="1"/>
    <col min="18" max="18" width="11.109375" style="191" customWidth="1"/>
    <col min="19" max="16384" width="8.88671875" style="115"/>
  </cols>
  <sheetData>
    <row r="1" spans="1:18" ht="18.600000000000001" customHeight="1" thickBot="1" x14ac:dyDescent="0.4">
      <c r="A1" s="326" t="s">
        <v>1147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</row>
    <row r="2" spans="1:18" ht="14.4" customHeight="1" thickBot="1" x14ac:dyDescent="0.35">
      <c r="A2" s="215" t="s">
        <v>273</v>
      </c>
      <c r="B2" s="181"/>
      <c r="C2" s="181"/>
      <c r="D2" s="97"/>
      <c r="E2" s="97"/>
      <c r="F2" s="97"/>
      <c r="G2" s="210"/>
      <c r="H2" s="210"/>
      <c r="I2" s="97"/>
      <c r="J2" s="97"/>
      <c r="K2" s="210"/>
      <c r="L2" s="210"/>
      <c r="M2" s="97"/>
      <c r="N2" s="97"/>
      <c r="O2" s="210"/>
      <c r="P2" s="210"/>
      <c r="Q2" s="207"/>
      <c r="R2" s="210"/>
    </row>
    <row r="3" spans="1:18" ht="14.4" customHeight="1" thickBot="1" x14ac:dyDescent="0.35">
      <c r="F3" s="73" t="s">
        <v>113</v>
      </c>
      <c r="G3" s="88">
        <f t="shared" ref="G3:P3" si="0">SUBTOTAL(9,G6:G1048576)</f>
        <v>24151</v>
      </c>
      <c r="H3" s="89">
        <f t="shared" si="0"/>
        <v>5262549</v>
      </c>
      <c r="I3" s="66"/>
      <c r="J3" s="66"/>
      <c r="K3" s="89">
        <f t="shared" si="0"/>
        <v>29261</v>
      </c>
      <c r="L3" s="89">
        <f t="shared" si="0"/>
        <v>6433032</v>
      </c>
      <c r="M3" s="66"/>
      <c r="N3" s="66"/>
      <c r="O3" s="89">
        <f t="shared" si="0"/>
        <v>28409</v>
      </c>
      <c r="P3" s="89">
        <f t="shared" si="0"/>
        <v>6221560</v>
      </c>
      <c r="Q3" s="67">
        <f>IF(L3=0,0,P3/L3)</f>
        <v>0.96712716492005635</v>
      </c>
      <c r="R3" s="90">
        <f>IF(O3=0,0,P3/O3)</f>
        <v>218.99961279876095</v>
      </c>
    </row>
    <row r="4" spans="1:18" ht="14.4" customHeight="1" x14ac:dyDescent="0.3">
      <c r="A4" s="392" t="s">
        <v>261</v>
      </c>
      <c r="B4" s="392" t="s">
        <v>82</v>
      </c>
      <c r="C4" s="400" t="s">
        <v>0</v>
      </c>
      <c r="D4" s="394" t="s">
        <v>83</v>
      </c>
      <c r="E4" s="399" t="s">
        <v>58</v>
      </c>
      <c r="F4" s="395" t="s">
        <v>57</v>
      </c>
      <c r="G4" s="396">
        <v>2015</v>
      </c>
      <c r="H4" s="397"/>
      <c r="I4" s="87"/>
      <c r="J4" s="87"/>
      <c r="K4" s="396">
        <v>2016</v>
      </c>
      <c r="L4" s="397"/>
      <c r="M4" s="87"/>
      <c r="N4" s="87"/>
      <c r="O4" s="396">
        <v>2017</v>
      </c>
      <c r="P4" s="397"/>
      <c r="Q4" s="398" t="s">
        <v>2</v>
      </c>
      <c r="R4" s="393" t="s">
        <v>85</v>
      </c>
    </row>
    <row r="5" spans="1:18" ht="14.4" customHeight="1" thickBot="1" x14ac:dyDescent="0.35">
      <c r="A5" s="555"/>
      <c r="B5" s="555"/>
      <c r="C5" s="556"/>
      <c r="D5" s="557"/>
      <c r="E5" s="558"/>
      <c r="F5" s="559"/>
      <c r="G5" s="560" t="s">
        <v>59</v>
      </c>
      <c r="H5" s="561" t="s">
        <v>14</v>
      </c>
      <c r="I5" s="562"/>
      <c r="J5" s="562"/>
      <c r="K5" s="560" t="s">
        <v>59</v>
      </c>
      <c r="L5" s="561" t="s">
        <v>14</v>
      </c>
      <c r="M5" s="562"/>
      <c r="N5" s="562"/>
      <c r="O5" s="560" t="s">
        <v>59</v>
      </c>
      <c r="P5" s="561" t="s">
        <v>14</v>
      </c>
      <c r="Q5" s="563"/>
      <c r="R5" s="564"/>
    </row>
    <row r="6" spans="1:18" ht="14.4" customHeight="1" x14ac:dyDescent="0.3">
      <c r="A6" s="446" t="s">
        <v>1027</v>
      </c>
      <c r="B6" s="447" t="s">
        <v>1028</v>
      </c>
      <c r="C6" s="447" t="s">
        <v>432</v>
      </c>
      <c r="D6" s="447" t="s">
        <v>1029</v>
      </c>
      <c r="E6" s="447" t="s">
        <v>1030</v>
      </c>
      <c r="F6" s="447" t="s">
        <v>1031</v>
      </c>
      <c r="G6" s="450">
        <v>105</v>
      </c>
      <c r="H6" s="450">
        <v>16905</v>
      </c>
      <c r="I6" s="447">
        <v>0.97716763005780349</v>
      </c>
      <c r="J6" s="447">
        <v>161</v>
      </c>
      <c r="K6" s="450">
        <v>100</v>
      </c>
      <c r="L6" s="450">
        <v>17300</v>
      </c>
      <c r="M6" s="447">
        <v>1</v>
      </c>
      <c r="N6" s="447">
        <v>173</v>
      </c>
      <c r="O6" s="450">
        <v>94</v>
      </c>
      <c r="P6" s="450">
        <v>16262</v>
      </c>
      <c r="Q6" s="469">
        <v>0.94</v>
      </c>
      <c r="R6" s="451">
        <v>173</v>
      </c>
    </row>
    <row r="7" spans="1:18" ht="14.4" customHeight="1" x14ac:dyDescent="0.3">
      <c r="A7" s="452" t="s">
        <v>1027</v>
      </c>
      <c r="B7" s="453" t="s">
        <v>1028</v>
      </c>
      <c r="C7" s="453" t="s">
        <v>432</v>
      </c>
      <c r="D7" s="453" t="s">
        <v>1029</v>
      </c>
      <c r="E7" s="453" t="s">
        <v>1032</v>
      </c>
      <c r="F7" s="453" t="s">
        <v>1033</v>
      </c>
      <c r="G7" s="456">
        <v>936</v>
      </c>
      <c r="H7" s="456">
        <v>117000</v>
      </c>
      <c r="I7" s="453">
        <v>0.84492395684388411</v>
      </c>
      <c r="J7" s="453">
        <v>125</v>
      </c>
      <c r="K7" s="456">
        <v>1099</v>
      </c>
      <c r="L7" s="456">
        <v>138474</v>
      </c>
      <c r="M7" s="453">
        <v>1</v>
      </c>
      <c r="N7" s="453">
        <v>126</v>
      </c>
      <c r="O7" s="456">
        <v>1065</v>
      </c>
      <c r="P7" s="456">
        <v>204480</v>
      </c>
      <c r="Q7" s="478">
        <v>1.4766670999610034</v>
      </c>
      <c r="R7" s="457">
        <v>192</v>
      </c>
    </row>
    <row r="8" spans="1:18" ht="14.4" customHeight="1" x14ac:dyDescent="0.3">
      <c r="A8" s="452" t="s">
        <v>1027</v>
      </c>
      <c r="B8" s="453" t="s">
        <v>1028</v>
      </c>
      <c r="C8" s="453" t="s">
        <v>432</v>
      </c>
      <c r="D8" s="453" t="s">
        <v>1029</v>
      </c>
      <c r="E8" s="453" t="s">
        <v>1034</v>
      </c>
      <c r="F8" s="453" t="s">
        <v>1035</v>
      </c>
      <c r="G8" s="456">
        <v>975</v>
      </c>
      <c r="H8" s="456">
        <v>63375</v>
      </c>
      <c r="I8" s="453">
        <v>0.83064642969487257</v>
      </c>
      <c r="J8" s="453">
        <v>65</v>
      </c>
      <c r="K8" s="456">
        <v>1156</v>
      </c>
      <c r="L8" s="456">
        <v>76296</v>
      </c>
      <c r="M8" s="453">
        <v>1</v>
      </c>
      <c r="N8" s="453">
        <v>66</v>
      </c>
      <c r="O8" s="456">
        <v>1094</v>
      </c>
      <c r="P8" s="456">
        <v>83144</v>
      </c>
      <c r="Q8" s="478">
        <v>1.0897556883716053</v>
      </c>
      <c r="R8" s="457">
        <v>76</v>
      </c>
    </row>
    <row r="9" spans="1:18" ht="14.4" customHeight="1" x14ac:dyDescent="0.3">
      <c r="A9" s="452" t="s">
        <v>1027</v>
      </c>
      <c r="B9" s="453" t="s">
        <v>1028</v>
      </c>
      <c r="C9" s="453" t="s">
        <v>432</v>
      </c>
      <c r="D9" s="453" t="s">
        <v>1029</v>
      </c>
      <c r="E9" s="453" t="s">
        <v>1036</v>
      </c>
      <c r="F9" s="453" t="s">
        <v>1037</v>
      </c>
      <c r="G9" s="456">
        <v>9</v>
      </c>
      <c r="H9" s="456">
        <v>1656</v>
      </c>
      <c r="I9" s="453">
        <v>1.4838709677419355</v>
      </c>
      <c r="J9" s="453">
        <v>184</v>
      </c>
      <c r="K9" s="456">
        <v>6</v>
      </c>
      <c r="L9" s="456">
        <v>1116</v>
      </c>
      <c r="M9" s="453">
        <v>1</v>
      </c>
      <c r="N9" s="453">
        <v>186</v>
      </c>
      <c r="O9" s="456">
        <v>7</v>
      </c>
      <c r="P9" s="456">
        <v>2079</v>
      </c>
      <c r="Q9" s="478">
        <v>1.8629032258064515</v>
      </c>
      <c r="R9" s="457">
        <v>297</v>
      </c>
    </row>
    <row r="10" spans="1:18" ht="14.4" customHeight="1" x14ac:dyDescent="0.3">
      <c r="A10" s="452" t="s">
        <v>1027</v>
      </c>
      <c r="B10" s="453" t="s">
        <v>1028</v>
      </c>
      <c r="C10" s="453" t="s">
        <v>432</v>
      </c>
      <c r="D10" s="453" t="s">
        <v>1029</v>
      </c>
      <c r="E10" s="453" t="s">
        <v>1038</v>
      </c>
      <c r="F10" s="453" t="s">
        <v>1039</v>
      </c>
      <c r="G10" s="456">
        <v>335</v>
      </c>
      <c r="H10" s="456">
        <v>74705</v>
      </c>
      <c r="I10" s="453">
        <v>0.73459133102580243</v>
      </c>
      <c r="J10" s="453">
        <v>223</v>
      </c>
      <c r="K10" s="456">
        <v>448</v>
      </c>
      <c r="L10" s="456">
        <v>101696</v>
      </c>
      <c r="M10" s="453">
        <v>1</v>
      </c>
      <c r="N10" s="453">
        <v>227</v>
      </c>
      <c r="O10" s="456">
        <v>451</v>
      </c>
      <c r="P10" s="456">
        <v>115456</v>
      </c>
      <c r="Q10" s="478">
        <v>1.1353052234109502</v>
      </c>
      <c r="R10" s="457">
        <v>256</v>
      </c>
    </row>
    <row r="11" spans="1:18" ht="14.4" customHeight="1" x14ac:dyDescent="0.3">
      <c r="A11" s="452" t="s">
        <v>1027</v>
      </c>
      <c r="B11" s="453" t="s">
        <v>1028</v>
      </c>
      <c r="C11" s="453" t="s">
        <v>432</v>
      </c>
      <c r="D11" s="453" t="s">
        <v>1029</v>
      </c>
      <c r="E11" s="453" t="s">
        <v>1040</v>
      </c>
      <c r="F11" s="453" t="s">
        <v>1041</v>
      </c>
      <c r="G11" s="456">
        <v>92</v>
      </c>
      <c r="H11" s="456">
        <v>7912</v>
      </c>
      <c r="I11" s="453">
        <v>1.2602739726027397</v>
      </c>
      <c r="J11" s="453">
        <v>86</v>
      </c>
      <c r="K11" s="456">
        <v>73</v>
      </c>
      <c r="L11" s="456">
        <v>6278</v>
      </c>
      <c r="M11" s="453">
        <v>1</v>
      </c>
      <c r="N11" s="453">
        <v>86</v>
      </c>
      <c r="O11" s="456">
        <v>13</v>
      </c>
      <c r="P11" s="456">
        <v>1287</v>
      </c>
      <c r="Q11" s="478">
        <v>0.20500159286396941</v>
      </c>
      <c r="R11" s="457">
        <v>99</v>
      </c>
    </row>
    <row r="12" spans="1:18" ht="14.4" customHeight="1" x14ac:dyDescent="0.3">
      <c r="A12" s="452" t="s">
        <v>1027</v>
      </c>
      <c r="B12" s="453" t="s">
        <v>1028</v>
      </c>
      <c r="C12" s="453" t="s">
        <v>432</v>
      </c>
      <c r="D12" s="453" t="s">
        <v>1029</v>
      </c>
      <c r="E12" s="453" t="s">
        <v>1042</v>
      </c>
      <c r="F12" s="453" t="s">
        <v>1043</v>
      </c>
      <c r="G12" s="456">
        <v>6</v>
      </c>
      <c r="H12" s="456">
        <v>1752</v>
      </c>
      <c r="I12" s="453">
        <v>0.33106575963718821</v>
      </c>
      <c r="J12" s="453">
        <v>292</v>
      </c>
      <c r="K12" s="456">
        <v>18</v>
      </c>
      <c r="L12" s="456">
        <v>5292</v>
      </c>
      <c r="M12" s="453">
        <v>1</v>
      </c>
      <c r="N12" s="453">
        <v>294</v>
      </c>
      <c r="O12" s="456">
        <v>15</v>
      </c>
      <c r="P12" s="456">
        <v>5250</v>
      </c>
      <c r="Q12" s="478">
        <v>0.99206349206349209</v>
      </c>
      <c r="R12" s="457">
        <v>350</v>
      </c>
    </row>
    <row r="13" spans="1:18" ht="14.4" customHeight="1" x14ac:dyDescent="0.3">
      <c r="A13" s="452" t="s">
        <v>1027</v>
      </c>
      <c r="B13" s="453" t="s">
        <v>1028</v>
      </c>
      <c r="C13" s="453" t="s">
        <v>432</v>
      </c>
      <c r="D13" s="453" t="s">
        <v>1029</v>
      </c>
      <c r="E13" s="453" t="s">
        <v>1044</v>
      </c>
      <c r="F13" s="453" t="s">
        <v>1045</v>
      </c>
      <c r="G13" s="456">
        <v>339</v>
      </c>
      <c r="H13" s="456">
        <v>396291</v>
      </c>
      <c r="I13" s="453">
        <v>1.0427283634871019</v>
      </c>
      <c r="J13" s="453">
        <v>1169</v>
      </c>
      <c r="K13" s="456">
        <v>324</v>
      </c>
      <c r="L13" s="456">
        <v>380052</v>
      </c>
      <c r="M13" s="453">
        <v>1</v>
      </c>
      <c r="N13" s="453">
        <v>1173</v>
      </c>
      <c r="O13" s="456">
        <v>592</v>
      </c>
      <c r="P13" s="456">
        <v>633440</v>
      </c>
      <c r="Q13" s="478">
        <v>1.6667192910443833</v>
      </c>
      <c r="R13" s="457">
        <v>1070</v>
      </c>
    </row>
    <row r="14" spans="1:18" ht="14.4" customHeight="1" x14ac:dyDescent="0.3">
      <c r="A14" s="452" t="s">
        <v>1027</v>
      </c>
      <c r="B14" s="453" t="s">
        <v>1028</v>
      </c>
      <c r="C14" s="453" t="s">
        <v>432</v>
      </c>
      <c r="D14" s="453" t="s">
        <v>1029</v>
      </c>
      <c r="E14" s="453" t="s">
        <v>1046</v>
      </c>
      <c r="F14" s="453" t="s">
        <v>1047</v>
      </c>
      <c r="G14" s="456">
        <v>3289</v>
      </c>
      <c r="H14" s="456">
        <v>131560</v>
      </c>
      <c r="I14" s="453">
        <v>0.9357773367759924</v>
      </c>
      <c r="J14" s="453">
        <v>40</v>
      </c>
      <c r="K14" s="456">
        <v>3429</v>
      </c>
      <c r="L14" s="456">
        <v>140589</v>
      </c>
      <c r="M14" s="453">
        <v>1</v>
      </c>
      <c r="N14" s="453">
        <v>41</v>
      </c>
      <c r="O14" s="456">
        <v>3003</v>
      </c>
      <c r="P14" s="456">
        <v>138138</v>
      </c>
      <c r="Q14" s="478">
        <v>0.98256620361479208</v>
      </c>
      <c r="R14" s="457">
        <v>46</v>
      </c>
    </row>
    <row r="15" spans="1:18" ht="14.4" customHeight="1" x14ac:dyDescent="0.3">
      <c r="A15" s="452" t="s">
        <v>1027</v>
      </c>
      <c r="B15" s="453" t="s">
        <v>1028</v>
      </c>
      <c r="C15" s="453" t="s">
        <v>432</v>
      </c>
      <c r="D15" s="453" t="s">
        <v>1029</v>
      </c>
      <c r="E15" s="453" t="s">
        <v>1048</v>
      </c>
      <c r="F15" s="453" t="s">
        <v>1049</v>
      </c>
      <c r="G15" s="456">
        <v>297</v>
      </c>
      <c r="H15" s="456">
        <v>113751</v>
      </c>
      <c r="I15" s="453">
        <v>0.75761269181585678</v>
      </c>
      <c r="J15" s="453">
        <v>383</v>
      </c>
      <c r="K15" s="456">
        <v>391</v>
      </c>
      <c r="L15" s="456">
        <v>150144</v>
      </c>
      <c r="M15" s="453">
        <v>1</v>
      </c>
      <c r="N15" s="453">
        <v>384</v>
      </c>
      <c r="O15" s="456">
        <v>579</v>
      </c>
      <c r="P15" s="456">
        <v>200913</v>
      </c>
      <c r="Q15" s="478">
        <v>1.3381353900255755</v>
      </c>
      <c r="R15" s="457">
        <v>347</v>
      </c>
    </row>
    <row r="16" spans="1:18" ht="14.4" customHeight="1" x14ac:dyDescent="0.3">
      <c r="A16" s="452" t="s">
        <v>1027</v>
      </c>
      <c r="B16" s="453" t="s">
        <v>1028</v>
      </c>
      <c r="C16" s="453" t="s">
        <v>432</v>
      </c>
      <c r="D16" s="453" t="s">
        <v>1029</v>
      </c>
      <c r="E16" s="453" t="s">
        <v>1050</v>
      </c>
      <c r="F16" s="453" t="s">
        <v>1051</v>
      </c>
      <c r="G16" s="456">
        <v>422</v>
      </c>
      <c r="H16" s="456">
        <v>15614</v>
      </c>
      <c r="I16" s="453">
        <v>0.58856345885634587</v>
      </c>
      <c r="J16" s="453">
        <v>37</v>
      </c>
      <c r="K16" s="456">
        <v>717</v>
      </c>
      <c r="L16" s="456">
        <v>26529</v>
      </c>
      <c r="M16" s="453">
        <v>1</v>
      </c>
      <c r="N16" s="453">
        <v>37</v>
      </c>
      <c r="O16" s="456">
        <v>292</v>
      </c>
      <c r="P16" s="456">
        <v>14892</v>
      </c>
      <c r="Q16" s="478">
        <v>0.56134795883749855</v>
      </c>
      <c r="R16" s="457">
        <v>51</v>
      </c>
    </row>
    <row r="17" spans="1:18" ht="14.4" customHeight="1" x14ac:dyDescent="0.3">
      <c r="A17" s="452" t="s">
        <v>1027</v>
      </c>
      <c r="B17" s="453" t="s">
        <v>1028</v>
      </c>
      <c r="C17" s="453" t="s">
        <v>432</v>
      </c>
      <c r="D17" s="453" t="s">
        <v>1029</v>
      </c>
      <c r="E17" s="453" t="s">
        <v>1052</v>
      </c>
      <c r="F17" s="453" t="s">
        <v>1053</v>
      </c>
      <c r="G17" s="456">
        <v>127</v>
      </c>
      <c r="H17" s="456">
        <v>11176</v>
      </c>
      <c r="I17" s="453">
        <v>0.86602092212320803</v>
      </c>
      <c r="J17" s="453">
        <v>88</v>
      </c>
      <c r="K17" s="456">
        <v>145</v>
      </c>
      <c r="L17" s="456">
        <v>12905</v>
      </c>
      <c r="M17" s="453">
        <v>1</v>
      </c>
      <c r="N17" s="453">
        <v>89</v>
      </c>
      <c r="O17" s="456">
        <v>163</v>
      </c>
      <c r="P17" s="456">
        <v>14344</v>
      </c>
      <c r="Q17" s="478">
        <v>1.1115071677644324</v>
      </c>
      <c r="R17" s="457">
        <v>88</v>
      </c>
    </row>
    <row r="18" spans="1:18" ht="14.4" customHeight="1" x14ac:dyDescent="0.3">
      <c r="A18" s="452" t="s">
        <v>1027</v>
      </c>
      <c r="B18" s="453" t="s">
        <v>1028</v>
      </c>
      <c r="C18" s="453" t="s">
        <v>432</v>
      </c>
      <c r="D18" s="453" t="s">
        <v>1029</v>
      </c>
      <c r="E18" s="453" t="s">
        <v>1054</v>
      </c>
      <c r="F18" s="453" t="s">
        <v>1055</v>
      </c>
      <c r="G18" s="456">
        <v>873</v>
      </c>
      <c r="H18" s="456">
        <v>388485</v>
      </c>
      <c r="I18" s="453">
        <v>0.69627705907023263</v>
      </c>
      <c r="J18" s="453">
        <v>445</v>
      </c>
      <c r="K18" s="456">
        <v>1251</v>
      </c>
      <c r="L18" s="456">
        <v>557946</v>
      </c>
      <c r="M18" s="453">
        <v>1</v>
      </c>
      <c r="N18" s="453">
        <v>446</v>
      </c>
      <c r="O18" s="456">
        <v>2450</v>
      </c>
      <c r="P18" s="456">
        <v>923650</v>
      </c>
      <c r="Q18" s="478">
        <v>1.6554469428941152</v>
      </c>
      <c r="R18" s="457">
        <v>377</v>
      </c>
    </row>
    <row r="19" spans="1:18" ht="14.4" customHeight="1" x14ac:dyDescent="0.3">
      <c r="A19" s="452" t="s">
        <v>1027</v>
      </c>
      <c r="B19" s="453" t="s">
        <v>1028</v>
      </c>
      <c r="C19" s="453" t="s">
        <v>432</v>
      </c>
      <c r="D19" s="453" t="s">
        <v>1029</v>
      </c>
      <c r="E19" s="453" t="s">
        <v>1056</v>
      </c>
      <c r="F19" s="453" t="s">
        <v>1057</v>
      </c>
      <c r="G19" s="456">
        <v>95</v>
      </c>
      <c r="H19" s="456">
        <v>3895</v>
      </c>
      <c r="I19" s="453">
        <v>0.65308517773306507</v>
      </c>
      <c r="J19" s="453">
        <v>41</v>
      </c>
      <c r="K19" s="456">
        <v>142</v>
      </c>
      <c r="L19" s="456">
        <v>5964</v>
      </c>
      <c r="M19" s="453">
        <v>1</v>
      </c>
      <c r="N19" s="453">
        <v>42</v>
      </c>
      <c r="O19" s="456">
        <v>120</v>
      </c>
      <c r="P19" s="456">
        <v>4080</v>
      </c>
      <c r="Q19" s="478">
        <v>0.68410462776659964</v>
      </c>
      <c r="R19" s="457">
        <v>34</v>
      </c>
    </row>
    <row r="20" spans="1:18" ht="14.4" customHeight="1" x14ac:dyDescent="0.3">
      <c r="A20" s="452" t="s">
        <v>1027</v>
      </c>
      <c r="B20" s="453" t="s">
        <v>1028</v>
      </c>
      <c r="C20" s="453" t="s">
        <v>432</v>
      </c>
      <c r="D20" s="453" t="s">
        <v>1029</v>
      </c>
      <c r="E20" s="453" t="s">
        <v>1058</v>
      </c>
      <c r="F20" s="453" t="s">
        <v>1059</v>
      </c>
      <c r="G20" s="456">
        <v>396</v>
      </c>
      <c r="H20" s="456">
        <v>194436</v>
      </c>
      <c r="I20" s="453">
        <v>0.77947755808919039</v>
      </c>
      <c r="J20" s="453">
        <v>491</v>
      </c>
      <c r="K20" s="456">
        <v>507</v>
      </c>
      <c r="L20" s="456">
        <v>249444</v>
      </c>
      <c r="M20" s="453">
        <v>1</v>
      </c>
      <c r="N20" s="453">
        <v>492</v>
      </c>
      <c r="O20" s="456">
        <v>185</v>
      </c>
      <c r="P20" s="456">
        <v>96940</v>
      </c>
      <c r="Q20" s="478">
        <v>0.38862430044418789</v>
      </c>
      <c r="R20" s="457">
        <v>524</v>
      </c>
    </row>
    <row r="21" spans="1:18" ht="14.4" customHeight="1" x14ac:dyDescent="0.3">
      <c r="A21" s="452" t="s">
        <v>1027</v>
      </c>
      <c r="B21" s="453" t="s">
        <v>1028</v>
      </c>
      <c r="C21" s="453" t="s">
        <v>432</v>
      </c>
      <c r="D21" s="453" t="s">
        <v>1029</v>
      </c>
      <c r="E21" s="453" t="s">
        <v>1060</v>
      </c>
      <c r="F21" s="453" t="s">
        <v>1061</v>
      </c>
      <c r="G21" s="456">
        <v>125</v>
      </c>
      <c r="H21" s="456">
        <v>3875</v>
      </c>
      <c r="I21" s="453">
        <v>0.61274509803921573</v>
      </c>
      <c r="J21" s="453">
        <v>31</v>
      </c>
      <c r="K21" s="456">
        <v>204</v>
      </c>
      <c r="L21" s="456">
        <v>6324</v>
      </c>
      <c r="M21" s="453">
        <v>1</v>
      </c>
      <c r="N21" s="453">
        <v>31</v>
      </c>
      <c r="O21" s="456">
        <v>112</v>
      </c>
      <c r="P21" s="456">
        <v>6384</v>
      </c>
      <c r="Q21" s="478">
        <v>1.0094876660341556</v>
      </c>
      <c r="R21" s="457">
        <v>57</v>
      </c>
    </row>
    <row r="22" spans="1:18" ht="14.4" customHeight="1" x14ac:dyDescent="0.3">
      <c r="A22" s="452" t="s">
        <v>1027</v>
      </c>
      <c r="B22" s="453" t="s">
        <v>1028</v>
      </c>
      <c r="C22" s="453" t="s">
        <v>432</v>
      </c>
      <c r="D22" s="453" t="s">
        <v>1029</v>
      </c>
      <c r="E22" s="453" t="s">
        <v>1062</v>
      </c>
      <c r="F22" s="453" t="s">
        <v>1063</v>
      </c>
      <c r="G22" s="456">
        <v>89</v>
      </c>
      <c r="H22" s="456">
        <v>18423</v>
      </c>
      <c r="I22" s="453">
        <v>0.65126555429864252</v>
      </c>
      <c r="J22" s="453">
        <v>207</v>
      </c>
      <c r="K22" s="456">
        <v>136</v>
      </c>
      <c r="L22" s="456">
        <v>28288</v>
      </c>
      <c r="M22" s="453">
        <v>1</v>
      </c>
      <c r="N22" s="453">
        <v>208</v>
      </c>
      <c r="O22" s="456">
        <v>214</v>
      </c>
      <c r="P22" s="456">
        <v>47936</v>
      </c>
      <c r="Q22" s="478">
        <v>1.6945701357466063</v>
      </c>
      <c r="R22" s="457">
        <v>224</v>
      </c>
    </row>
    <row r="23" spans="1:18" ht="14.4" customHeight="1" x14ac:dyDescent="0.3">
      <c r="A23" s="452" t="s">
        <v>1027</v>
      </c>
      <c r="B23" s="453" t="s">
        <v>1028</v>
      </c>
      <c r="C23" s="453" t="s">
        <v>432</v>
      </c>
      <c r="D23" s="453" t="s">
        <v>1029</v>
      </c>
      <c r="E23" s="453" t="s">
        <v>1064</v>
      </c>
      <c r="F23" s="453" t="s">
        <v>1065</v>
      </c>
      <c r="G23" s="456">
        <v>88</v>
      </c>
      <c r="H23" s="456">
        <v>33440</v>
      </c>
      <c r="I23" s="453">
        <v>0.68569553805774275</v>
      </c>
      <c r="J23" s="453">
        <v>380</v>
      </c>
      <c r="K23" s="456">
        <v>127</v>
      </c>
      <c r="L23" s="456">
        <v>48768</v>
      </c>
      <c r="M23" s="453">
        <v>1</v>
      </c>
      <c r="N23" s="453">
        <v>384</v>
      </c>
      <c r="O23" s="456">
        <v>210</v>
      </c>
      <c r="P23" s="456">
        <v>116130</v>
      </c>
      <c r="Q23" s="478">
        <v>2.3812746062992125</v>
      </c>
      <c r="R23" s="457">
        <v>553</v>
      </c>
    </row>
    <row r="24" spans="1:18" ht="14.4" customHeight="1" x14ac:dyDescent="0.3">
      <c r="A24" s="452" t="s">
        <v>1027</v>
      </c>
      <c r="B24" s="453" t="s">
        <v>1028</v>
      </c>
      <c r="C24" s="453" t="s">
        <v>432</v>
      </c>
      <c r="D24" s="453" t="s">
        <v>1029</v>
      </c>
      <c r="E24" s="453" t="s">
        <v>1066</v>
      </c>
      <c r="F24" s="453" t="s">
        <v>1067</v>
      </c>
      <c r="G24" s="456">
        <v>97</v>
      </c>
      <c r="H24" s="456">
        <v>22698</v>
      </c>
      <c r="I24" s="453">
        <v>0.33279573045569177</v>
      </c>
      <c r="J24" s="453">
        <v>234</v>
      </c>
      <c r="K24" s="456">
        <v>289</v>
      </c>
      <c r="L24" s="456">
        <v>68204</v>
      </c>
      <c r="M24" s="453">
        <v>1</v>
      </c>
      <c r="N24" s="453">
        <v>236</v>
      </c>
      <c r="O24" s="456">
        <v>279</v>
      </c>
      <c r="P24" s="456">
        <v>59427</v>
      </c>
      <c r="Q24" s="478">
        <v>0.87131253298926747</v>
      </c>
      <c r="R24" s="457">
        <v>213</v>
      </c>
    </row>
    <row r="25" spans="1:18" ht="14.4" customHeight="1" x14ac:dyDescent="0.3">
      <c r="A25" s="452" t="s">
        <v>1027</v>
      </c>
      <c r="B25" s="453" t="s">
        <v>1028</v>
      </c>
      <c r="C25" s="453" t="s">
        <v>432</v>
      </c>
      <c r="D25" s="453" t="s">
        <v>1029</v>
      </c>
      <c r="E25" s="453" t="s">
        <v>1068</v>
      </c>
      <c r="F25" s="453" t="s">
        <v>1069</v>
      </c>
      <c r="G25" s="456">
        <v>93</v>
      </c>
      <c r="H25" s="456">
        <v>12183</v>
      </c>
      <c r="I25" s="453">
        <v>0.69474224452554745</v>
      </c>
      <c r="J25" s="453">
        <v>131</v>
      </c>
      <c r="K25" s="456">
        <v>128</v>
      </c>
      <c r="L25" s="456">
        <v>17536</v>
      </c>
      <c r="M25" s="453">
        <v>1</v>
      </c>
      <c r="N25" s="453">
        <v>137</v>
      </c>
      <c r="O25" s="456">
        <v>138</v>
      </c>
      <c r="P25" s="456">
        <v>19458</v>
      </c>
      <c r="Q25" s="478">
        <v>1.109603102189781</v>
      </c>
      <c r="R25" s="457">
        <v>141</v>
      </c>
    </row>
    <row r="26" spans="1:18" ht="14.4" customHeight="1" x14ac:dyDescent="0.3">
      <c r="A26" s="452" t="s">
        <v>1027</v>
      </c>
      <c r="B26" s="453" t="s">
        <v>1028</v>
      </c>
      <c r="C26" s="453" t="s">
        <v>432</v>
      </c>
      <c r="D26" s="453" t="s">
        <v>1029</v>
      </c>
      <c r="E26" s="453" t="s">
        <v>1070</v>
      </c>
      <c r="F26" s="453" t="s">
        <v>1071</v>
      </c>
      <c r="G26" s="456">
        <v>4</v>
      </c>
      <c r="H26" s="456">
        <v>796</v>
      </c>
      <c r="I26" s="453">
        <v>0.24268292682926829</v>
      </c>
      <c r="J26" s="453">
        <v>199</v>
      </c>
      <c r="K26" s="456">
        <v>16</v>
      </c>
      <c r="L26" s="456">
        <v>3280</v>
      </c>
      <c r="M26" s="453">
        <v>1</v>
      </c>
      <c r="N26" s="453">
        <v>205</v>
      </c>
      <c r="O26" s="456"/>
      <c r="P26" s="456"/>
      <c r="Q26" s="478"/>
      <c r="R26" s="457"/>
    </row>
    <row r="27" spans="1:18" ht="14.4" customHeight="1" x14ac:dyDescent="0.3">
      <c r="A27" s="452" t="s">
        <v>1027</v>
      </c>
      <c r="B27" s="453" t="s">
        <v>1028</v>
      </c>
      <c r="C27" s="453" t="s">
        <v>432</v>
      </c>
      <c r="D27" s="453" t="s">
        <v>1029</v>
      </c>
      <c r="E27" s="453" t="s">
        <v>1072</v>
      </c>
      <c r="F27" s="453" t="s">
        <v>1073</v>
      </c>
      <c r="G27" s="456">
        <v>24</v>
      </c>
      <c r="H27" s="456">
        <v>29904</v>
      </c>
      <c r="I27" s="453">
        <v>23.808917197452228</v>
      </c>
      <c r="J27" s="453">
        <v>1246</v>
      </c>
      <c r="K27" s="456">
        <v>1</v>
      </c>
      <c r="L27" s="456">
        <v>1256</v>
      </c>
      <c r="M27" s="453">
        <v>1</v>
      </c>
      <c r="N27" s="453">
        <v>1256</v>
      </c>
      <c r="O27" s="456">
        <v>8</v>
      </c>
      <c r="P27" s="456">
        <v>10064</v>
      </c>
      <c r="Q27" s="478">
        <v>8.0127388535031852</v>
      </c>
      <c r="R27" s="457">
        <v>1258</v>
      </c>
    </row>
    <row r="28" spans="1:18" ht="14.4" customHeight="1" x14ac:dyDescent="0.3">
      <c r="A28" s="452" t="s">
        <v>1027</v>
      </c>
      <c r="B28" s="453" t="s">
        <v>1028</v>
      </c>
      <c r="C28" s="453" t="s">
        <v>432</v>
      </c>
      <c r="D28" s="453" t="s">
        <v>1029</v>
      </c>
      <c r="E28" s="453" t="s">
        <v>1074</v>
      </c>
      <c r="F28" s="453" t="s">
        <v>1075</v>
      </c>
      <c r="G28" s="456">
        <v>3130</v>
      </c>
      <c r="H28" s="456">
        <v>50080</v>
      </c>
      <c r="I28" s="453">
        <v>0.72809746736064673</v>
      </c>
      <c r="J28" s="453">
        <v>16</v>
      </c>
      <c r="K28" s="456">
        <v>4046</v>
      </c>
      <c r="L28" s="456">
        <v>68782</v>
      </c>
      <c r="M28" s="453">
        <v>1</v>
      </c>
      <c r="N28" s="453">
        <v>17</v>
      </c>
      <c r="O28" s="456">
        <v>4056</v>
      </c>
      <c r="P28" s="456">
        <v>68952</v>
      </c>
      <c r="Q28" s="478">
        <v>1.0024715768660406</v>
      </c>
      <c r="R28" s="457">
        <v>17</v>
      </c>
    </row>
    <row r="29" spans="1:18" ht="14.4" customHeight="1" x14ac:dyDescent="0.3">
      <c r="A29" s="452" t="s">
        <v>1027</v>
      </c>
      <c r="B29" s="453" t="s">
        <v>1028</v>
      </c>
      <c r="C29" s="453" t="s">
        <v>432</v>
      </c>
      <c r="D29" s="453" t="s">
        <v>1029</v>
      </c>
      <c r="E29" s="453" t="s">
        <v>1076</v>
      </c>
      <c r="F29" s="453" t="s">
        <v>1077</v>
      </c>
      <c r="G29" s="456">
        <v>75</v>
      </c>
      <c r="H29" s="456">
        <v>10200</v>
      </c>
      <c r="I29" s="453">
        <v>0.47650191535083619</v>
      </c>
      <c r="J29" s="453">
        <v>136</v>
      </c>
      <c r="K29" s="456">
        <v>154</v>
      </c>
      <c r="L29" s="456">
        <v>21406</v>
      </c>
      <c r="M29" s="453">
        <v>1</v>
      </c>
      <c r="N29" s="453">
        <v>139</v>
      </c>
      <c r="O29" s="456">
        <v>119</v>
      </c>
      <c r="P29" s="456">
        <v>17017</v>
      </c>
      <c r="Q29" s="478">
        <v>0.79496402877697847</v>
      </c>
      <c r="R29" s="457">
        <v>143</v>
      </c>
    </row>
    <row r="30" spans="1:18" ht="14.4" customHeight="1" x14ac:dyDescent="0.3">
      <c r="A30" s="452" t="s">
        <v>1027</v>
      </c>
      <c r="B30" s="453" t="s">
        <v>1028</v>
      </c>
      <c r="C30" s="453" t="s">
        <v>432</v>
      </c>
      <c r="D30" s="453" t="s">
        <v>1029</v>
      </c>
      <c r="E30" s="453" t="s">
        <v>1078</v>
      </c>
      <c r="F30" s="453" t="s">
        <v>1079</v>
      </c>
      <c r="G30" s="456">
        <v>52</v>
      </c>
      <c r="H30" s="456">
        <v>5356</v>
      </c>
      <c r="I30" s="453">
        <v>0.55913978494623651</v>
      </c>
      <c r="J30" s="453">
        <v>103</v>
      </c>
      <c r="K30" s="456">
        <v>93</v>
      </c>
      <c r="L30" s="456">
        <v>9579</v>
      </c>
      <c r="M30" s="453">
        <v>1</v>
      </c>
      <c r="N30" s="453">
        <v>103</v>
      </c>
      <c r="O30" s="456">
        <v>70</v>
      </c>
      <c r="P30" s="456">
        <v>4550</v>
      </c>
      <c r="Q30" s="478">
        <v>0.47499739012423009</v>
      </c>
      <c r="R30" s="457">
        <v>65</v>
      </c>
    </row>
    <row r="31" spans="1:18" ht="14.4" customHeight="1" x14ac:dyDescent="0.3">
      <c r="A31" s="452" t="s">
        <v>1027</v>
      </c>
      <c r="B31" s="453" t="s">
        <v>1028</v>
      </c>
      <c r="C31" s="453" t="s">
        <v>432</v>
      </c>
      <c r="D31" s="453" t="s">
        <v>1029</v>
      </c>
      <c r="E31" s="453" t="s">
        <v>1080</v>
      </c>
      <c r="F31" s="453" t="s">
        <v>1081</v>
      </c>
      <c r="G31" s="456">
        <v>673</v>
      </c>
      <c r="H31" s="456">
        <v>26920</v>
      </c>
      <c r="I31" s="453">
        <v>0.96556671449067433</v>
      </c>
      <c r="J31" s="453">
        <v>40</v>
      </c>
      <c r="K31" s="456">
        <v>697</v>
      </c>
      <c r="L31" s="456">
        <v>27880</v>
      </c>
      <c r="M31" s="453">
        <v>1</v>
      </c>
      <c r="N31" s="453">
        <v>40</v>
      </c>
      <c r="O31" s="456">
        <v>705</v>
      </c>
      <c r="P31" s="456">
        <v>30315</v>
      </c>
      <c r="Q31" s="478">
        <v>1.0873385939741751</v>
      </c>
      <c r="R31" s="457">
        <v>43</v>
      </c>
    </row>
    <row r="32" spans="1:18" ht="14.4" customHeight="1" x14ac:dyDescent="0.3">
      <c r="A32" s="452" t="s">
        <v>1027</v>
      </c>
      <c r="B32" s="453" t="s">
        <v>1028</v>
      </c>
      <c r="C32" s="453" t="s">
        <v>432</v>
      </c>
      <c r="D32" s="453" t="s">
        <v>1029</v>
      </c>
      <c r="E32" s="453" t="s">
        <v>1082</v>
      </c>
      <c r="F32" s="453" t="s">
        <v>1083</v>
      </c>
      <c r="G32" s="456">
        <v>1335</v>
      </c>
      <c r="H32" s="456">
        <v>154860</v>
      </c>
      <c r="I32" s="453">
        <v>0.79830503232192018</v>
      </c>
      <c r="J32" s="453">
        <v>116</v>
      </c>
      <c r="K32" s="456">
        <v>1658</v>
      </c>
      <c r="L32" s="456">
        <v>193986</v>
      </c>
      <c r="M32" s="453">
        <v>1</v>
      </c>
      <c r="N32" s="453">
        <v>117</v>
      </c>
      <c r="O32" s="456">
        <v>1862</v>
      </c>
      <c r="P32" s="456">
        <v>253232</v>
      </c>
      <c r="Q32" s="478">
        <v>1.3054137927479303</v>
      </c>
      <c r="R32" s="457">
        <v>136</v>
      </c>
    </row>
    <row r="33" spans="1:18" ht="14.4" customHeight="1" x14ac:dyDescent="0.3">
      <c r="A33" s="452" t="s">
        <v>1027</v>
      </c>
      <c r="B33" s="453" t="s">
        <v>1028</v>
      </c>
      <c r="C33" s="453" t="s">
        <v>432</v>
      </c>
      <c r="D33" s="453" t="s">
        <v>1029</v>
      </c>
      <c r="E33" s="453" t="s">
        <v>1084</v>
      </c>
      <c r="F33" s="453" t="s">
        <v>1085</v>
      </c>
      <c r="G33" s="456">
        <v>85</v>
      </c>
      <c r="H33" s="456">
        <v>7225</v>
      </c>
      <c r="I33" s="453">
        <v>0.77083111063693588</v>
      </c>
      <c r="J33" s="453">
        <v>85</v>
      </c>
      <c r="K33" s="456">
        <v>103</v>
      </c>
      <c r="L33" s="456">
        <v>9373</v>
      </c>
      <c r="M33" s="453">
        <v>1</v>
      </c>
      <c r="N33" s="453">
        <v>91</v>
      </c>
      <c r="O33" s="456">
        <v>122</v>
      </c>
      <c r="P33" s="456">
        <v>11102</v>
      </c>
      <c r="Q33" s="478">
        <v>1.1844660194174756</v>
      </c>
      <c r="R33" s="457">
        <v>91</v>
      </c>
    </row>
    <row r="34" spans="1:18" ht="14.4" customHeight="1" x14ac:dyDescent="0.3">
      <c r="A34" s="452" t="s">
        <v>1027</v>
      </c>
      <c r="B34" s="453" t="s">
        <v>1028</v>
      </c>
      <c r="C34" s="453" t="s">
        <v>432</v>
      </c>
      <c r="D34" s="453" t="s">
        <v>1029</v>
      </c>
      <c r="E34" s="453" t="s">
        <v>1086</v>
      </c>
      <c r="F34" s="453" t="s">
        <v>1087</v>
      </c>
      <c r="G34" s="456">
        <v>390</v>
      </c>
      <c r="H34" s="456">
        <v>38220</v>
      </c>
      <c r="I34" s="453">
        <v>0.7721212121212121</v>
      </c>
      <c r="J34" s="453">
        <v>98</v>
      </c>
      <c r="K34" s="456">
        <v>500</v>
      </c>
      <c r="L34" s="456">
        <v>49500</v>
      </c>
      <c r="M34" s="453">
        <v>1</v>
      </c>
      <c r="N34" s="453">
        <v>99</v>
      </c>
      <c r="O34" s="456">
        <v>471</v>
      </c>
      <c r="P34" s="456">
        <v>64527</v>
      </c>
      <c r="Q34" s="478">
        <v>1.3035757575757576</v>
      </c>
      <c r="R34" s="457">
        <v>137</v>
      </c>
    </row>
    <row r="35" spans="1:18" ht="14.4" customHeight="1" x14ac:dyDescent="0.3">
      <c r="A35" s="452" t="s">
        <v>1027</v>
      </c>
      <c r="B35" s="453" t="s">
        <v>1028</v>
      </c>
      <c r="C35" s="453" t="s">
        <v>432</v>
      </c>
      <c r="D35" s="453" t="s">
        <v>1029</v>
      </c>
      <c r="E35" s="453" t="s">
        <v>1088</v>
      </c>
      <c r="F35" s="453" t="s">
        <v>1089</v>
      </c>
      <c r="G35" s="456">
        <v>345</v>
      </c>
      <c r="H35" s="456">
        <v>7245</v>
      </c>
      <c r="I35" s="453">
        <v>1.8062827225130891</v>
      </c>
      <c r="J35" s="453">
        <v>21</v>
      </c>
      <c r="K35" s="456">
        <v>191</v>
      </c>
      <c r="L35" s="456">
        <v>4011</v>
      </c>
      <c r="M35" s="453">
        <v>1</v>
      </c>
      <c r="N35" s="453">
        <v>21</v>
      </c>
      <c r="O35" s="456">
        <v>165</v>
      </c>
      <c r="P35" s="456">
        <v>10890</v>
      </c>
      <c r="Q35" s="478">
        <v>2.7150336574420346</v>
      </c>
      <c r="R35" s="457">
        <v>66</v>
      </c>
    </row>
    <row r="36" spans="1:18" ht="14.4" customHeight="1" x14ac:dyDescent="0.3">
      <c r="A36" s="452" t="s">
        <v>1027</v>
      </c>
      <c r="B36" s="453" t="s">
        <v>1028</v>
      </c>
      <c r="C36" s="453" t="s">
        <v>432</v>
      </c>
      <c r="D36" s="453" t="s">
        <v>1029</v>
      </c>
      <c r="E36" s="453" t="s">
        <v>1090</v>
      </c>
      <c r="F36" s="453" t="s">
        <v>1091</v>
      </c>
      <c r="G36" s="456">
        <v>4517</v>
      </c>
      <c r="H36" s="456">
        <v>2199779</v>
      </c>
      <c r="I36" s="453">
        <v>0.84557191004671106</v>
      </c>
      <c r="J36" s="453">
        <v>487</v>
      </c>
      <c r="K36" s="456">
        <v>5331</v>
      </c>
      <c r="L36" s="456">
        <v>2601528</v>
      </c>
      <c r="M36" s="453">
        <v>1</v>
      </c>
      <c r="N36" s="453">
        <v>488</v>
      </c>
      <c r="O36" s="456">
        <v>3760</v>
      </c>
      <c r="P36" s="456">
        <v>1233280</v>
      </c>
      <c r="Q36" s="478">
        <v>0.47405986020523322</v>
      </c>
      <c r="R36" s="457">
        <v>328</v>
      </c>
    </row>
    <row r="37" spans="1:18" ht="14.4" customHeight="1" x14ac:dyDescent="0.3">
      <c r="A37" s="452" t="s">
        <v>1027</v>
      </c>
      <c r="B37" s="453" t="s">
        <v>1028</v>
      </c>
      <c r="C37" s="453" t="s">
        <v>432</v>
      </c>
      <c r="D37" s="453" t="s">
        <v>1029</v>
      </c>
      <c r="E37" s="453" t="s">
        <v>1092</v>
      </c>
      <c r="F37" s="453" t="s">
        <v>1093</v>
      </c>
      <c r="G37" s="456">
        <v>800</v>
      </c>
      <c r="H37" s="456">
        <v>258400</v>
      </c>
      <c r="I37" s="453">
        <v>0.72240114510645914</v>
      </c>
      <c r="J37" s="453">
        <v>323</v>
      </c>
      <c r="K37" s="456">
        <v>1104</v>
      </c>
      <c r="L37" s="456">
        <v>357696</v>
      </c>
      <c r="M37" s="453">
        <v>1</v>
      </c>
      <c r="N37" s="453">
        <v>324</v>
      </c>
      <c r="O37" s="456">
        <v>1268</v>
      </c>
      <c r="P37" s="456">
        <v>355040</v>
      </c>
      <c r="Q37" s="478">
        <v>0.99257470030416894</v>
      </c>
      <c r="R37" s="457">
        <v>280</v>
      </c>
    </row>
    <row r="38" spans="1:18" ht="14.4" customHeight="1" x14ac:dyDescent="0.3">
      <c r="A38" s="452" t="s">
        <v>1027</v>
      </c>
      <c r="B38" s="453" t="s">
        <v>1028</v>
      </c>
      <c r="C38" s="453" t="s">
        <v>432</v>
      </c>
      <c r="D38" s="453" t="s">
        <v>1029</v>
      </c>
      <c r="E38" s="453" t="s">
        <v>1094</v>
      </c>
      <c r="F38" s="453" t="s">
        <v>1095</v>
      </c>
      <c r="G38" s="456">
        <v>370</v>
      </c>
      <c r="H38" s="456">
        <v>86950</v>
      </c>
      <c r="I38" s="453">
        <v>0.8279375357074843</v>
      </c>
      <c r="J38" s="453">
        <v>235</v>
      </c>
      <c r="K38" s="456">
        <v>445</v>
      </c>
      <c r="L38" s="456">
        <v>105020</v>
      </c>
      <c r="M38" s="453">
        <v>1</v>
      </c>
      <c r="N38" s="453">
        <v>236</v>
      </c>
      <c r="O38" s="456">
        <v>478</v>
      </c>
      <c r="P38" s="456">
        <v>107550</v>
      </c>
      <c r="Q38" s="478">
        <v>1.0240906494001143</v>
      </c>
      <c r="R38" s="457">
        <v>225</v>
      </c>
    </row>
    <row r="39" spans="1:18" ht="14.4" customHeight="1" x14ac:dyDescent="0.3">
      <c r="A39" s="452" t="s">
        <v>1027</v>
      </c>
      <c r="B39" s="453" t="s">
        <v>1028</v>
      </c>
      <c r="C39" s="453" t="s">
        <v>432</v>
      </c>
      <c r="D39" s="453" t="s">
        <v>1029</v>
      </c>
      <c r="E39" s="453" t="s">
        <v>1096</v>
      </c>
      <c r="F39" s="453" t="s">
        <v>1097</v>
      </c>
      <c r="G39" s="456">
        <v>851</v>
      </c>
      <c r="H39" s="456">
        <v>57017</v>
      </c>
      <c r="I39" s="453">
        <v>0.83018345952242278</v>
      </c>
      <c r="J39" s="453">
        <v>67</v>
      </c>
      <c r="K39" s="456">
        <v>1010</v>
      </c>
      <c r="L39" s="456">
        <v>68680</v>
      </c>
      <c r="M39" s="453">
        <v>1</v>
      </c>
      <c r="N39" s="453">
        <v>68</v>
      </c>
      <c r="O39" s="456">
        <v>896</v>
      </c>
      <c r="P39" s="456">
        <v>64512</v>
      </c>
      <c r="Q39" s="478">
        <v>0.93931275480489229</v>
      </c>
      <c r="R39" s="457">
        <v>72</v>
      </c>
    </row>
    <row r="40" spans="1:18" ht="14.4" customHeight="1" x14ac:dyDescent="0.3">
      <c r="A40" s="452" t="s">
        <v>1027</v>
      </c>
      <c r="B40" s="453" t="s">
        <v>1028</v>
      </c>
      <c r="C40" s="453" t="s">
        <v>432</v>
      </c>
      <c r="D40" s="453" t="s">
        <v>1029</v>
      </c>
      <c r="E40" s="453" t="s">
        <v>1098</v>
      </c>
      <c r="F40" s="453" t="s">
        <v>1099</v>
      </c>
      <c r="G40" s="456">
        <v>487</v>
      </c>
      <c r="H40" s="456">
        <v>19967</v>
      </c>
      <c r="I40" s="453">
        <v>0.78930307941653155</v>
      </c>
      <c r="J40" s="453">
        <v>41</v>
      </c>
      <c r="K40" s="456">
        <v>617</v>
      </c>
      <c r="L40" s="456">
        <v>25297</v>
      </c>
      <c r="M40" s="453">
        <v>1</v>
      </c>
      <c r="N40" s="453">
        <v>41</v>
      </c>
      <c r="O40" s="456">
        <v>525</v>
      </c>
      <c r="P40" s="456">
        <v>26775</v>
      </c>
      <c r="Q40" s="478">
        <v>1.0584259003043839</v>
      </c>
      <c r="R40" s="457">
        <v>51</v>
      </c>
    </row>
    <row r="41" spans="1:18" ht="14.4" customHeight="1" x14ac:dyDescent="0.3">
      <c r="A41" s="452" t="s">
        <v>1027</v>
      </c>
      <c r="B41" s="453" t="s">
        <v>1028</v>
      </c>
      <c r="C41" s="453" t="s">
        <v>432</v>
      </c>
      <c r="D41" s="453" t="s">
        <v>1029</v>
      </c>
      <c r="E41" s="453" t="s">
        <v>1100</v>
      </c>
      <c r="F41" s="453" t="s">
        <v>1101</v>
      </c>
      <c r="G41" s="456">
        <v>797</v>
      </c>
      <c r="H41" s="456">
        <v>58181</v>
      </c>
      <c r="I41" s="453">
        <v>1.0755536658409435</v>
      </c>
      <c r="J41" s="453">
        <v>73</v>
      </c>
      <c r="K41" s="456">
        <v>731</v>
      </c>
      <c r="L41" s="456">
        <v>54094</v>
      </c>
      <c r="M41" s="453">
        <v>1</v>
      </c>
      <c r="N41" s="453">
        <v>74</v>
      </c>
      <c r="O41" s="456">
        <v>758</v>
      </c>
      <c r="P41" s="456">
        <v>97782</v>
      </c>
      <c r="Q41" s="478">
        <v>1.807631160572337</v>
      </c>
      <c r="R41" s="457">
        <v>129</v>
      </c>
    </row>
    <row r="42" spans="1:18" ht="14.4" customHeight="1" x14ac:dyDescent="0.3">
      <c r="A42" s="452" t="s">
        <v>1027</v>
      </c>
      <c r="B42" s="453" t="s">
        <v>1028</v>
      </c>
      <c r="C42" s="453" t="s">
        <v>432</v>
      </c>
      <c r="D42" s="453" t="s">
        <v>1029</v>
      </c>
      <c r="E42" s="453" t="s">
        <v>1102</v>
      </c>
      <c r="F42" s="453" t="s">
        <v>1103</v>
      </c>
      <c r="G42" s="456">
        <v>95</v>
      </c>
      <c r="H42" s="456">
        <v>6935</v>
      </c>
      <c r="I42" s="453">
        <v>0.72648229624973815</v>
      </c>
      <c r="J42" s="453">
        <v>73</v>
      </c>
      <c r="K42" s="456">
        <v>129</v>
      </c>
      <c r="L42" s="456">
        <v>9546</v>
      </c>
      <c r="M42" s="453">
        <v>1</v>
      </c>
      <c r="N42" s="453">
        <v>74</v>
      </c>
      <c r="O42" s="456">
        <v>92</v>
      </c>
      <c r="P42" s="456">
        <v>4784</v>
      </c>
      <c r="Q42" s="478">
        <v>0.50115231510580349</v>
      </c>
      <c r="R42" s="457">
        <v>52</v>
      </c>
    </row>
    <row r="43" spans="1:18" ht="14.4" customHeight="1" x14ac:dyDescent="0.3">
      <c r="A43" s="452" t="s">
        <v>1027</v>
      </c>
      <c r="B43" s="453" t="s">
        <v>1028</v>
      </c>
      <c r="C43" s="453" t="s">
        <v>432</v>
      </c>
      <c r="D43" s="453" t="s">
        <v>1029</v>
      </c>
      <c r="E43" s="453" t="s">
        <v>1104</v>
      </c>
      <c r="F43" s="453" t="s">
        <v>1105</v>
      </c>
      <c r="G43" s="456">
        <v>606</v>
      </c>
      <c r="H43" s="456">
        <v>172104</v>
      </c>
      <c r="I43" s="453">
        <v>0.85052631578947369</v>
      </c>
      <c r="J43" s="453">
        <v>284</v>
      </c>
      <c r="K43" s="456">
        <v>710</v>
      </c>
      <c r="L43" s="456">
        <v>202350</v>
      </c>
      <c r="M43" s="453">
        <v>1</v>
      </c>
      <c r="N43" s="453">
        <v>285</v>
      </c>
      <c r="O43" s="456">
        <v>756</v>
      </c>
      <c r="P43" s="456">
        <v>362880</v>
      </c>
      <c r="Q43" s="478">
        <v>1.7933283914010378</v>
      </c>
      <c r="R43" s="457">
        <v>480</v>
      </c>
    </row>
    <row r="44" spans="1:18" ht="14.4" customHeight="1" x14ac:dyDescent="0.3">
      <c r="A44" s="452" t="s">
        <v>1027</v>
      </c>
      <c r="B44" s="453" t="s">
        <v>1028</v>
      </c>
      <c r="C44" s="453" t="s">
        <v>432</v>
      </c>
      <c r="D44" s="453" t="s">
        <v>1029</v>
      </c>
      <c r="E44" s="453" t="s">
        <v>1106</v>
      </c>
      <c r="F44" s="453" t="s">
        <v>1107</v>
      </c>
      <c r="G44" s="456">
        <v>15</v>
      </c>
      <c r="H44" s="456">
        <v>3285</v>
      </c>
      <c r="I44" s="453">
        <v>1.1331493618489135</v>
      </c>
      <c r="J44" s="453">
        <v>219</v>
      </c>
      <c r="K44" s="456">
        <v>13</v>
      </c>
      <c r="L44" s="456">
        <v>2899</v>
      </c>
      <c r="M44" s="453">
        <v>1</v>
      </c>
      <c r="N44" s="453">
        <v>223</v>
      </c>
      <c r="O44" s="456">
        <v>16</v>
      </c>
      <c r="P44" s="456">
        <v>3312</v>
      </c>
      <c r="Q44" s="478">
        <v>1.1424629182476715</v>
      </c>
      <c r="R44" s="457">
        <v>207</v>
      </c>
    </row>
    <row r="45" spans="1:18" ht="14.4" customHeight="1" x14ac:dyDescent="0.3">
      <c r="A45" s="452" t="s">
        <v>1027</v>
      </c>
      <c r="B45" s="453" t="s">
        <v>1028</v>
      </c>
      <c r="C45" s="453" t="s">
        <v>432</v>
      </c>
      <c r="D45" s="453" t="s">
        <v>1029</v>
      </c>
      <c r="E45" s="453" t="s">
        <v>1108</v>
      </c>
      <c r="F45" s="453" t="s">
        <v>1109</v>
      </c>
      <c r="G45" s="456">
        <v>85</v>
      </c>
      <c r="H45" s="456">
        <v>64770</v>
      </c>
      <c r="I45" s="453">
        <v>0.63826013263827985</v>
      </c>
      <c r="J45" s="453">
        <v>762</v>
      </c>
      <c r="K45" s="456">
        <v>133</v>
      </c>
      <c r="L45" s="456">
        <v>101479</v>
      </c>
      <c r="M45" s="453">
        <v>1</v>
      </c>
      <c r="N45" s="453">
        <v>763</v>
      </c>
      <c r="O45" s="456">
        <v>83</v>
      </c>
      <c r="P45" s="456">
        <v>63329</v>
      </c>
      <c r="Q45" s="478">
        <v>0.62406015037593987</v>
      </c>
      <c r="R45" s="457">
        <v>763</v>
      </c>
    </row>
    <row r="46" spans="1:18" ht="14.4" customHeight="1" x14ac:dyDescent="0.3">
      <c r="A46" s="452" t="s">
        <v>1027</v>
      </c>
      <c r="B46" s="453" t="s">
        <v>1028</v>
      </c>
      <c r="C46" s="453" t="s">
        <v>432</v>
      </c>
      <c r="D46" s="453" t="s">
        <v>1029</v>
      </c>
      <c r="E46" s="453" t="s">
        <v>1110</v>
      </c>
      <c r="F46" s="453" t="s">
        <v>1111</v>
      </c>
      <c r="G46" s="456">
        <v>80</v>
      </c>
      <c r="H46" s="456">
        <v>165760</v>
      </c>
      <c r="I46" s="453">
        <v>0.74042309891366498</v>
      </c>
      <c r="J46" s="453">
        <v>2072</v>
      </c>
      <c r="K46" s="456">
        <v>106</v>
      </c>
      <c r="L46" s="456">
        <v>223872</v>
      </c>
      <c r="M46" s="453">
        <v>1</v>
      </c>
      <c r="N46" s="453">
        <v>2112</v>
      </c>
      <c r="O46" s="456">
        <v>118</v>
      </c>
      <c r="P46" s="456">
        <v>249688</v>
      </c>
      <c r="Q46" s="478">
        <v>1.115315894797027</v>
      </c>
      <c r="R46" s="457">
        <v>2116</v>
      </c>
    </row>
    <row r="47" spans="1:18" ht="14.4" customHeight="1" x14ac:dyDescent="0.3">
      <c r="A47" s="452" t="s">
        <v>1027</v>
      </c>
      <c r="B47" s="453" t="s">
        <v>1028</v>
      </c>
      <c r="C47" s="453" t="s">
        <v>432</v>
      </c>
      <c r="D47" s="453" t="s">
        <v>1029</v>
      </c>
      <c r="E47" s="453" t="s">
        <v>1112</v>
      </c>
      <c r="F47" s="453" t="s">
        <v>1113</v>
      </c>
      <c r="G47" s="456">
        <v>25</v>
      </c>
      <c r="H47" s="456">
        <v>15200</v>
      </c>
      <c r="I47" s="453">
        <v>0.56262955285756588</v>
      </c>
      <c r="J47" s="453">
        <v>608</v>
      </c>
      <c r="K47" s="456">
        <v>44</v>
      </c>
      <c r="L47" s="456">
        <v>27016</v>
      </c>
      <c r="M47" s="453">
        <v>1</v>
      </c>
      <c r="N47" s="453">
        <v>614</v>
      </c>
      <c r="O47" s="456">
        <v>45</v>
      </c>
      <c r="P47" s="456">
        <v>27540</v>
      </c>
      <c r="Q47" s="478">
        <v>1.0193959135327213</v>
      </c>
      <c r="R47" s="457">
        <v>612</v>
      </c>
    </row>
    <row r="48" spans="1:18" ht="14.4" customHeight="1" x14ac:dyDescent="0.3">
      <c r="A48" s="452" t="s">
        <v>1027</v>
      </c>
      <c r="B48" s="453" t="s">
        <v>1028</v>
      </c>
      <c r="C48" s="453" t="s">
        <v>432</v>
      </c>
      <c r="D48" s="453" t="s">
        <v>1029</v>
      </c>
      <c r="E48" s="453" t="s">
        <v>1114</v>
      </c>
      <c r="F48" s="453" t="s">
        <v>1115</v>
      </c>
      <c r="G48" s="456">
        <v>6</v>
      </c>
      <c r="H48" s="456">
        <v>5772</v>
      </c>
      <c r="I48" s="453">
        <v>0.35257467472970494</v>
      </c>
      <c r="J48" s="453">
        <v>962</v>
      </c>
      <c r="K48" s="456">
        <v>17</v>
      </c>
      <c r="L48" s="456">
        <v>16371</v>
      </c>
      <c r="M48" s="453">
        <v>1</v>
      </c>
      <c r="N48" s="453">
        <v>963</v>
      </c>
      <c r="O48" s="456"/>
      <c r="P48" s="456"/>
      <c r="Q48" s="478"/>
      <c r="R48" s="457"/>
    </row>
    <row r="49" spans="1:18" ht="14.4" customHeight="1" x14ac:dyDescent="0.3">
      <c r="A49" s="452" t="s">
        <v>1027</v>
      </c>
      <c r="B49" s="453" t="s">
        <v>1028</v>
      </c>
      <c r="C49" s="453" t="s">
        <v>432</v>
      </c>
      <c r="D49" s="453" t="s">
        <v>1029</v>
      </c>
      <c r="E49" s="453" t="s">
        <v>1116</v>
      </c>
      <c r="F49" s="453" t="s">
        <v>1117</v>
      </c>
      <c r="G49" s="456">
        <v>1</v>
      </c>
      <c r="H49" s="456">
        <v>509</v>
      </c>
      <c r="I49" s="453"/>
      <c r="J49" s="453">
        <v>509</v>
      </c>
      <c r="K49" s="456"/>
      <c r="L49" s="456"/>
      <c r="M49" s="453"/>
      <c r="N49" s="453"/>
      <c r="O49" s="456">
        <v>2</v>
      </c>
      <c r="P49" s="456">
        <v>862</v>
      </c>
      <c r="Q49" s="478"/>
      <c r="R49" s="457">
        <v>431</v>
      </c>
    </row>
    <row r="50" spans="1:18" ht="14.4" customHeight="1" x14ac:dyDescent="0.3">
      <c r="A50" s="452" t="s">
        <v>1027</v>
      </c>
      <c r="B50" s="453" t="s">
        <v>1028</v>
      </c>
      <c r="C50" s="453" t="s">
        <v>432</v>
      </c>
      <c r="D50" s="453" t="s">
        <v>1029</v>
      </c>
      <c r="E50" s="453" t="s">
        <v>1118</v>
      </c>
      <c r="F50" s="453" t="s">
        <v>1119</v>
      </c>
      <c r="G50" s="456">
        <v>38</v>
      </c>
      <c r="H50" s="456">
        <v>66196</v>
      </c>
      <c r="I50" s="453">
        <v>2.5074242424242423</v>
      </c>
      <c r="J50" s="453">
        <v>1742</v>
      </c>
      <c r="K50" s="456">
        <v>15</v>
      </c>
      <c r="L50" s="456">
        <v>26400</v>
      </c>
      <c r="M50" s="453">
        <v>1</v>
      </c>
      <c r="N50" s="453">
        <v>1760</v>
      </c>
      <c r="O50" s="456">
        <v>10</v>
      </c>
      <c r="P50" s="456">
        <v>17630</v>
      </c>
      <c r="Q50" s="478">
        <v>0.66780303030303034</v>
      </c>
      <c r="R50" s="457">
        <v>1763</v>
      </c>
    </row>
    <row r="51" spans="1:18" ht="14.4" customHeight="1" x14ac:dyDescent="0.3">
      <c r="A51" s="452" t="s">
        <v>1027</v>
      </c>
      <c r="B51" s="453" t="s">
        <v>1028</v>
      </c>
      <c r="C51" s="453" t="s">
        <v>432</v>
      </c>
      <c r="D51" s="453" t="s">
        <v>1029</v>
      </c>
      <c r="E51" s="453" t="s">
        <v>1120</v>
      </c>
      <c r="F51" s="453" t="s">
        <v>1121</v>
      </c>
      <c r="G51" s="456">
        <v>94</v>
      </c>
      <c r="H51" s="456">
        <v>46060</v>
      </c>
      <c r="I51" s="453">
        <v>0.68836681013868961</v>
      </c>
      <c r="J51" s="453">
        <v>490</v>
      </c>
      <c r="K51" s="456">
        <v>136</v>
      </c>
      <c r="L51" s="456">
        <v>66912</v>
      </c>
      <c r="M51" s="453">
        <v>1</v>
      </c>
      <c r="N51" s="453">
        <v>492</v>
      </c>
      <c r="O51" s="456">
        <v>34</v>
      </c>
      <c r="P51" s="456">
        <v>16728</v>
      </c>
      <c r="Q51" s="478">
        <v>0.25</v>
      </c>
      <c r="R51" s="457">
        <v>492</v>
      </c>
    </row>
    <row r="52" spans="1:18" ht="14.4" customHeight="1" x14ac:dyDescent="0.3">
      <c r="A52" s="452" t="s">
        <v>1027</v>
      </c>
      <c r="B52" s="453" t="s">
        <v>1028</v>
      </c>
      <c r="C52" s="453" t="s">
        <v>432</v>
      </c>
      <c r="D52" s="453" t="s">
        <v>1029</v>
      </c>
      <c r="E52" s="453" t="s">
        <v>1122</v>
      </c>
      <c r="F52" s="453" t="s">
        <v>1123</v>
      </c>
      <c r="G52" s="456">
        <v>89</v>
      </c>
      <c r="H52" s="456">
        <v>8722</v>
      </c>
      <c r="I52" s="453">
        <v>0.62042964859866268</v>
      </c>
      <c r="J52" s="453">
        <v>98</v>
      </c>
      <c r="K52" s="456">
        <v>142</v>
      </c>
      <c r="L52" s="456">
        <v>14058</v>
      </c>
      <c r="M52" s="453">
        <v>1</v>
      </c>
      <c r="N52" s="453">
        <v>99</v>
      </c>
      <c r="O52" s="456">
        <v>115</v>
      </c>
      <c r="P52" s="456">
        <v>17365</v>
      </c>
      <c r="Q52" s="478">
        <v>1.2352397211552142</v>
      </c>
      <c r="R52" s="457">
        <v>151</v>
      </c>
    </row>
    <row r="53" spans="1:18" ht="14.4" customHeight="1" x14ac:dyDescent="0.3">
      <c r="A53" s="452" t="s">
        <v>1027</v>
      </c>
      <c r="B53" s="453" t="s">
        <v>1028</v>
      </c>
      <c r="C53" s="453" t="s">
        <v>432</v>
      </c>
      <c r="D53" s="453" t="s">
        <v>1029</v>
      </c>
      <c r="E53" s="453" t="s">
        <v>1124</v>
      </c>
      <c r="F53" s="453" t="s">
        <v>1125</v>
      </c>
      <c r="G53" s="456">
        <v>97</v>
      </c>
      <c r="H53" s="456">
        <v>24056</v>
      </c>
      <c r="I53" s="453">
        <v>0.33429218604521893</v>
      </c>
      <c r="J53" s="453">
        <v>248</v>
      </c>
      <c r="K53" s="456">
        <v>289</v>
      </c>
      <c r="L53" s="456">
        <v>71961</v>
      </c>
      <c r="M53" s="453">
        <v>1</v>
      </c>
      <c r="N53" s="453">
        <v>249</v>
      </c>
      <c r="O53" s="456">
        <v>279</v>
      </c>
      <c r="P53" s="456">
        <v>75609</v>
      </c>
      <c r="Q53" s="478">
        <v>1.0506941259849085</v>
      </c>
      <c r="R53" s="457">
        <v>271</v>
      </c>
    </row>
    <row r="54" spans="1:18" ht="14.4" customHeight="1" x14ac:dyDescent="0.3">
      <c r="A54" s="452" t="s">
        <v>1027</v>
      </c>
      <c r="B54" s="453" t="s">
        <v>1028</v>
      </c>
      <c r="C54" s="453" t="s">
        <v>432</v>
      </c>
      <c r="D54" s="453" t="s">
        <v>1029</v>
      </c>
      <c r="E54" s="453" t="s">
        <v>1126</v>
      </c>
      <c r="F54" s="453" t="s">
        <v>1127</v>
      </c>
      <c r="G54" s="456">
        <v>126</v>
      </c>
      <c r="H54" s="456">
        <v>19278</v>
      </c>
      <c r="I54" s="453">
        <v>1.2518181818181817</v>
      </c>
      <c r="J54" s="453">
        <v>153</v>
      </c>
      <c r="K54" s="456">
        <v>100</v>
      </c>
      <c r="L54" s="456">
        <v>15400</v>
      </c>
      <c r="M54" s="453">
        <v>1</v>
      </c>
      <c r="N54" s="453">
        <v>154</v>
      </c>
      <c r="O54" s="456">
        <v>117</v>
      </c>
      <c r="P54" s="456">
        <v>20241</v>
      </c>
      <c r="Q54" s="478">
        <v>1.3143506493506494</v>
      </c>
      <c r="R54" s="457">
        <v>173</v>
      </c>
    </row>
    <row r="55" spans="1:18" ht="14.4" customHeight="1" x14ac:dyDescent="0.3">
      <c r="A55" s="452" t="s">
        <v>1027</v>
      </c>
      <c r="B55" s="453" t="s">
        <v>1028</v>
      </c>
      <c r="C55" s="453" t="s">
        <v>432</v>
      </c>
      <c r="D55" s="453" t="s">
        <v>1029</v>
      </c>
      <c r="E55" s="453" t="s">
        <v>1128</v>
      </c>
      <c r="F55" s="453" t="s">
        <v>1129</v>
      </c>
      <c r="G55" s="456">
        <v>35</v>
      </c>
      <c r="H55" s="456">
        <v>18585</v>
      </c>
      <c r="I55" s="453">
        <v>1.3973684210526316</v>
      </c>
      <c r="J55" s="453">
        <v>531</v>
      </c>
      <c r="K55" s="456">
        <v>25</v>
      </c>
      <c r="L55" s="456">
        <v>13300</v>
      </c>
      <c r="M55" s="453">
        <v>1</v>
      </c>
      <c r="N55" s="453">
        <v>532</v>
      </c>
      <c r="O55" s="456">
        <v>29</v>
      </c>
      <c r="P55" s="456">
        <v>12702</v>
      </c>
      <c r="Q55" s="478">
        <v>0.95503759398496235</v>
      </c>
      <c r="R55" s="457">
        <v>438</v>
      </c>
    </row>
    <row r="56" spans="1:18" ht="14.4" customHeight="1" x14ac:dyDescent="0.3">
      <c r="A56" s="452" t="s">
        <v>1027</v>
      </c>
      <c r="B56" s="453" t="s">
        <v>1028</v>
      </c>
      <c r="C56" s="453" t="s">
        <v>432</v>
      </c>
      <c r="D56" s="453" t="s">
        <v>1029</v>
      </c>
      <c r="E56" s="453" t="s">
        <v>1130</v>
      </c>
      <c r="F56" s="453" t="s">
        <v>1131</v>
      </c>
      <c r="G56" s="456">
        <v>30</v>
      </c>
      <c r="H56" s="456">
        <v>4560</v>
      </c>
      <c r="I56" s="453"/>
      <c r="J56" s="453">
        <v>152</v>
      </c>
      <c r="K56" s="456"/>
      <c r="L56" s="456"/>
      <c r="M56" s="453"/>
      <c r="N56" s="453"/>
      <c r="O56" s="456"/>
      <c r="P56" s="456"/>
      <c r="Q56" s="478"/>
      <c r="R56" s="457"/>
    </row>
    <row r="57" spans="1:18" ht="14.4" customHeight="1" x14ac:dyDescent="0.3">
      <c r="A57" s="452" t="s">
        <v>1027</v>
      </c>
      <c r="B57" s="453" t="s">
        <v>1028</v>
      </c>
      <c r="C57" s="453" t="s">
        <v>432</v>
      </c>
      <c r="D57" s="453" t="s">
        <v>1029</v>
      </c>
      <c r="E57" s="453" t="s">
        <v>1132</v>
      </c>
      <c r="F57" s="453" t="s">
        <v>1133</v>
      </c>
      <c r="G57" s="456">
        <v>1</v>
      </c>
      <c r="H57" s="456">
        <v>27</v>
      </c>
      <c r="I57" s="453">
        <v>0.25</v>
      </c>
      <c r="J57" s="453">
        <v>27</v>
      </c>
      <c r="K57" s="456">
        <v>4</v>
      </c>
      <c r="L57" s="456">
        <v>108</v>
      </c>
      <c r="M57" s="453">
        <v>1</v>
      </c>
      <c r="N57" s="453">
        <v>27</v>
      </c>
      <c r="O57" s="456">
        <v>5</v>
      </c>
      <c r="P57" s="456">
        <v>235</v>
      </c>
      <c r="Q57" s="478">
        <v>2.175925925925926</v>
      </c>
      <c r="R57" s="457">
        <v>47</v>
      </c>
    </row>
    <row r="58" spans="1:18" ht="14.4" customHeight="1" x14ac:dyDescent="0.3">
      <c r="A58" s="452" t="s">
        <v>1027</v>
      </c>
      <c r="B58" s="453" t="s">
        <v>1028</v>
      </c>
      <c r="C58" s="453" t="s">
        <v>432</v>
      </c>
      <c r="D58" s="453" t="s">
        <v>1029</v>
      </c>
      <c r="E58" s="453" t="s">
        <v>1134</v>
      </c>
      <c r="F58" s="453" t="s">
        <v>1135</v>
      </c>
      <c r="G58" s="456">
        <v>2</v>
      </c>
      <c r="H58" s="456">
        <v>82</v>
      </c>
      <c r="I58" s="453">
        <v>0.32539682539682541</v>
      </c>
      <c r="J58" s="453">
        <v>41</v>
      </c>
      <c r="K58" s="456">
        <v>6</v>
      </c>
      <c r="L58" s="456">
        <v>252</v>
      </c>
      <c r="M58" s="453">
        <v>1</v>
      </c>
      <c r="N58" s="453">
        <v>42</v>
      </c>
      <c r="O58" s="456"/>
      <c r="P58" s="456"/>
      <c r="Q58" s="478"/>
      <c r="R58" s="457"/>
    </row>
    <row r="59" spans="1:18" ht="14.4" customHeight="1" x14ac:dyDescent="0.3">
      <c r="A59" s="452" t="s">
        <v>1027</v>
      </c>
      <c r="B59" s="453" t="s">
        <v>1028</v>
      </c>
      <c r="C59" s="453" t="s">
        <v>432</v>
      </c>
      <c r="D59" s="453" t="s">
        <v>1029</v>
      </c>
      <c r="E59" s="453" t="s">
        <v>1136</v>
      </c>
      <c r="F59" s="453" t="s">
        <v>1137</v>
      </c>
      <c r="G59" s="456"/>
      <c r="H59" s="456"/>
      <c r="I59" s="453"/>
      <c r="J59" s="453"/>
      <c r="K59" s="456"/>
      <c r="L59" s="456"/>
      <c r="M59" s="453"/>
      <c r="N59" s="453"/>
      <c r="O59" s="456">
        <v>3</v>
      </c>
      <c r="P59" s="456">
        <v>1131</v>
      </c>
      <c r="Q59" s="478"/>
      <c r="R59" s="457">
        <v>377</v>
      </c>
    </row>
    <row r="60" spans="1:18" ht="14.4" customHeight="1" x14ac:dyDescent="0.3">
      <c r="A60" s="452" t="s">
        <v>1027</v>
      </c>
      <c r="B60" s="453" t="s">
        <v>1028</v>
      </c>
      <c r="C60" s="453" t="s">
        <v>432</v>
      </c>
      <c r="D60" s="453" t="s">
        <v>1029</v>
      </c>
      <c r="E60" s="453" t="s">
        <v>1138</v>
      </c>
      <c r="F60" s="453" t="s">
        <v>1139</v>
      </c>
      <c r="G60" s="456">
        <v>1</v>
      </c>
      <c r="H60" s="456">
        <v>29</v>
      </c>
      <c r="I60" s="453"/>
      <c r="J60" s="453">
        <v>29</v>
      </c>
      <c r="K60" s="456"/>
      <c r="L60" s="456"/>
      <c r="M60" s="453"/>
      <c r="N60" s="453"/>
      <c r="O60" s="456"/>
      <c r="P60" s="456"/>
      <c r="Q60" s="478"/>
      <c r="R60" s="457"/>
    </row>
    <row r="61" spans="1:18" ht="14.4" customHeight="1" x14ac:dyDescent="0.3">
      <c r="A61" s="452" t="s">
        <v>1027</v>
      </c>
      <c r="B61" s="453" t="s">
        <v>1028</v>
      </c>
      <c r="C61" s="453" t="s">
        <v>432</v>
      </c>
      <c r="D61" s="453" t="s">
        <v>1029</v>
      </c>
      <c r="E61" s="453" t="s">
        <v>1140</v>
      </c>
      <c r="F61" s="453" t="s">
        <v>1141</v>
      </c>
      <c r="G61" s="456">
        <v>1</v>
      </c>
      <c r="H61" s="456">
        <v>118</v>
      </c>
      <c r="I61" s="453">
        <v>0.19831932773109243</v>
      </c>
      <c r="J61" s="453">
        <v>118</v>
      </c>
      <c r="K61" s="456">
        <v>5</v>
      </c>
      <c r="L61" s="456">
        <v>595</v>
      </c>
      <c r="M61" s="453">
        <v>1</v>
      </c>
      <c r="N61" s="453">
        <v>119</v>
      </c>
      <c r="O61" s="456"/>
      <c r="P61" s="456"/>
      <c r="Q61" s="478"/>
      <c r="R61" s="457"/>
    </row>
    <row r="62" spans="1:18" ht="14.4" customHeight="1" x14ac:dyDescent="0.3">
      <c r="A62" s="452" t="s">
        <v>1027</v>
      </c>
      <c r="B62" s="453" t="s">
        <v>1028</v>
      </c>
      <c r="C62" s="453" t="s">
        <v>432</v>
      </c>
      <c r="D62" s="453" t="s">
        <v>1029</v>
      </c>
      <c r="E62" s="453" t="s">
        <v>1142</v>
      </c>
      <c r="F62" s="453" t="s">
        <v>1143</v>
      </c>
      <c r="G62" s="456">
        <v>1</v>
      </c>
      <c r="H62" s="456">
        <v>269</v>
      </c>
      <c r="I62" s="453"/>
      <c r="J62" s="453">
        <v>269</v>
      </c>
      <c r="K62" s="456"/>
      <c r="L62" s="456"/>
      <c r="M62" s="453"/>
      <c r="N62" s="453"/>
      <c r="O62" s="456"/>
      <c r="P62" s="456"/>
      <c r="Q62" s="478"/>
      <c r="R62" s="457"/>
    </row>
    <row r="63" spans="1:18" ht="14.4" customHeight="1" x14ac:dyDescent="0.3">
      <c r="A63" s="452" t="s">
        <v>1027</v>
      </c>
      <c r="B63" s="453" t="s">
        <v>1028</v>
      </c>
      <c r="C63" s="453" t="s">
        <v>432</v>
      </c>
      <c r="D63" s="453" t="s">
        <v>1029</v>
      </c>
      <c r="E63" s="453" t="s">
        <v>1144</v>
      </c>
      <c r="F63" s="453"/>
      <c r="G63" s="456"/>
      <c r="H63" s="456"/>
      <c r="I63" s="453"/>
      <c r="J63" s="453"/>
      <c r="K63" s="456"/>
      <c r="L63" s="456"/>
      <c r="M63" s="453"/>
      <c r="N63" s="453"/>
      <c r="O63" s="456">
        <v>134</v>
      </c>
      <c r="P63" s="456">
        <v>200062</v>
      </c>
      <c r="Q63" s="478"/>
      <c r="R63" s="457">
        <v>1493</v>
      </c>
    </row>
    <row r="64" spans="1:18" ht="14.4" customHeight="1" x14ac:dyDescent="0.3">
      <c r="A64" s="452" t="s">
        <v>1027</v>
      </c>
      <c r="B64" s="453" t="s">
        <v>1028</v>
      </c>
      <c r="C64" s="453" t="s">
        <v>432</v>
      </c>
      <c r="D64" s="453" t="s">
        <v>1029</v>
      </c>
      <c r="E64" s="453" t="s">
        <v>1145</v>
      </c>
      <c r="F64" s="453"/>
      <c r="G64" s="456"/>
      <c r="H64" s="456"/>
      <c r="I64" s="453"/>
      <c r="J64" s="453"/>
      <c r="K64" s="456"/>
      <c r="L64" s="456"/>
      <c r="M64" s="453"/>
      <c r="N64" s="453"/>
      <c r="O64" s="456">
        <v>210</v>
      </c>
      <c r="P64" s="456">
        <v>68670</v>
      </c>
      <c r="Q64" s="478"/>
      <c r="R64" s="457">
        <v>327</v>
      </c>
    </row>
    <row r="65" spans="1:18" ht="14.4" customHeight="1" thickBot="1" x14ac:dyDescent="0.35">
      <c r="A65" s="458" t="s">
        <v>1027</v>
      </c>
      <c r="B65" s="459" t="s">
        <v>1028</v>
      </c>
      <c r="C65" s="459" t="s">
        <v>432</v>
      </c>
      <c r="D65" s="459" t="s">
        <v>1029</v>
      </c>
      <c r="E65" s="459" t="s">
        <v>1146</v>
      </c>
      <c r="F65" s="459"/>
      <c r="G65" s="462"/>
      <c r="H65" s="462"/>
      <c r="I65" s="459"/>
      <c r="J65" s="459"/>
      <c r="K65" s="462"/>
      <c r="L65" s="462"/>
      <c r="M65" s="459"/>
      <c r="N65" s="459"/>
      <c r="O65" s="462">
        <v>22</v>
      </c>
      <c r="P65" s="462">
        <v>19514</v>
      </c>
      <c r="Q65" s="470"/>
      <c r="R65" s="463">
        <v>887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65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7.77734375" style="115" customWidth="1"/>
    <col min="5" max="5" width="2.109375" style="115" bestFit="1" customWidth="1"/>
    <col min="6" max="6" width="8" style="115" customWidth="1"/>
    <col min="7" max="7" width="50.88671875" style="115" bestFit="1" customWidth="1" collapsed="1"/>
    <col min="8" max="9" width="11.109375" style="191" hidden="1" customWidth="1" outlineLevel="1"/>
    <col min="10" max="11" width="9.33203125" style="115" hidden="1" customWidth="1"/>
    <col min="12" max="13" width="11.109375" style="191" customWidth="1"/>
    <col min="14" max="15" width="9.33203125" style="115" hidden="1" customWidth="1"/>
    <col min="16" max="17" width="11.109375" style="191" customWidth="1"/>
    <col min="18" max="18" width="11.109375" style="194" customWidth="1"/>
    <col min="19" max="19" width="11.109375" style="191" customWidth="1"/>
    <col min="20" max="16384" width="8.88671875" style="115"/>
  </cols>
  <sheetData>
    <row r="1" spans="1:19" ht="18.600000000000001" customHeight="1" thickBot="1" x14ac:dyDescent="0.4">
      <c r="A1" s="326" t="s">
        <v>1148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</row>
    <row r="2" spans="1:19" ht="14.4" customHeight="1" thickBot="1" x14ac:dyDescent="0.35">
      <c r="A2" s="215" t="s">
        <v>273</v>
      </c>
      <c r="B2" s="181"/>
      <c r="C2" s="181"/>
      <c r="D2" s="181"/>
      <c r="E2" s="97"/>
      <c r="F2" s="97"/>
      <c r="G2" s="97"/>
      <c r="H2" s="210"/>
      <c r="I2" s="210"/>
      <c r="J2" s="97"/>
      <c r="K2" s="97"/>
      <c r="L2" s="210"/>
      <c r="M2" s="210"/>
      <c r="N2" s="97"/>
      <c r="O2" s="97"/>
      <c r="P2" s="210"/>
      <c r="Q2" s="210"/>
      <c r="R2" s="207"/>
      <c r="S2" s="210"/>
    </row>
    <row r="3" spans="1:19" ht="14.4" customHeight="1" thickBot="1" x14ac:dyDescent="0.35">
      <c r="G3" s="73" t="s">
        <v>113</v>
      </c>
      <c r="H3" s="88">
        <f t="shared" ref="H3:Q3" si="0">SUBTOTAL(9,H6:H1048576)</f>
        <v>24151</v>
      </c>
      <c r="I3" s="89">
        <f t="shared" si="0"/>
        <v>5262549</v>
      </c>
      <c r="J3" s="66"/>
      <c r="K3" s="66"/>
      <c r="L3" s="89">
        <f t="shared" si="0"/>
        <v>29261</v>
      </c>
      <c r="M3" s="89">
        <f t="shared" si="0"/>
        <v>6433032</v>
      </c>
      <c r="N3" s="66"/>
      <c r="O3" s="66"/>
      <c r="P3" s="89">
        <f t="shared" si="0"/>
        <v>28409</v>
      </c>
      <c r="Q3" s="89">
        <f t="shared" si="0"/>
        <v>6221560</v>
      </c>
      <c r="R3" s="67">
        <f>IF(M3=0,0,Q3/M3)</f>
        <v>0.96712716492005635</v>
      </c>
      <c r="S3" s="90">
        <f>IF(P3=0,0,Q3/P3)</f>
        <v>218.99961279876095</v>
      </c>
    </row>
    <row r="4" spans="1:19" ht="14.4" customHeight="1" x14ac:dyDescent="0.3">
      <c r="A4" s="392" t="s">
        <v>261</v>
      </c>
      <c r="B4" s="392" t="s">
        <v>82</v>
      </c>
      <c r="C4" s="400" t="s">
        <v>0</v>
      </c>
      <c r="D4" s="311" t="s">
        <v>121</v>
      </c>
      <c r="E4" s="394" t="s">
        <v>83</v>
      </c>
      <c r="F4" s="399" t="s">
        <v>58</v>
      </c>
      <c r="G4" s="395" t="s">
        <v>57</v>
      </c>
      <c r="H4" s="396">
        <v>2015</v>
      </c>
      <c r="I4" s="397"/>
      <c r="J4" s="87"/>
      <c r="K4" s="87"/>
      <c r="L4" s="396">
        <v>2016</v>
      </c>
      <c r="M4" s="397"/>
      <c r="N4" s="87"/>
      <c r="O4" s="87"/>
      <c r="P4" s="396">
        <v>2017</v>
      </c>
      <c r="Q4" s="397"/>
      <c r="R4" s="398" t="s">
        <v>2</v>
      </c>
      <c r="S4" s="393" t="s">
        <v>85</v>
      </c>
    </row>
    <row r="5" spans="1:19" ht="14.4" customHeight="1" thickBot="1" x14ac:dyDescent="0.35">
      <c r="A5" s="555"/>
      <c r="B5" s="555"/>
      <c r="C5" s="556"/>
      <c r="D5" s="565"/>
      <c r="E5" s="557"/>
      <c r="F5" s="558"/>
      <c r="G5" s="559"/>
      <c r="H5" s="560" t="s">
        <v>59</v>
      </c>
      <c r="I5" s="561" t="s">
        <v>14</v>
      </c>
      <c r="J5" s="562"/>
      <c r="K5" s="562"/>
      <c r="L5" s="560" t="s">
        <v>59</v>
      </c>
      <c r="M5" s="561" t="s">
        <v>14</v>
      </c>
      <c r="N5" s="562"/>
      <c r="O5" s="562"/>
      <c r="P5" s="560" t="s">
        <v>59</v>
      </c>
      <c r="Q5" s="561" t="s">
        <v>14</v>
      </c>
      <c r="R5" s="563"/>
      <c r="S5" s="564"/>
    </row>
    <row r="6" spans="1:19" ht="14.4" customHeight="1" x14ac:dyDescent="0.3">
      <c r="A6" s="446" t="s">
        <v>1027</v>
      </c>
      <c r="B6" s="447" t="s">
        <v>1028</v>
      </c>
      <c r="C6" s="447" t="s">
        <v>432</v>
      </c>
      <c r="D6" s="447" t="s">
        <v>1021</v>
      </c>
      <c r="E6" s="447" t="s">
        <v>1029</v>
      </c>
      <c r="F6" s="447" t="s">
        <v>1030</v>
      </c>
      <c r="G6" s="447" t="s">
        <v>1031</v>
      </c>
      <c r="H6" s="450">
        <v>105</v>
      </c>
      <c r="I6" s="450">
        <v>16905</v>
      </c>
      <c r="J6" s="447">
        <v>0.97716763005780349</v>
      </c>
      <c r="K6" s="447">
        <v>161</v>
      </c>
      <c r="L6" s="450">
        <v>100</v>
      </c>
      <c r="M6" s="450">
        <v>17300</v>
      </c>
      <c r="N6" s="447">
        <v>1</v>
      </c>
      <c r="O6" s="447">
        <v>173</v>
      </c>
      <c r="P6" s="450">
        <v>94</v>
      </c>
      <c r="Q6" s="450">
        <v>16262</v>
      </c>
      <c r="R6" s="469">
        <v>0.94</v>
      </c>
      <c r="S6" s="451">
        <v>173</v>
      </c>
    </row>
    <row r="7" spans="1:19" ht="14.4" customHeight="1" x14ac:dyDescent="0.3">
      <c r="A7" s="452" t="s">
        <v>1027</v>
      </c>
      <c r="B7" s="453" t="s">
        <v>1028</v>
      </c>
      <c r="C7" s="453" t="s">
        <v>432</v>
      </c>
      <c r="D7" s="453" t="s">
        <v>1021</v>
      </c>
      <c r="E7" s="453" t="s">
        <v>1029</v>
      </c>
      <c r="F7" s="453" t="s">
        <v>1032</v>
      </c>
      <c r="G7" s="453" t="s">
        <v>1033</v>
      </c>
      <c r="H7" s="456">
        <v>936</v>
      </c>
      <c r="I7" s="456">
        <v>117000</v>
      </c>
      <c r="J7" s="453">
        <v>0.84492395684388411</v>
      </c>
      <c r="K7" s="453">
        <v>125</v>
      </c>
      <c r="L7" s="456">
        <v>1099</v>
      </c>
      <c r="M7" s="456">
        <v>138474</v>
      </c>
      <c r="N7" s="453">
        <v>1</v>
      </c>
      <c r="O7" s="453">
        <v>126</v>
      </c>
      <c r="P7" s="456">
        <v>1065</v>
      </c>
      <c r="Q7" s="456">
        <v>204480</v>
      </c>
      <c r="R7" s="478">
        <v>1.4766670999610034</v>
      </c>
      <c r="S7" s="457">
        <v>192</v>
      </c>
    </row>
    <row r="8" spans="1:19" ht="14.4" customHeight="1" x14ac:dyDescent="0.3">
      <c r="A8" s="452" t="s">
        <v>1027</v>
      </c>
      <c r="B8" s="453" t="s">
        <v>1028</v>
      </c>
      <c r="C8" s="453" t="s">
        <v>432</v>
      </c>
      <c r="D8" s="453" t="s">
        <v>1021</v>
      </c>
      <c r="E8" s="453" t="s">
        <v>1029</v>
      </c>
      <c r="F8" s="453" t="s">
        <v>1034</v>
      </c>
      <c r="G8" s="453" t="s">
        <v>1035</v>
      </c>
      <c r="H8" s="456">
        <v>975</v>
      </c>
      <c r="I8" s="456">
        <v>63375</v>
      </c>
      <c r="J8" s="453">
        <v>0.83064642969487257</v>
      </c>
      <c r="K8" s="453">
        <v>65</v>
      </c>
      <c r="L8" s="456">
        <v>1156</v>
      </c>
      <c r="M8" s="456">
        <v>76296</v>
      </c>
      <c r="N8" s="453">
        <v>1</v>
      </c>
      <c r="O8" s="453">
        <v>66</v>
      </c>
      <c r="P8" s="456">
        <v>1094</v>
      </c>
      <c r="Q8" s="456">
        <v>83144</v>
      </c>
      <c r="R8" s="478">
        <v>1.0897556883716053</v>
      </c>
      <c r="S8" s="457">
        <v>76</v>
      </c>
    </row>
    <row r="9" spans="1:19" ht="14.4" customHeight="1" x14ac:dyDescent="0.3">
      <c r="A9" s="452" t="s">
        <v>1027</v>
      </c>
      <c r="B9" s="453" t="s">
        <v>1028</v>
      </c>
      <c r="C9" s="453" t="s">
        <v>432</v>
      </c>
      <c r="D9" s="453" t="s">
        <v>1021</v>
      </c>
      <c r="E9" s="453" t="s">
        <v>1029</v>
      </c>
      <c r="F9" s="453" t="s">
        <v>1036</v>
      </c>
      <c r="G9" s="453" t="s">
        <v>1037</v>
      </c>
      <c r="H9" s="456">
        <v>9</v>
      </c>
      <c r="I9" s="456">
        <v>1656</v>
      </c>
      <c r="J9" s="453">
        <v>1.4838709677419355</v>
      </c>
      <c r="K9" s="453">
        <v>184</v>
      </c>
      <c r="L9" s="456">
        <v>6</v>
      </c>
      <c r="M9" s="456">
        <v>1116</v>
      </c>
      <c r="N9" s="453">
        <v>1</v>
      </c>
      <c r="O9" s="453">
        <v>186</v>
      </c>
      <c r="P9" s="456">
        <v>7</v>
      </c>
      <c r="Q9" s="456">
        <v>2079</v>
      </c>
      <c r="R9" s="478">
        <v>1.8629032258064515</v>
      </c>
      <c r="S9" s="457">
        <v>297</v>
      </c>
    </row>
    <row r="10" spans="1:19" ht="14.4" customHeight="1" x14ac:dyDescent="0.3">
      <c r="A10" s="452" t="s">
        <v>1027</v>
      </c>
      <c r="B10" s="453" t="s">
        <v>1028</v>
      </c>
      <c r="C10" s="453" t="s">
        <v>432</v>
      </c>
      <c r="D10" s="453" t="s">
        <v>1021</v>
      </c>
      <c r="E10" s="453" t="s">
        <v>1029</v>
      </c>
      <c r="F10" s="453" t="s">
        <v>1038</v>
      </c>
      <c r="G10" s="453" t="s">
        <v>1039</v>
      </c>
      <c r="H10" s="456">
        <v>335</v>
      </c>
      <c r="I10" s="456">
        <v>74705</v>
      </c>
      <c r="J10" s="453">
        <v>0.73459133102580243</v>
      </c>
      <c r="K10" s="453">
        <v>223</v>
      </c>
      <c r="L10" s="456">
        <v>448</v>
      </c>
      <c r="M10" s="456">
        <v>101696</v>
      </c>
      <c r="N10" s="453">
        <v>1</v>
      </c>
      <c r="O10" s="453">
        <v>227</v>
      </c>
      <c r="P10" s="456">
        <v>451</v>
      </c>
      <c r="Q10" s="456">
        <v>115456</v>
      </c>
      <c r="R10" s="478">
        <v>1.1353052234109502</v>
      </c>
      <c r="S10" s="457">
        <v>256</v>
      </c>
    </row>
    <row r="11" spans="1:19" ht="14.4" customHeight="1" x14ac:dyDescent="0.3">
      <c r="A11" s="452" t="s">
        <v>1027</v>
      </c>
      <c r="B11" s="453" t="s">
        <v>1028</v>
      </c>
      <c r="C11" s="453" t="s">
        <v>432</v>
      </c>
      <c r="D11" s="453" t="s">
        <v>1021</v>
      </c>
      <c r="E11" s="453" t="s">
        <v>1029</v>
      </c>
      <c r="F11" s="453" t="s">
        <v>1040</v>
      </c>
      <c r="G11" s="453" t="s">
        <v>1041</v>
      </c>
      <c r="H11" s="456">
        <v>92</v>
      </c>
      <c r="I11" s="456">
        <v>7912</v>
      </c>
      <c r="J11" s="453">
        <v>1.2602739726027397</v>
      </c>
      <c r="K11" s="453">
        <v>86</v>
      </c>
      <c r="L11" s="456">
        <v>73</v>
      </c>
      <c r="M11" s="456">
        <v>6278</v>
      </c>
      <c r="N11" s="453">
        <v>1</v>
      </c>
      <c r="O11" s="453">
        <v>86</v>
      </c>
      <c r="P11" s="456">
        <v>13</v>
      </c>
      <c r="Q11" s="456">
        <v>1287</v>
      </c>
      <c r="R11" s="478">
        <v>0.20500159286396941</v>
      </c>
      <c r="S11" s="457">
        <v>99</v>
      </c>
    </row>
    <row r="12" spans="1:19" ht="14.4" customHeight="1" x14ac:dyDescent="0.3">
      <c r="A12" s="452" t="s">
        <v>1027</v>
      </c>
      <c r="B12" s="453" t="s">
        <v>1028</v>
      </c>
      <c r="C12" s="453" t="s">
        <v>432</v>
      </c>
      <c r="D12" s="453" t="s">
        <v>1021</v>
      </c>
      <c r="E12" s="453" t="s">
        <v>1029</v>
      </c>
      <c r="F12" s="453" t="s">
        <v>1042</v>
      </c>
      <c r="G12" s="453" t="s">
        <v>1043</v>
      </c>
      <c r="H12" s="456">
        <v>6</v>
      </c>
      <c r="I12" s="456">
        <v>1752</v>
      </c>
      <c r="J12" s="453">
        <v>0.33106575963718821</v>
      </c>
      <c r="K12" s="453">
        <v>292</v>
      </c>
      <c r="L12" s="456">
        <v>18</v>
      </c>
      <c r="M12" s="456">
        <v>5292</v>
      </c>
      <c r="N12" s="453">
        <v>1</v>
      </c>
      <c r="O12" s="453">
        <v>294</v>
      </c>
      <c r="P12" s="456">
        <v>15</v>
      </c>
      <c r="Q12" s="456">
        <v>5250</v>
      </c>
      <c r="R12" s="478">
        <v>0.99206349206349209</v>
      </c>
      <c r="S12" s="457">
        <v>350</v>
      </c>
    </row>
    <row r="13" spans="1:19" ht="14.4" customHeight="1" x14ac:dyDescent="0.3">
      <c r="A13" s="452" t="s">
        <v>1027</v>
      </c>
      <c r="B13" s="453" t="s">
        <v>1028</v>
      </c>
      <c r="C13" s="453" t="s">
        <v>432</v>
      </c>
      <c r="D13" s="453" t="s">
        <v>1021</v>
      </c>
      <c r="E13" s="453" t="s">
        <v>1029</v>
      </c>
      <c r="F13" s="453" t="s">
        <v>1044</v>
      </c>
      <c r="G13" s="453" t="s">
        <v>1045</v>
      </c>
      <c r="H13" s="456">
        <v>339</v>
      </c>
      <c r="I13" s="456">
        <v>396291</v>
      </c>
      <c r="J13" s="453">
        <v>1.0427283634871019</v>
      </c>
      <c r="K13" s="453">
        <v>1169</v>
      </c>
      <c r="L13" s="456">
        <v>324</v>
      </c>
      <c r="M13" s="456">
        <v>380052</v>
      </c>
      <c r="N13" s="453">
        <v>1</v>
      </c>
      <c r="O13" s="453">
        <v>1173</v>
      </c>
      <c r="P13" s="456">
        <v>592</v>
      </c>
      <c r="Q13" s="456">
        <v>633440</v>
      </c>
      <c r="R13" s="478">
        <v>1.6667192910443833</v>
      </c>
      <c r="S13" s="457">
        <v>1070</v>
      </c>
    </row>
    <row r="14" spans="1:19" ht="14.4" customHeight="1" x14ac:dyDescent="0.3">
      <c r="A14" s="452" t="s">
        <v>1027</v>
      </c>
      <c r="B14" s="453" t="s">
        <v>1028</v>
      </c>
      <c r="C14" s="453" t="s">
        <v>432</v>
      </c>
      <c r="D14" s="453" t="s">
        <v>1021</v>
      </c>
      <c r="E14" s="453" t="s">
        <v>1029</v>
      </c>
      <c r="F14" s="453" t="s">
        <v>1046</v>
      </c>
      <c r="G14" s="453" t="s">
        <v>1047</v>
      </c>
      <c r="H14" s="456">
        <v>3289</v>
      </c>
      <c r="I14" s="456">
        <v>131560</v>
      </c>
      <c r="J14" s="453">
        <v>0.9357773367759924</v>
      </c>
      <c r="K14" s="453">
        <v>40</v>
      </c>
      <c r="L14" s="456">
        <v>3429</v>
      </c>
      <c r="M14" s="456">
        <v>140589</v>
      </c>
      <c r="N14" s="453">
        <v>1</v>
      </c>
      <c r="O14" s="453">
        <v>41</v>
      </c>
      <c r="P14" s="456">
        <v>3003</v>
      </c>
      <c r="Q14" s="456">
        <v>138138</v>
      </c>
      <c r="R14" s="478">
        <v>0.98256620361479208</v>
      </c>
      <c r="S14" s="457">
        <v>46</v>
      </c>
    </row>
    <row r="15" spans="1:19" ht="14.4" customHeight="1" x14ac:dyDescent="0.3">
      <c r="A15" s="452" t="s">
        <v>1027</v>
      </c>
      <c r="B15" s="453" t="s">
        <v>1028</v>
      </c>
      <c r="C15" s="453" t="s">
        <v>432</v>
      </c>
      <c r="D15" s="453" t="s">
        <v>1021</v>
      </c>
      <c r="E15" s="453" t="s">
        <v>1029</v>
      </c>
      <c r="F15" s="453" t="s">
        <v>1048</v>
      </c>
      <c r="G15" s="453" t="s">
        <v>1049</v>
      </c>
      <c r="H15" s="456">
        <v>297</v>
      </c>
      <c r="I15" s="456">
        <v>113751</v>
      </c>
      <c r="J15" s="453">
        <v>0.75761269181585678</v>
      </c>
      <c r="K15" s="453">
        <v>383</v>
      </c>
      <c r="L15" s="456">
        <v>391</v>
      </c>
      <c r="M15" s="456">
        <v>150144</v>
      </c>
      <c r="N15" s="453">
        <v>1</v>
      </c>
      <c r="O15" s="453">
        <v>384</v>
      </c>
      <c r="P15" s="456">
        <v>579</v>
      </c>
      <c r="Q15" s="456">
        <v>200913</v>
      </c>
      <c r="R15" s="478">
        <v>1.3381353900255755</v>
      </c>
      <c r="S15" s="457">
        <v>347</v>
      </c>
    </row>
    <row r="16" spans="1:19" ht="14.4" customHeight="1" x14ac:dyDescent="0.3">
      <c r="A16" s="452" t="s">
        <v>1027</v>
      </c>
      <c r="B16" s="453" t="s">
        <v>1028</v>
      </c>
      <c r="C16" s="453" t="s">
        <v>432</v>
      </c>
      <c r="D16" s="453" t="s">
        <v>1021</v>
      </c>
      <c r="E16" s="453" t="s">
        <v>1029</v>
      </c>
      <c r="F16" s="453" t="s">
        <v>1050</v>
      </c>
      <c r="G16" s="453" t="s">
        <v>1051</v>
      </c>
      <c r="H16" s="456">
        <v>422</v>
      </c>
      <c r="I16" s="456">
        <v>15614</v>
      </c>
      <c r="J16" s="453">
        <v>0.58856345885634587</v>
      </c>
      <c r="K16" s="453">
        <v>37</v>
      </c>
      <c r="L16" s="456">
        <v>717</v>
      </c>
      <c r="M16" s="456">
        <v>26529</v>
      </c>
      <c r="N16" s="453">
        <v>1</v>
      </c>
      <c r="O16" s="453">
        <v>37</v>
      </c>
      <c r="P16" s="456">
        <v>292</v>
      </c>
      <c r="Q16" s="456">
        <v>14892</v>
      </c>
      <c r="R16" s="478">
        <v>0.56134795883749855</v>
      </c>
      <c r="S16" s="457">
        <v>51</v>
      </c>
    </row>
    <row r="17" spans="1:19" ht="14.4" customHeight="1" x14ac:dyDescent="0.3">
      <c r="A17" s="452" t="s">
        <v>1027</v>
      </c>
      <c r="B17" s="453" t="s">
        <v>1028</v>
      </c>
      <c r="C17" s="453" t="s">
        <v>432</v>
      </c>
      <c r="D17" s="453" t="s">
        <v>1021</v>
      </c>
      <c r="E17" s="453" t="s">
        <v>1029</v>
      </c>
      <c r="F17" s="453" t="s">
        <v>1052</v>
      </c>
      <c r="G17" s="453" t="s">
        <v>1053</v>
      </c>
      <c r="H17" s="456">
        <v>127</v>
      </c>
      <c r="I17" s="456">
        <v>11176</v>
      </c>
      <c r="J17" s="453">
        <v>0.86602092212320803</v>
      </c>
      <c r="K17" s="453">
        <v>88</v>
      </c>
      <c r="L17" s="456">
        <v>145</v>
      </c>
      <c r="M17" s="456">
        <v>12905</v>
      </c>
      <c r="N17" s="453">
        <v>1</v>
      </c>
      <c r="O17" s="453">
        <v>89</v>
      </c>
      <c r="P17" s="456">
        <v>163</v>
      </c>
      <c r="Q17" s="456">
        <v>14344</v>
      </c>
      <c r="R17" s="478">
        <v>1.1115071677644324</v>
      </c>
      <c r="S17" s="457">
        <v>88</v>
      </c>
    </row>
    <row r="18" spans="1:19" ht="14.4" customHeight="1" x14ac:dyDescent="0.3">
      <c r="A18" s="452" t="s">
        <v>1027</v>
      </c>
      <c r="B18" s="453" t="s">
        <v>1028</v>
      </c>
      <c r="C18" s="453" t="s">
        <v>432</v>
      </c>
      <c r="D18" s="453" t="s">
        <v>1021</v>
      </c>
      <c r="E18" s="453" t="s">
        <v>1029</v>
      </c>
      <c r="F18" s="453" t="s">
        <v>1054</v>
      </c>
      <c r="G18" s="453" t="s">
        <v>1055</v>
      </c>
      <c r="H18" s="456">
        <v>873</v>
      </c>
      <c r="I18" s="456">
        <v>388485</v>
      </c>
      <c r="J18" s="453">
        <v>0.69627705907023263</v>
      </c>
      <c r="K18" s="453">
        <v>445</v>
      </c>
      <c r="L18" s="456">
        <v>1251</v>
      </c>
      <c r="M18" s="456">
        <v>557946</v>
      </c>
      <c r="N18" s="453">
        <v>1</v>
      </c>
      <c r="O18" s="453">
        <v>446</v>
      </c>
      <c r="P18" s="456">
        <v>2450</v>
      </c>
      <c r="Q18" s="456">
        <v>923650</v>
      </c>
      <c r="R18" s="478">
        <v>1.6554469428941152</v>
      </c>
      <c r="S18" s="457">
        <v>377</v>
      </c>
    </row>
    <row r="19" spans="1:19" ht="14.4" customHeight="1" x14ac:dyDescent="0.3">
      <c r="A19" s="452" t="s">
        <v>1027</v>
      </c>
      <c r="B19" s="453" t="s">
        <v>1028</v>
      </c>
      <c r="C19" s="453" t="s">
        <v>432</v>
      </c>
      <c r="D19" s="453" t="s">
        <v>1021</v>
      </c>
      <c r="E19" s="453" t="s">
        <v>1029</v>
      </c>
      <c r="F19" s="453" t="s">
        <v>1056</v>
      </c>
      <c r="G19" s="453" t="s">
        <v>1057</v>
      </c>
      <c r="H19" s="456">
        <v>95</v>
      </c>
      <c r="I19" s="456">
        <v>3895</v>
      </c>
      <c r="J19" s="453">
        <v>0.65308517773306507</v>
      </c>
      <c r="K19" s="453">
        <v>41</v>
      </c>
      <c r="L19" s="456">
        <v>142</v>
      </c>
      <c r="M19" s="456">
        <v>5964</v>
      </c>
      <c r="N19" s="453">
        <v>1</v>
      </c>
      <c r="O19" s="453">
        <v>42</v>
      </c>
      <c r="P19" s="456">
        <v>120</v>
      </c>
      <c r="Q19" s="456">
        <v>4080</v>
      </c>
      <c r="R19" s="478">
        <v>0.68410462776659964</v>
      </c>
      <c r="S19" s="457">
        <v>34</v>
      </c>
    </row>
    <row r="20" spans="1:19" ht="14.4" customHeight="1" x14ac:dyDescent="0.3">
      <c r="A20" s="452" t="s">
        <v>1027</v>
      </c>
      <c r="B20" s="453" t="s">
        <v>1028</v>
      </c>
      <c r="C20" s="453" t="s">
        <v>432</v>
      </c>
      <c r="D20" s="453" t="s">
        <v>1021</v>
      </c>
      <c r="E20" s="453" t="s">
        <v>1029</v>
      </c>
      <c r="F20" s="453" t="s">
        <v>1058</v>
      </c>
      <c r="G20" s="453" t="s">
        <v>1059</v>
      </c>
      <c r="H20" s="456">
        <v>396</v>
      </c>
      <c r="I20" s="456">
        <v>194436</v>
      </c>
      <c r="J20" s="453">
        <v>0.77947755808919039</v>
      </c>
      <c r="K20" s="453">
        <v>491</v>
      </c>
      <c r="L20" s="456">
        <v>507</v>
      </c>
      <c r="M20" s="456">
        <v>249444</v>
      </c>
      <c r="N20" s="453">
        <v>1</v>
      </c>
      <c r="O20" s="453">
        <v>492</v>
      </c>
      <c r="P20" s="456">
        <v>185</v>
      </c>
      <c r="Q20" s="456">
        <v>96940</v>
      </c>
      <c r="R20" s="478">
        <v>0.38862430044418789</v>
      </c>
      <c r="S20" s="457">
        <v>524</v>
      </c>
    </row>
    <row r="21" spans="1:19" ht="14.4" customHeight="1" x14ac:dyDescent="0.3">
      <c r="A21" s="452" t="s">
        <v>1027</v>
      </c>
      <c r="B21" s="453" t="s">
        <v>1028</v>
      </c>
      <c r="C21" s="453" t="s">
        <v>432</v>
      </c>
      <c r="D21" s="453" t="s">
        <v>1021</v>
      </c>
      <c r="E21" s="453" t="s">
        <v>1029</v>
      </c>
      <c r="F21" s="453" t="s">
        <v>1060</v>
      </c>
      <c r="G21" s="453" t="s">
        <v>1061</v>
      </c>
      <c r="H21" s="456">
        <v>125</v>
      </c>
      <c r="I21" s="456">
        <v>3875</v>
      </c>
      <c r="J21" s="453">
        <v>0.61274509803921573</v>
      </c>
      <c r="K21" s="453">
        <v>31</v>
      </c>
      <c r="L21" s="456">
        <v>204</v>
      </c>
      <c r="M21" s="456">
        <v>6324</v>
      </c>
      <c r="N21" s="453">
        <v>1</v>
      </c>
      <c r="O21" s="453">
        <v>31</v>
      </c>
      <c r="P21" s="456">
        <v>112</v>
      </c>
      <c r="Q21" s="456">
        <v>6384</v>
      </c>
      <c r="R21" s="478">
        <v>1.0094876660341556</v>
      </c>
      <c r="S21" s="457">
        <v>57</v>
      </c>
    </row>
    <row r="22" spans="1:19" ht="14.4" customHeight="1" x14ac:dyDescent="0.3">
      <c r="A22" s="452" t="s">
        <v>1027</v>
      </c>
      <c r="B22" s="453" t="s">
        <v>1028</v>
      </c>
      <c r="C22" s="453" t="s">
        <v>432</v>
      </c>
      <c r="D22" s="453" t="s">
        <v>1021</v>
      </c>
      <c r="E22" s="453" t="s">
        <v>1029</v>
      </c>
      <c r="F22" s="453" t="s">
        <v>1062</v>
      </c>
      <c r="G22" s="453" t="s">
        <v>1063</v>
      </c>
      <c r="H22" s="456">
        <v>89</v>
      </c>
      <c r="I22" s="456">
        <v>18423</v>
      </c>
      <c r="J22" s="453">
        <v>0.65126555429864252</v>
      </c>
      <c r="K22" s="453">
        <v>207</v>
      </c>
      <c r="L22" s="456">
        <v>136</v>
      </c>
      <c r="M22" s="456">
        <v>28288</v>
      </c>
      <c r="N22" s="453">
        <v>1</v>
      </c>
      <c r="O22" s="453">
        <v>208</v>
      </c>
      <c r="P22" s="456">
        <v>214</v>
      </c>
      <c r="Q22" s="456">
        <v>47936</v>
      </c>
      <c r="R22" s="478">
        <v>1.6945701357466063</v>
      </c>
      <c r="S22" s="457">
        <v>224</v>
      </c>
    </row>
    <row r="23" spans="1:19" ht="14.4" customHeight="1" x14ac:dyDescent="0.3">
      <c r="A23" s="452" t="s">
        <v>1027</v>
      </c>
      <c r="B23" s="453" t="s">
        <v>1028</v>
      </c>
      <c r="C23" s="453" t="s">
        <v>432</v>
      </c>
      <c r="D23" s="453" t="s">
        <v>1021</v>
      </c>
      <c r="E23" s="453" t="s">
        <v>1029</v>
      </c>
      <c r="F23" s="453" t="s">
        <v>1064</v>
      </c>
      <c r="G23" s="453" t="s">
        <v>1065</v>
      </c>
      <c r="H23" s="456">
        <v>88</v>
      </c>
      <c r="I23" s="456">
        <v>33440</v>
      </c>
      <c r="J23" s="453">
        <v>0.68569553805774275</v>
      </c>
      <c r="K23" s="453">
        <v>380</v>
      </c>
      <c r="L23" s="456">
        <v>127</v>
      </c>
      <c r="M23" s="456">
        <v>48768</v>
      </c>
      <c r="N23" s="453">
        <v>1</v>
      </c>
      <c r="O23" s="453">
        <v>384</v>
      </c>
      <c r="P23" s="456">
        <v>210</v>
      </c>
      <c r="Q23" s="456">
        <v>116130</v>
      </c>
      <c r="R23" s="478">
        <v>2.3812746062992125</v>
      </c>
      <c r="S23" s="457">
        <v>553</v>
      </c>
    </row>
    <row r="24" spans="1:19" ht="14.4" customHeight="1" x14ac:dyDescent="0.3">
      <c r="A24" s="452" t="s">
        <v>1027</v>
      </c>
      <c r="B24" s="453" t="s">
        <v>1028</v>
      </c>
      <c r="C24" s="453" t="s">
        <v>432</v>
      </c>
      <c r="D24" s="453" t="s">
        <v>1021</v>
      </c>
      <c r="E24" s="453" t="s">
        <v>1029</v>
      </c>
      <c r="F24" s="453" t="s">
        <v>1066</v>
      </c>
      <c r="G24" s="453" t="s">
        <v>1067</v>
      </c>
      <c r="H24" s="456">
        <v>97</v>
      </c>
      <c r="I24" s="456">
        <v>22698</v>
      </c>
      <c r="J24" s="453">
        <v>0.33279573045569177</v>
      </c>
      <c r="K24" s="453">
        <v>234</v>
      </c>
      <c r="L24" s="456">
        <v>289</v>
      </c>
      <c r="M24" s="456">
        <v>68204</v>
      </c>
      <c r="N24" s="453">
        <v>1</v>
      </c>
      <c r="O24" s="453">
        <v>236</v>
      </c>
      <c r="P24" s="456">
        <v>279</v>
      </c>
      <c r="Q24" s="456">
        <v>59427</v>
      </c>
      <c r="R24" s="478">
        <v>0.87131253298926747</v>
      </c>
      <c r="S24" s="457">
        <v>213</v>
      </c>
    </row>
    <row r="25" spans="1:19" ht="14.4" customHeight="1" x14ac:dyDescent="0.3">
      <c r="A25" s="452" t="s">
        <v>1027</v>
      </c>
      <c r="B25" s="453" t="s">
        <v>1028</v>
      </c>
      <c r="C25" s="453" t="s">
        <v>432</v>
      </c>
      <c r="D25" s="453" t="s">
        <v>1021</v>
      </c>
      <c r="E25" s="453" t="s">
        <v>1029</v>
      </c>
      <c r="F25" s="453" t="s">
        <v>1068</v>
      </c>
      <c r="G25" s="453" t="s">
        <v>1069</v>
      </c>
      <c r="H25" s="456">
        <v>93</v>
      </c>
      <c r="I25" s="456">
        <v>12183</v>
      </c>
      <c r="J25" s="453">
        <v>0.69474224452554745</v>
      </c>
      <c r="K25" s="453">
        <v>131</v>
      </c>
      <c r="L25" s="456">
        <v>128</v>
      </c>
      <c r="M25" s="456">
        <v>17536</v>
      </c>
      <c r="N25" s="453">
        <v>1</v>
      </c>
      <c r="O25" s="453">
        <v>137</v>
      </c>
      <c r="P25" s="456">
        <v>138</v>
      </c>
      <c r="Q25" s="456">
        <v>19458</v>
      </c>
      <c r="R25" s="478">
        <v>1.109603102189781</v>
      </c>
      <c r="S25" s="457">
        <v>141</v>
      </c>
    </row>
    <row r="26" spans="1:19" ht="14.4" customHeight="1" x14ac:dyDescent="0.3">
      <c r="A26" s="452" t="s">
        <v>1027</v>
      </c>
      <c r="B26" s="453" t="s">
        <v>1028</v>
      </c>
      <c r="C26" s="453" t="s">
        <v>432</v>
      </c>
      <c r="D26" s="453" t="s">
        <v>1021</v>
      </c>
      <c r="E26" s="453" t="s">
        <v>1029</v>
      </c>
      <c r="F26" s="453" t="s">
        <v>1070</v>
      </c>
      <c r="G26" s="453" t="s">
        <v>1071</v>
      </c>
      <c r="H26" s="456">
        <v>4</v>
      </c>
      <c r="I26" s="456">
        <v>796</v>
      </c>
      <c r="J26" s="453">
        <v>0.24268292682926829</v>
      </c>
      <c r="K26" s="453">
        <v>199</v>
      </c>
      <c r="L26" s="456">
        <v>16</v>
      </c>
      <c r="M26" s="456">
        <v>3280</v>
      </c>
      <c r="N26" s="453">
        <v>1</v>
      </c>
      <c r="O26" s="453">
        <v>205</v>
      </c>
      <c r="P26" s="456"/>
      <c r="Q26" s="456"/>
      <c r="R26" s="478"/>
      <c r="S26" s="457"/>
    </row>
    <row r="27" spans="1:19" ht="14.4" customHeight="1" x14ac:dyDescent="0.3">
      <c r="A27" s="452" t="s">
        <v>1027</v>
      </c>
      <c r="B27" s="453" t="s">
        <v>1028</v>
      </c>
      <c r="C27" s="453" t="s">
        <v>432</v>
      </c>
      <c r="D27" s="453" t="s">
        <v>1021</v>
      </c>
      <c r="E27" s="453" t="s">
        <v>1029</v>
      </c>
      <c r="F27" s="453" t="s">
        <v>1072</v>
      </c>
      <c r="G27" s="453" t="s">
        <v>1073</v>
      </c>
      <c r="H27" s="456">
        <v>24</v>
      </c>
      <c r="I27" s="456">
        <v>29904</v>
      </c>
      <c r="J27" s="453">
        <v>23.808917197452228</v>
      </c>
      <c r="K27" s="453">
        <v>1246</v>
      </c>
      <c r="L27" s="456">
        <v>1</v>
      </c>
      <c r="M27" s="456">
        <v>1256</v>
      </c>
      <c r="N27" s="453">
        <v>1</v>
      </c>
      <c r="O27" s="453">
        <v>1256</v>
      </c>
      <c r="P27" s="456">
        <v>8</v>
      </c>
      <c r="Q27" s="456">
        <v>10064</v>
      </c>
      <c r="R27" s="478">
        <v>8.0127388535031852</v>
      </c>
      <c r="S27" s="457">
        <v>1258</v>
      </c>
    </row>
    <row r="28" spans="1:19" ht="14.4" customHeight="1" x14ac:dyDescent="0.3">
      <c r="A28" s="452" t="s">
        <v>1027</v>
      </c>
      <c r="B28" s="453" t="s">
        <v>1028</v>
      </c>
      <c r="C28" s="453" t="s">
        <v>432</v>
      </c>
      <c r="D28" s="453" t="s">
        <v>1021</v>
      </c>
      <c r="E28" s="453" t="s">
        <v>1029</v>
      </c>
      <c r="F28" s="453" t="s">
        <v>1074</v>
      </c>
      <c r="G28" s="453" t="s">
        <v>1075</v>
      </c>
      <c r="H28" s="456">
        <v>3130</v>
      </c>
      <c r="I28" s="456">
        <v>50080</v>
      </c>
      <c r="J28" s="453">
        <v>0.72809746736064673</v>
      </c>
      <c r="K28" s="453">
        <v>16</v>
      </c>
      <c r="L28" s="456">
        <v>4046</v>
      </c>
      <c r="M28" s="456">
        <v>68782</v>
      </c>
      <c r="N28" s="453">
        <v>1</v>
      </c>
      <c r="O28" s="453">
        <v>17</v>
      </c>
      <c r="P28" s="456">
        <v>4056</v>
      </c>
      <c r="Q28" s="456">
        <v>68952</v>
      </c>
      <c r="R28" s="478">
        <v>1.0024715768660406</v>
      </c>
      <c r="S28" s="457">
        <v>17</v>
      </c>
    </row>
    <row r="29" spans="1:19" ht="14.4" customHeight="1" x14ac:dyDescent="0.3">
      <c r="A29" s="452" t="s">
        <v>1027</v>
      </c>
      <c r="B29" s="453" t="s">
        <v>1028</v>
      </c>
      <c r="C29" s="453" t="s">
        <v>432</v>
      </c>
      <c r="D29" s="453" t="s">
        <v>1021</v>
      </c>
      <c r="E29" s="453" t="s">
        <v>1029</v>
      </c>
      <c r="F29" s="453" t="s">
        <v>1076</v>
      </c>
      <c r="G29" s="453" t="s">
        <v>1077</v>
      </c>
      <c r="H29" s="456">
        <v>75</v>
      </c>
      <c r="I29" s="456">
        <v>10200</v>
      </c>
      <c r="J29" s="453">
        <v>0.47650191535083619</v>
      </c>
      <c r="K29" s="453">
        <v>136</v>
      </c>
      <c r="L29" s="456">
        <v>154</v>
      </c>
      <c r="M29" s="456">
        <v>21406</v>
      </c>
      <c r="N29" s="453">
        <v>1</v>
      </c>
      <c r="O29" s="453">
        <v>139</v>
      </c>
      <c r="P29" s="456">
        <v>119</v>
      </c>
      <c r="Q29" s="456">
        <v>17017</v>
      </c>
      <c r="R29" s="478">
        <v>0.79496402877697847</v>
      </c>
      <c r="S29" s="457">
        <v>143</v>
      </c>
    </row>
    <row r="30" spans="1:19" ht="14.4" customHeight="1" x14ac:dyDescent="0.3">
      <c r="A30" s="452" t="s">
        <v>1027</v>
      </c>
      <c r="B30" s="453" t="s">
        <v>1028</v>
      </c>
      <c r="C30" s="453" t="s">
        <v>432</v>
      </c>
      <c r="D30" s="453" t="s">
        <v>1021</v>
      </c>
      <c r="E30" s="453" t="s">
        <v>1029</v>
      </c>
      <c r="F30" s="453" t="s">
        <v>1078</v>
      </c>
      <c r="G30" s="453" t="s">
        <v>1079</v>
      </c>
      <c r="H30" s="456">
        <v>52</v>
      </c>
      <c r="I30" s="456">
        <v>5356</v>
      </c>
      <c r="J30" s="453">
        <v>0.55913978494623651</v>
      </c>
      <c r="K30" s="453">
        <v>103</v>
      </c>
      <c r="L30" s="456">
        <v>93</v>
      </c>
      <c r="M30" s="456">
        <v>9579</v>
      </c>
      <c r="N30" s="453">
        <v>1</v>
      </c>
      <c r="O30" s="453">
        <v>103</v>
      </c>
      <c r="P30" s="456">
        <v>70</v>
      </c>
      <c r="Q30" s="456">
        <v>4550</v>
      </c>
      <c r="R30" s="478">
        <v>0.47499739012423009</v>
      </c>
      <c r="S30" s="457">
        <v>65</v>
      </c>
    </row>
    <row r="31" spans="1:19" ht="14.4" customHeight="1" x14ac:dyDescent="0.3">
      <c r="A31" s="452" t="s">
        <v>1027</v>
      </c>
      <c r="B31" s="453" t="s">
        <v>1028</v>
      </c>
      <c r="C31" s="453" t="s">
        <v>432</v>
      </c>
      <c r="D31" s="453" t="s">
        <v>1021</v>
      </c>
      <c r="E31" s="453" t="s">
        <v>1029</v>
      </c>
      <c r="F31" s="453" t="s">
        <v>1080</v>
      </c>
      <c r="G31" s="453" t="s">
        <v>1081</v>
      </c>
      <c r="H31" s="456">
        <v>673</v>
      </c>
      <c r="I31" s="456">
        <v>26920</v>
      </c>
      <c r="J31" s="453">
        <v>0.96556671449067433</v>
      </c>
      <c r="K31" s="453">
        <v>40</v>
      </c>
      <c r="L31" s="456">
        <v>697</v>
      </c>
      <c r="M31" s="456">
        <v>27880</v>
      </c>
      <c r="N31" s="453">
        <v>1</v>
      </c>
      <c r="O31" s="453">
        <v>40</v>
      </c>
      <c r="P31" s="456">
        <v>705</v>
      </c>
      <c r="Q31" s="456">
        <v>30315</v>
      </c>
      <c r="R31" s="478">
        <v>1.0873385939741751</v>
      </c>
      <c r="S31" s="457">
        <v>43</v>
      </c>
    </row>
    <row r="32" spans="1:19" ht="14.4" customHeight="1" x14ac:dyDescent="0.3">
      <c r="A32" s="452" t="s">
        <v>1027</v>
      </c>
      <c r="B32" s="453" t="s">
        <v>1028</v>
      </c>
      <c r="C32" s="453" t="s">
        <v>432</v>
      </c>
      <c r="D32" s="453" t="s">
        <v>1021</v>
      </c>
      <c r="E32" s="453" t="s">
        <v>1029</v>
      </c>
      <c r="F32" s="453" t="s">
        <v>1082</v>
      </c>
      <c r="G32" s="453" t="s">
        <v>1083</v>
      </c>
      <c r="H32" s="456">
        <v>1335</v>
      </c>
      <c r="I32" s="456">
        <v>154860</v>
      </c>
      <c r="J32" s="453">
        <v>0.79830503232192018</v>
      </c>
      <c r="K32" s="453">
        <v>116</v>
      </c>
      <c r="L32" s="456">
        <v>1658</v>
      </c>
      <c r="M32" s="456">
        <v>193986</v>
      </c>
      <c r="N32" s="453">
        <v>1</v>
      </c>
      <c r="O32" s="453">
        <v>117</v>
      </c>
      <c r="P32" s="456">
        <v>1862</v>
      </c>
      <c r="Q32" s="456">
        <v>253232</v>
      </c>
      <c r="R32" s="478">
        <v>1.3054137927479303</v>
      </c>
      <c r="S32" s="457">
        <v>136</v>
      </c>
    </row>
    <row r="33" spans="1:19" ht="14.4" customHeight="1" x14ac:dyDescent="0.3">
      <c r="A33" s="452" t="s">
        <v>1027</v>
      </c>
      <c r="B33" s="453" t="s">
        <v>1028</v>
      </c>
      <c r="C33" s="453" t="s">
        <v>432</v>
      </c>
      <c r="D33" s="453" t="s">
        <v>1021</v>
      </c>
      <c r="E33" s="453" t="s">
        <v>1029</v>
      </c>
      <c r="F33" s="453" t="s">
        <v>1084</v>
      </c>
      <c r="G33" s="453" t="s">
        <v>1085</v>
      </c>
      <c r="H33" s="456">
        <v>85</v>
      </c>
      <c r="I33" s="456">
        <v>7225</v>
      </c>
      <c r="J33" s="453">
        <v>0.77083111063693588</v>
      </c>
      <c r="K33" s="453">
        <v>85</v>
      </c>
      <c r="L33" s="456">
        <v>103</v>
      </c>
      <c r="M33" s="456">
        <v>9373</v>
      </c>
      <c r="N33" s="453">
        <v>1</v>
      </c>
      <c r="O33" s="453">
        <v>91</v>
      </c>
      <c r="P33" s="456">
        <v>122</v>
      </c>
      <c r="Q33" s="456">
        <v>11102</v>
      </c>
      <c r="R33" s="478">
        <v>1.1844660194174756</v>
      </c>
      <c r="S33" s="457">
        <v>91</v>
      </c>
    </row>
    <row r="34" spans="1:19" ht="14.4" customHeight="1" x14ac:dyDescent="0.3">
      <c r="A34" s="452" t="s">
        <v>1027</v>
      </c>
      <c r="B34" s="453" t="s">
        <v>1028</v>
      </c>
      <c r="C34" s="453" t="s">
        <v>432</v>
      </c>
      <c r="D34" s="453" t="s">
        <v>1021</v>
      </c>
      <c r="E34" s="453" t="s">
        <v>1029</v>
      </c>
      <c r="F34" s="453" t="s">
        <v>1086</v>
      </c>
      <c r="G34" s="453" t="s">
        <v>1087</v>
      </c>
      <c r="H34" s="456">
        <v>390</v>
      </c>
      <c r="I34" s="456">
        <v>38220</v>
      </c>
      <c r="J34" s="453">
        <v>0.7721212121212121</v>
      </c>
      <c r="K34" s="453">
        <v>98</v>
      </c>
      <c r="L34" s="456">
        <v>500</v>
      </c>
      <c r="M34" s="456">
        <v>49500</v>
      </c>
      <c r="N34" s="453">
        <v>1</v>
      </c>
      <c r="O34" s="453">
        <v>99</v>
      </c>
      <c r="P34" s="456">
        <v>471</v>
      </c>
      <c r="Q34" s="456">
        <v>64527</v>
      </c>
      <c r="R34" s="478">
        <v>1.3035757575757576</v>
      </c>
      <c r="S34" s="457">
        <v>137</v>
      </c>
    </row>
    <row r="35" spans="1:19" ht="14.4" customHeight="1" x14ac:dyDescent="0.3">
      <c r="A35" s="452" t="s">
        <v>1027</v>
      </c>
      <c r="B35" s="453" t="s">
        <v>1028</v>
      </c>
      <c r="C35" s="453" t="s">
        <v>432</v>
      </c>
      <c r="D35" s="453" t="s">
        <v>1021</v>
      </c>
      <c r="E35" s="453" t="s">
        <v>1029</v>
      </c>
      <c r="F35" s="453" t="s">
        <v>1088</v>
      </c>
      <c r="G35" s="453" t="s">
        <v>1089</v>
      </c>
      <c r="H35" s="456">
        <v>345</v>
      </c>
      <c r="I35" s="456">
        <v>7245</v>
      </c>
      <c r="J35" s="453">
        <v>1.8062827225130891</v>
      </c>
      <c r="K35" s="453">
        <v>21</v>
      </c>
      <c r="L35" s="456">
        <v>191</v>
      </c>
      <c r="M35" s="456">
        <v>4011</v>
      </c>
      <c r="N35" s="453">
        <v>1</v>
      </c>
      <c r="O35" s="453">
        <v>21</v>
      </c>
      <c r="P35" s="456">
        <v>165</v>
      </c>
      <c r="Q35" s="456">
        <v>10890</v>
      </c>
      <c r="R35" s="478">
        <v>2.7150336574420346</v>
      </c>
      <c r="S35" s="457">
        <v>66</v>
      </c>
    </row>
    <row r="36" spans="1:19" ht="14.4" customHeight="1" x14ac:dyDescent="0.3">
      <c r="A36" s="452" t="s">
        <v>1027</v>
      </c>
      <c r="B36" s="453" t="s">
        <v>1028</v>
      </c>
      <c r="C36" s="453" t="s">
        <v>432</v>
      </c>
      <c r="D36" s="453" t="s">
        <v>1021</v>
      </c>
      <c r="E36" s="453" t="s">
        <v>1029</v>
      </c>
      <c r="F36" s="453" t="s">
        <v>1090</v>
      </c>
      <c r="G36" s="453" t="s">
        <v>1091</v>
      </c>
      <c r="H36" s="456">
        <v>4517</v>
      </c>
      <c r="I36" s="456">
        <v>2199779</v>
      </c>
      <c r="J36" s="453">
        <v>0.84557191004671106</v>
      </c>
      <c r="K36" s="453">
        <v>487</v>
      </c>
      <c r="L36" s="456">
        <v>5331</v>
      </c>
      <c r="M36" s="456">
        <v>2601528</v>
      </c>
      <c r="N36" s="453">
        <v>1</v>
      </c>
      <c r="O36" s="453">
        <v>488</v>
      </c>
      <c r="P36" s="456">
        <v>3760</v>
      </c>
      <c r="Q36" s="456">
        <v>1233280</v>
      </c>
      <c r="R36" s="478">
        <v>0.47405986020523322</v>
      </c>
      <c r="S36" s="457">
        <v>328</v>
      </c>
    </row>
    <row r="37" spans="1:19" ht="14.4" customHeight="1" x14ac:dyDescent="0.3">
      <c r="A37" s="452" t="s">
        <v>1027</v>
      </c>
      <c r="B37" s="453" t="s">
        <v>1028</v>
      </c>
      <c r="C37" s="453" t="s">
        <v>432</v>
      </c>
      <c r="D37" s="453" t="s">
        <v>1021</v>
      </c>
      <c r="E37" s="453" t="s">
        <v>1029</v>
      </c>
      <c r="F37" s="453" t="s">
        <v>1092</v>
      </c>
      <c r="G37" s="453" t="s">
        <v>1093</v>
      </c>
      <c r="H37" s="456">
        <v>800</v>
      </c>
      <c r="I37" s="456">
        <v>258400</v>
      </c>
      <c r="J37" s="453">
        <v>0.72240114510645914</v>
      </c>
      <c r="K37" s="453">
        <v>323</v>
      </c>
      <c r="L37" s="456">
        <v>1104</v>
      </c>
      <c r="M37" s="456">
        <v>357696</v>
      </c>
      <c r="N37" s="453">
        <v>1</v>
      </c>
      <c r="O37" s="453">
        <v>324</v>
      </c>
      <c r="P37" s="456">
        <v>1268</v>
      </c>
      <c r="Q37" s="456">
        <v>355040</v>
      </c>
      <c r="R37" s="478">
        <v>0.99257470030416894</v>
      </c>
      <c r="S37" s="457">
        <v>280</v>
      </c>
    </row>
    <row r="38" spans="1:19" ht="14.4" customHeight="1" x14ac:dyDescent="0.3">
      <c r="A38" s="452" t="s">
        <v>1027</v>
      </c>
      <c r="B38" s="453" t="s">
        <v>1028</v>
      </c>
      <c r="C38" s="453" t="s">
        <v>432</v>
      </c>
      <c r="D38" s="453" t="s">
        <v>1021</v>
      </c>
      <c r="E38" s="453" t="s">
        <v>1029</v>
      </c>
      <c r="F38" s="453" t="s">
        <v>1094</v>
      </c>
      <c r="G38" s="453" t="s">
        <v>1095</v>
      </c>
      <c r="H38" s="456">
        <v>370</v>
      </c>
      <c r="I38" s="456">
        <v>86950</v>
      </c>
      <c r="J38" s="453">
        <v>0.8279375357074843</v>
      </c>
      <c r="K38" s="453">
        <v>235</v>
      </c>
      <c r="L38" s="456">
        <v>445</v>
      </c>
      <c r="M38" s="456">
        <v>105020</v>
      </c>
      <c r="N38" s="453">
        <v>1</v>
      </c>
      <c r="O38" s="453">
        <v>236</v>
      </c>
      <c r="P38" s="456">
        <v>478</v>
      </c>
      <c r="Q38" s="456">
        <v>107550</v>
      </c>
      <c r="R38" s="478">
        <v>1.0240906494001143</v>
      </c>
      <c r="S38" s="457">
        <v>225</v>
      </c>
    </row>
    <row r="39" spans="1:19" ht="14.4" customHeight="1" x14ac:dyDescent="0.3">
      <c r="A39" s="452" t="s">
        <v>1027</v>
      </c>
      <c r="B39" s="453" t="s">
        <v>1028</v>
      </c>
      <c r="C39" s="453" t="s">
        <v>432</v>
      </c>
      <c r="D39" s="453" t="s">
        <v>1021</v>
      </c>
      <c r="E39" s="453" t="s">
        <v>1029</v>
      </c>
      <c r="F39" s="453" t="s">
        <v>1096</v>
      </c>
      <c r="G39" s="453" t="s">
        <v>1097</v>
      </c>
      <c r="H39" s="456">
        <v>851</v>
      </c>
      <c r="I39" s="456">
        <v>57017</v>
      </c>
      <c r="J39" s="453">
        <v>0.83018345952242278</v>
      </c>
      <c r="K39" s="453">
        <v>67</v>
      </c>
      <c r="L39" s="456">
        <v>1010</v>
      </c>
      <c r="M39" s="456">
        <v>68680</v>
      </c>
      <c r="N39" s="453">
        <v>1</v>
      </c>
      <c r="O39" s="453">
        <v>68</v>
      </c>
      <c r="P39" s="456">
        <v>896</v>
      </c>
      <c r="Q39" s="456">
        <v>64512</v>
      </c>
      <c r="R39" s="478">
        <v>0.93931275480489229</v>
      </c>
      <c r="S39" s="457">
        <v>72</v>
      </c>
    </row>
    <row r="40" spans="1:19" ht="14.4" customHeight="1" x14ac:dyDescent="0.3">
      <c r="A40" s="452" t="s">
        <v>1027</v>
      </c>
      <c r="B40" s="453" t="s">
        <v>1028</v>
      </c>
      <c r="C40" s="453" t="s">
        <v>432</v>
      </c>
      <c r="D40" s="453" t="s">
        <v>1021</v>
      </c>
      <c r="E40" s="453" t="s">
        <v>1029</v>
      </c>
      <c r="F40" s="453" t="s">
        <v>1098</v>
      </c>
      <c r="G40" s="453" t="s">
        <v>1099</v>
      </c>
      <c r="H40" s="456">
        <v>487</v>
      </c>
      <c r="I40" s="456">
        <v>19967</v>
      </c>
      <c r="J40" s="453">
        <v>0.78930307941653155</v>
      </c>
      <c r="K40" s="453">
        <v>41</v>
      </c>
      <c r="L40" s="456">
        <v>617</v>
      </c>
      <c r="M40" s="456">
        <v>25297</v>
      </c>
      <c r="N40" s="453">
        <v>1</v>
      </c>
      <c r="O40" s="453">
        <v>41</v>
      </c>
      <c r="P40" s="456">
        <v>525</v>
      </c>
      <c r="Q40" s="456">
        <v>26775</v>
      </c>
      <c r="R40" s="478">
        <v>1.0584259003043839</v>
      </c>
      <c r="S40" s="457">
        <v>51</v>
      </c>
    </row>
    <row r="41" spans="1:19" ht="14.4" customHeight="1" x14ac:dyDescent="0.3">
      <c r="A41" s="452" t="s">
        <v>1027</v>
      </c>
      <c r="B41" s="453" t="s">
        <v>1028</v>
      </c>
      <c r="C41" s="453" t="s">
        <v>432</v>
      </c>
      <c r="D41" s="453" t="s">
        <v>1021</v>
      </c>
      <c r="E41" s="453" t="s">
        <v>1029</v>
      </c>
      <c r="F41" s="453" t="s">
        <v>1100</v>
      </c>
      <c r="G41" s="453" t="s">
        <v>1101</v>
      </c>
      <c r="H41" s="456">
        <v>797</v>
      </c>
      <c r="I41" s="456">
        <v>58181</v>
      </c>
      <c r="J41" s="453">
        <v>1.0755536658409435</v>
      </c>
      <c r="K41" s="453">
        <v>73</v>
      </c>
      <c r="L41" s="456">
        <v>731</v>
      </c>
      <c r="M41" s="456">
        <v>54094</v>
      </c>
      <c r="N41" s="453">
        <v>1</v>
      </c>
      <c r="O41" s="453">
        <v>74</v>
      </c>
      <c r="P41" s="456">
        <v>758</v>
      </c>
      <c r="Q41" s="456">
        <v>97782</v>
      </c>
      <c r="R41" s="478">
        <v>1.807631160572337</v>
      </c>
      <c r="S41" s="457">
        <v>129</v>
      </c>
    </row>
    <row r="42" spans="1:19" ht="14.4" customHeight="1" x14ac:dyDescent="0.3">
      <c r="A42" s="452" t="s">
        <v>1027</v>
      </c>
      <c r="B42" s="453" t="s">
        <v>1028</v>
      </c>
      <c r="C42" s="453" t="s">
        <v>432</v>
      </c>
      <c r="D42" s="453" t="s">
        <v>1021</v>
      </c>
      <c r="E42" s="453" t="s">
        <v>1029</v>
      </c>
      <c r="F42" s="453" t="s">
        <v>1102</v>
      </c>
      <c r="G42" s="453" t="s">
        <v>1103</v>
      </c>
      <c r="H42" s="456">
        <v>95</v>
      </c>
      <c r="I42" s="456">
        <v>6935</v>
      </c>
      <c r="J42" s="453">
        <v>0.72648229624973815</v>
      </c>
      <c r="K42" s="453">
        <v>73</v>
      </c>
      <c r="L42" s="456">
        <v>129</v>
      </c>
      <c r="M42" s="456">
        <v>9546</v>
      </c>
      <c r="N42" s="453">
        <v>1</v>
      </c>
      <c r="O42" s="453">
        <v>74</v>
      </c>
      <c r="P42" s="456">
        <v>92</v>
      </c>
      <c r="Q42" s="456">
        <v>4784</v>
      </c>
      <c r="R42" s="478">
        <v>0.50115231510580349</v>
      </c>
      <c r="S42" s="457">
        <v>52</v>
      </c>
    </row>
    <row r="43" spans="1:19" ht="14.4" customHeight="1" x14ac:dyDescent="0.3">
      <c r="A43" s="452" t="s">
        <v>1027</v>
      </c>
      <c r="B43" s="453" t="s">
        <v>1028</v>
      </c>
      <c r="C43" s="453" t="s">
        <v>432</v>
      </c>
      <c r="D43" s="453" t="s">
        <v>1021</v>
      </c>
      <c r="E43" s="453" t="s">
        <v>1029</v>
      </c>
      <c r="F43" s="453" t="s">
        <v>1104</v>
      </c>
      <c r="G43" s="453" t="s">
        <v>1105</v>
      </c>
      <c r="H43" s="456">
        <v>606</v>
      </c>
      <c r="I43" s="456">
        <v>172104</v>
      </c>
      <c r="J43" s="453">
        <v>0.85052631578947369</v>
      </c>
      <c r="K43" s="453">
        <v>284</v>
      </c>
      <c r="L43" s="456">
        <v>710</v>
      </c>
      <c r="M43" s="456">
        <v>202350</v>
      </c>
      <c r="N43" s="453">
        <v>1</v>
      </c>
      <c r="O43" s="453">
        <v>285</v>
      </c>
      <c r="P43" s="456">
        <v>756</v>
      </c>
      <c r="Q43" s="456">
        <v>362880</v>
      </c>
      <c r="R43" s="478">
        <v>1.7933283914010378</v>
      </c>
      <c r="S43" s="457">
        <v>480</v>
      </c>
    </row>
    <row r="44" spans="1:19" ht="14.4" customHeight="1" x14ac:dyDescent="0.3">
      <c r="A44" s="452" t="s">
        <v>1027</v>
      </c>
      <c r="B44" s="453" t="s">
        <v>1028</v>
      </c>
      <c r="C44" s="453" t="s">
        <v>432</v>
      </c>
      <c r="D44" s="453" t="s">
        <v>1021</v>
      </c>
      <c r="E44" s="453" t="s">
        <v>1029</v>
      </c>
      <c r="F44" s="453" t="s">
        <v>1106</v>
      </c>
      <c r="G44" s="453" t="s">
        <v>1107</v>
      </c>
      <c r="H44" s="456">
        <v>15</v>
      </c>
      <c r="I44" s="456">
        <v>3285</v>
      </c>
      <c r="J44" s="453">
        <v>1.1331493618489135</v>
      </c>
      <c r="K44" s="453">
        <v>219</v>
      </c>
      <c r="L44" s="456">
        <v>13</v>
      </c>
      <c r="M44" s="456">
        <v>2899</v>
      </c>
      <c r="N44" s="453">
        <v>1</v>
      </c>
      <c r="O44" s="453">
        <v>223</v>
      </c>
      <c r="P44" s="456">
        <v>16</v>
      </c>
      <c r="Q44" s="456">
        <v>3312</v>
      </c>
      <c r="R44" s="478">
        <v>1.1424629182476715</v>
      </c>
      <c r="S44" s="457">
        <v>207</v>
      </c>
    </row>
    <row r="45" spans="1:19" ht="14.4" customHeight="1" x14ac:dyDescent="0.3">
      <c r="A45" s="452" t="s">
        <v>1027</v>
      </c>
      <c r="B45" s="453" t="s">
        <v>1028</v>
      </c>
      <c r="C45" s="453" t="s">
        <v>432</v>
      </c>
      <c r="D45" s="453" t="s">
        <v>1021</v>
      </c>
      <c r="E45" s="453" t="s">
        <v>1029</v>
      </c>
      <c r="F45" s="453" t="s">
        <v>1108</v>
      </c>
      <c r="G45" s="453" t="s">
        <v>1109</v>
      </c>
      <c r="H45" s="456">
        <v>85</v>
      </c>
      <c r="I45" s="456">
        <v>64770</v>
      </c>
      <c r="J45" s="453">
        <v>0.63826013263827985</v>
      </c>
      <c r="K45" s="453">
        <v>762</v>
      </c>
      <c r="L45" s="456">
        <v>133</v>
      </c>
      <c r="M45" s="456">
        <v>101479</v>
      </c>
      <c r="N45" s="453">
        <v>1</v>
      </c>
      <c r="O45" s="453">
        <v>763</v>
      </c>
      <c r="P45" s="456">
        <v>83</v>
      </c>
      <c r="Q45" s="456">
        <v>63329</v>
      </c>
      <c r="R45" s="478">
        <v>0.62406015037593987</v>
      </c>
      <c r="S45" s="457">
        <v>763</v>
      </c>
    </row>
    <row r="46" spans="1:19" ht="14.4" customHeight="1" x14ac:dyDescent="0.3">
      <c r="A46" s="452" t="s">
        <v>1027</v>
      </c>
      <c r="B46" s="453" t="s">
        <v>1028</v>
      </c>
      <c r="C46" s="453" t="s">
        <v>432</v>
      </c>
      <c r="D46" s="453" t="s">
        <v>1021</v>
      </c>
      <c r="E46" s="453" t="s">
        <v>1029</v>
      </c>
      <c r="F46" s="453" t="s">
        <v>1110</v>
      </c>
      <c r="G46" s="453" t="s">
        <v>1111</v>
      </c>
      <c r="H46" s="456">
        <v>80</v>
      </c>
      <c r="I46" s="456">
        <v>165760</v>
      </c>
      <c r="J46" s="453">
        <v>0.74042309891366498</v>
      </c>
      <c r="K46" s="453">
        <v>2072</v>
      </c>
      <c r="L46" s="456">
        <v>106</v>
      </c>
      <c r="M46" s="456">
        <v>223872</v>
      </c>
      <c r="N46" s="453">
        <v>1</v>
      </c>
      <c r="O46" s="453">
        <v>2112</v>
      </c>
      <c r="P46" s="456">
        <v>118</v>
      </c>
      <c r="Q46" s="456">
        <v>249688</v>
      </c>
      <c r="R46" s="478">
        <v>1.115315894797027</v>
      </c>
      <c r="S46" s="457">
        <v>2116</v>
      </c>
    </row>
    <row r="47" spans="1:19" ht="14.4" customHeight="1" x14ac:dyDescent="0.3">
      <c r="A47" s="452" t="s">
        <v>1027</v>
      </c>
      <c r="B47" s="453" t="s">
        <v>1028</v>
      </c>
      <c r="C47" s="453" t="s">
        <v>432</v>
      </c>
      <c r="D47" s="453" t="s">
        <v>1021</v>
      </c>
      <c r="E47" s="453" t="s">
        <v>1029</v>
      </c>
      <c r="F47" s="453" t="s">
        <v>1112</v>
      </c>
      <c r="G47" s="453" t="s">
        <v>1113</v>
      </c>
      <c r="H47" s="456">
        <v>25</v>
      </c>
      <c r="I47" s="456">
        <v>15200</v>
      </c>
      <c r="J47" s="453">
        <v>0.56262955285756588</v>
      </c>
      <c r="K47" s="453">
        <v>608</v>
      </c>
      <c r="L47" s="456">
        <v>44</v>
      </c>
      <c r="M47" s="456">
        <v>27016</v>
      </c>
      <c r="N47" s="453">
        <v>1</v>
      </c>
      <c r="O47" s="453">
        <v>614</v>
      </c>
      <c r="P47" s="456">
        <v>45</v>
      </c>
      <c r="Q47" s="456">
        <v>27540</v>
      </c>
      <c r="R47" s="478">
        <v>1.0193959135327213</v>
      </c>
      <c r="S47" s="457">
        <v>612</v>
      </c>
    </row>
    <row r="48" spans="1:19" ht="14.4" customHeight="1" x14ac:dyDescent="0.3">
      <c r="A48" s="452" t="s">
        <v>1027</v>
      </c>
      <c r="B48" s="453" t="s">
        <v>1028</v>
      </c>
      <c r="C48" s="453" t="s">
        <v>432</v>
      </c>
      <c r="D48" s="453" t="s">
        <v>1021</v>
      </c>
      <c r="E48" s="453" t="s">
        <v>1029</v>
      </c>
      <c r="F48" s="453" t="s">
        <v>1114</v>
      </c>
      <c r="G48" s="453" t="s">
        <v>1115</v>
      </c>
      <c r="H48" s="456">
        <v>6</v>
      </c>
      <c r="I48" s="456">
        <v>5772</v>
      </c>
      <c r="J48" s="453">
        <v>0.35257467472970494</v>
      </c>
      <c r="K48" s="453">
        <v>962</v>
      </c>
      <c r="L48" s="456">
        <v>17</v>
      </c>
      <c r="M48" s="456">
        <v>16371</v>
      </c>
      <c r="N48" s="453">
        <v>1</v>
      </c>
      <c r="O48" s="453">
        <v>963</v>
      </c>
      <c r="P48" s="456"/>
      <c r="Q48" s="456"/>
      <c r="R48" s="478"/>
      <c r="S48" s="457"/>
    </row>
    <row r="49" spans="1:19" ht="14.4" customHeight="1" x14ac:dyDescent="0.3">
      <c r="A49" s="452" t="s">
        <v>1027</v>
      </c>
      <c r="B49" s="453" t="s">
        <v>1028</v>
      </c>
      <c r="C49" s="453" t="s">
        <v>432</v>
      </c>
      <c r="D49" s="453" t="s">
        <v>1021</v>
      </c>
      <c r="E49" s="453" t="s">
        <v>1029</v>
      </c>
      <c r="F49" s="453" t="s">
        <v>1116</v>
      </c>
      <c r="G49" s="453" t="s">
        <v>1117</v>
      </c>
      <c r="H49" s="456">
        <v>1</v>
      </c>
      <c r="I49" s="456">
        <v>509</v>
      </c>
      <c r="J49" s="453"/>
      <c r="K49" s="453">
        <v>509</v>
      </c>
      <c r="L49" s="456"/>
      <c r="M49" s="456"/>
      <c r="N49" s="453"/>
      <c r="O49" s="453"/>
      <c r="P49" s="456">
        <v>2</v>
      </c>
      <c r="Q49" s="456">
        <v>862</v>
      </c>
      <c r="R49" s="478"/>
      <c r="S49" s="457">
        <v>431</v>
      </c>
    </row>
    <row r="50" spans="1:19" ht="14.4" customHeight="1" x14ac:dyDescent="0.3">
      <c r="A50" s="452" t="s">
        <v>1027</v>
      </c>
      <c r="B50" s="453" t="s">
        <v>1028</v>
      </c>
      <c r="C50" s="453" t="s">
        <v>432</v>
      </c>
      <c r="D50" s="453" t="s">
        <v>1021</v>
      </c>
      <c r="E50" s="453" t="s">
        <v>1029</v>
      </c>
      <c r="F50" s="453" t="s">
        <v>1118</v>
      </c>
      <c r="G50" s="453" t="s">
        <v>1119</v>
      </c>
      <c r="H50" s="456">
        <v>38</v>
      </c>
      <c r="I50" s="456">
        <v>66196</v>
      </c>
      <c r="J50" s="453">
        <v>2.5074242424242423</v>
      </c>
      <c r="K50" s="453">
        <v>1742</v>
      </c>
      <c r="L50" s="456">
        <v>15</v>
      </c>
      <c r="M50" s="456">
        <v>26400</v>
      </c>
      <c r="N50" s="453">
        <v>1</v>
      </c>
      <c r="O50" s="453">
        <v>1760</v>
      </c>
      <c r="P50" s="456">
        <v>10</v>
      </c>
      <c r="Q50" s="456">
        <v>17630</v>
      </c>
      <c r="R50" s="478">
        <v>0.66780303030303034</v>
      </c>
      <c r="S50" s="457">
        <v>1763</v>
      </c>
    </row>
    <row r="51" spans="1:19" ht="14.4" customHeight="1" x14ac:dyDescent="0.3">
      <c r="A51" s="452" t="s">
        <v>1027</v>
      </c>
      <c r="B51" s="453" t="s">
        <v>1028</v>
      </c>
      <c r="C51" s="453" t="s">
        <v>432</v>
      </c>
      <c r="D51" s="453" t="s">
        <v>1021</v>
      </c>
      <c r="E51" s="453" t="s">
        <v>1029</v>
      </c>
      <c r="F51" s="453" t="s">
        <v>1120</v>
      </c>
      <c r="G51" s="453" t="s">
        <v>1121</v>
      </c>
      <c r="H51" s="456">
        <v>94</v>
      </c>
      <c r="I51" s="456">
        <v>46060</v>
      </c>
      <c r="J51" s="453">
        <v>0.68836681013868961</v>
      </c>
      <c r="K51" s="453">
        <v>490</v>
      </c>
      <c r="L51" s="456">
        <v>136</v>
      </c>
      <c r="M51" s="456">
        <v>66912</v>
      </c>
      <c r="N51" s="453">
        <v>1</v>
      </c>
      <c r="O51" s="453">
        <v>492</v>
      </c>
      <c r="P51" s="456">
        <v>34</v>
      </c>
      <c r="Q51" s="456">
        <v>16728</v>
      </c>
      <c r="R51" s="478">
        <v>0.25</v>
      </c>
      <c r="S51" s="457">
        <v>492</v>
      </c>
    </row>
    <row r="52" spans="1:19" ht="14.4" customHeight="1" x14ac:dyDescent="0.3">
      <c r="A52" s="452" t="s">
        <v>1027</v>
      </c>
      <c r="B52" s="453" t="s">
        <v>1028</v>
      </c>
      <c r="C52" s="453" t="s">
        <v>432</v>
      </c>
      <c r="D52" s="453" t="s">
        <v>1021</v>
      </c>
      <c r="E52" s="453" t="s">
        <v>1029</v>
      </c>
      <c r="F52" s="453" t="s">
        <v>1122</v>
      </c>
      <c r="G52" s="453" t="s">
        <v>1123</v>
      </c>
      <c r="H52" s="456">
        <v>89</v>
      </c>
      <c r="I52" s="456">
        <v>8722</v>
      </c>
      <c r="J52" s="453">
        <v>0.62042964859866268</v>
      </c>
      <c r="K52" s="453">
        <v>98</v>
      </c>
      <c r="L52" s="456">
        <v>142</v>
      </c>
      <c r="M52" s="456">
        <v>14058</v>
      </c>
      <c r="N52" s="453">
        <v>1</v>
      </c>
      <c r="O52" s="453">
        <v>99</v>
      </c>
      <c r="P52" s="456">
        <v>115</v>
      </c>
      <c r="Q52" s="456">
        <v>17365</v>
      </c>
      <c r="R52" s="478">
        <v>1.2352397211552142</v>
      </c>
      <c r="S52" s="457">
        <v>151</v>
      </c>
    </row>
    <row r="53" spans="1:19" ht="14.4" customHeight="1" x14ac:dyDescent="0.3">
      <c r="A53" s="452" t="s">
        <v>1027</v>
      </c>
      <c r="B53" s="453" t="s">
        <v>1028</v>
      </c>
      <c r="C53" s="453" t="s">
        <v>432</v>
      </c>
      <c r="D53" s="453" t="s">
        <v>1021</v>
      </c>
      <c r="E53" s="453" t="s">
        <v>1029</v>
      </c>
      <c r="F53" s="453" t="s">
        <v>1124</v>
      </c>
      <c r="G53" s="453" t="s">
        <v>1125</v>
      </c>
      <c r="H53" s="456">
        <v>97</v>
      </c>
      <c r="I53" s="456">
        <v>24056</v>
      </c>
      <c r="J53" s="453">
        <v>0.33429218604521893</v>
      </c>
      <c r="K53" s="453">
        <v>248</v>
      </c>
      <c r="L53" s="456">
        <v>289</v>
      </c>
      <c r="M53" s="456">
        <v>71961</v>
      </c>
      <c r="N53" s="453">
        <v>1</v>
      </c>
      <c r="O53" s="453">
        <v>249</v>
      </c>
      <c r="P53" s="456">
        <v>279</v>
      </c>
      <c r="Q53" s="456">
        <v>75609</v>
      </c>
      <c r="R53" s="478">
        <v>1.0506941259849085</v>
      </c>
      <c r="S53" s="457">
        <v>271</v>
      </c>
    </row>
    <row r="54" spans="1:19" ht="14.4" customHeight="1" x14ac:dyDescent="0.3">
      <c r="A54" s="452" t="s">
        <v>1027</v>
      </c>
      <c r="B54" s="453" t="s">
        <v>1028</v>
      </c>
      <c r="C54" s="453" t="s">
        <v>432</v>
      </c>
      <c r="D54" s="453" t="s">
        <v>1021</v>
      </c>
      <c r="E54" s="453" t="s">
        <v>1029</v>
      </c>
      <c r="F54" s="453" t="s">
        <v>1126</v>
      </c>
      <c r="G54" s="453" t="s">
        <v>1127</v>
      </c>
      <c r="H54" s="456">
        <v>126</v>
      </c>
      <c r="I54" s="456">
        <v>19278</v>
      </c>
      <c r="J54" s="453">
        <v>1.2518181818181817</v>
      </c>
      <c r="K54" s="453">
        <v>153</v>
      </c>
      <c r="L54" s="456">
        <v>100</v>
      </c>
      <c r="M54" s="456">
        <v>15400</v>
      </c>
      <c r="N54" s="453">
        <v>1</v>
      </c>
      <c r="O54" s="453">
        <v>154</v>
      </c>
      <c r="P54" s="456">
        <v>117</v>
      </c>
      <c r="Q54" s="456">
        <v>20241</v>
      </c>
      <c r="R54" s="478">
        <v>1.3143506493506494</v>
      </c>
      <c r="S54" s="457">
        <v>173</v>
      </c>
    </row>
    <row r="55" spans="1:19" ht="14.4" customHeight="1" x14ac:dyDescent="0.3">
      <c r="A55" s="452" t="s">
        <v>1027</v>
      </c>
      <c r="B55" s="453" t="s">
        <v>1028</v>
      </c>
      <c r="C55" s="453" t="s">
        <v>432</v>
      </c>
      <c r="D55" s="453" t="s">
        <v>1021</v>
      </c>
      <c r="E55" s="453" t="s">
        <v>1029</v>
      </c>
      <c r="F55" s="453" t="s">
        <v>1128</v>
      </c>
      <c r="G55" s="453" t="s">
        <v>1129</v>
      </c>
      <c r="H55" s="456">
        <v>35</v>
      </c>
      <c r="I55" s="456">
        <v>18585</v>
      </c>
      <c r="J55" s="453">
        <v>1.3973684210526316</v>
      </c>
      <c r="K55" s="453">
        <v>531</v>
      </c>
      <c r="L55" s="456">
        <v>25</v>
      </c>
      <c r="M55" s="456">
        <v>13300</v>
      </c>
      <c r="N55" s="453">
        <v>1</v>
      </c>
      <c r="O55" s="453">
        <v>532</v>
      </c>
      <c r="P55" s="456">
        <v>29</v>
      </c>
      <c r="Q55" s="456">
        <v>12702</v>
      </c>
      <c r="R55" s="478">
        <v>0.95503759398496235</v>
      </c>
      <c r="S55" s="457">
        <v>438</v>
      </c>
    </row>
    <row r="56" spans="1:19" ht="14.4" customHeight="1" x14ac:dyDescent="0.3">
      <c r="A56" s="452" t="s">
        <v>1027</v>
      </c>
      <c r="B56" s="453" t="s">
        <v>1028</v>
      </c>
      <c r="C56" s="453" t="s">
        <v>432</v>
      </c>
      <c r="D56" s="453" t="s">
        <v>1021</v>
      </c>
      <c r="E56" s="453" t="s">
        <v>1029</v>
      </c>
      <c r="F56" s="453" t="s">
        <v>1130</v>
      </c>
      <c r="G56" s="453" t="s">
        <v>1131</v>
      </c>
      <c r="H56" s="456">
        <v>30</v>
      </c>
      <c r="I56" s="456">
        <v>4560</v>
      </c>
      <c r="J56" s="453"/>
      <c r="K56" s="453">
        <v>152</v>
      </c>
      <c r="L56" s="456"/>
      <c r="M56" s="456"/>
      <c r="N56" s="453"/>
      <c r="O56" s="453"/>
      <c r="P56" s="456"/>
      <c r="Q56" s="456"/>
      <c r="R56" s="478"/>
      <c r="S56" s="457"/>
    </row>
    <row r="57" spans="1:19" ht="14.4" customHeight="1" x14ac:dyDescent="0.3">
      <c r="A57" s="452" t="s">
        <v>1027</v>
      </c>
      <c r="B57" s="453" t="s">
        <v>1028</v>
      </c>
      <c r="C57" s="453" t="s">
        <v>432</v>
      </c>
      <c r="D57" s="453" t="s">
        <v>1021</v>
      </c>
      <c r="E57" s="453" t="s">
        <v>1029</v>
      </c>
      <c r="F57" s="453" t="s">
        <v>1132</v>
      </c>
      <c r="G57" s="453" t="s">
        <v>1133</v>
      </c>
      <c r="H57" s="456">
        <v>1</v>
      </c>
      <c r="I57" s="456">
        <v>27</v>
      </c>
      <c r="J57" s="453">
        <v>0.25</v>
      </c>
      <c r="K57" s="453">
        <v>27</v>
      </c>
      <c r="L57" s="456">
        <v>4</v>
      </c>
      <c r="M57" s="456">
        <v>108</v>
      </c>
      <c r="N57" s="453">
        <v>1</v>
      </c>
      <c r="O57" s="453">
        <v>27</v>
      </c>
      <c r="P57" s="456">
        <v>5</v>
      </c>
      <c r="Q57" s="456">
        <v>235</v>
      </c>
      <c r="R57" s="478">
        <v>2.175925925925926</v>
      </c>
      <c r="S57" s="457">
        <v>47</v>
      </c>
    </row>
    <row r="58" spans="1:19" ht="14.4" customHeight="1" x14ac:dyDescent="0.3">
      <c r="A58" s="452" t="s">
        <v>1027</v>
      </c>
      <c r="B58" s="453" t="s">
        <v>1028</v>
      </c>
      <c r="C58" s="453" t="s">
        <v>432</v>
      </c>
      <c r="D58" s="453" t="s">
        <v>1021</v>
      </c>
      <c r="E58" s="453" t="s">
        <v>1029</v>
      </c>
      <c r="F58" s="453" t="s">
        <v>1134</v>
      </c>
      <c r="G58" s="453" t="s">
        <v>1135</v>
      </c>
      <c r="H58" s="456">
        <v>2</v>
      </c>
      <c r="I58" s="456">
        <v>82</v>
      </c>
      <c r="J58" s="453">
        <v>0.32539682539682541</v>
      </c>
      <c r="K58" s="453">
        <v>41</v>
      </c>
      <c r="L58" s="456">
        <v>6</v>
      </c>
      <c r="M58" s="456">
        <v>252</v>
      </c>
      <c r="N58" s="453">
        <v>1</v>
      </c>
      <c r="O58" s="453">
        <v>42</v>
      </c>
      <c r="P58" s="456"/>
      <c r="Q58" s="456"/>
      <c r="R58" s="478"/>
      <c r="S58" s="457"/>
    </row>
    <row r="59" spans="1:19" ht="14.4" customHeight="1" x14ac:dyDescent="0.3">
      <c r="A59" s="452" t="s">
        <v>1027</v>
      </c>
      <c r="B59" s="453" t="s">
        <v>1028</v>
      </c>
      <c r="C59" s="453" t="s">
        <v>432</v>
      </c>
      <c r="D59" s="453" t="s">
        <v>1021</v>
      </c>
      <c r="E59" s="453" t="s">
        <v>1029</v>
      </c>
      <c r="F59" s="453" t="s">
        <v>1136</v>
      </c>
      <c r="G59" s="453" t="s">
        <v>1137</v>
      </c>
      <c r="H59" s="456"/>
      <c r="I59" s="456"/>
      <c r="J59" s="453"/>
      <c r="K59" s="453"/>
      <c r="L59" s="456"/>
      <c r="M59" s="456"/>
      <c r="N59" s="453"/>
      <c r="O59" s="453"/>
      <c r="P59" s="456">
        <v>3</v>
      </c>
      <c r="Q59" s="456">
        <v>1131</v>
      </c>
      <c r="R59" s="478"/>
      <c r="S59" s="457">
        <v>377</v>
      </c>
    </row>
    <row r="60" spans="1:19" ht="14.4" customHeight="1" x14ac:dyDescent="0.3">
      <c r="A60" s="452" t="s">
        <v>1027</v>
      </c>
      <c r="B60" s="453" t="s">
        <v>1028</v>
      </c>
      <c r="C60" s="453" t="s">
        <v>432</v>
      </c>
      <c r="D60" s="453" t="s">
        <v>1021</v>
      </c>
      <c r="E60" s="453" t="s">
        <v>1029</v>
      </c>
      <c r="F60" s="453" t="s">
        <v>1138</v>
      </c>
      <c r="G60" s="453" t="s">
        <v>1139</v>
      </c>
      <c r="H60" s="456">
        <v>1</v>
      </c>
      <c r="I60" s="456">
        <v>29</v>
      </c>
      <c r="J60" s="453"/>
      <c r="K60" s="453">
        <v>29</v>
      </c>
      <c r="L60" s="456"/>
      <c r="M60" s="456"/>
      <c r="N60" s="453"/>
      <c r="O60" s="453"/>
      <c r="P60" s="456"/>
      <c r="Q60" s="456"/>
      <c r="R60" s="478"/>
      <c r="S60" s="457"/>
    </row>
    <row r="61" spans="1:19" ht="14.4" customHeight="1" x14ac:dyDescent="0.3">
      <c r="A61" s="452" t="s">
        <v>1027</v>
      </c>
      <c r="B61" s="453" t="s">
        <v>1028</v>
      </c>
      <c r="C61" s="453" t="s">
        <v>432</v>
      </c>
      <c r="D61" s="453" t="s">
        <v>1021</v>
      </c>
      <c r="E61" s="453" t="s">
        <v>1029</v>
      </c>
      <c r="F61" s="453" t="s">
        <v>1140</v>
      </c>
      <c r="G61" s="453" t="s">
        <v>1141</v>
      </c>
      <c r="H61" s="456">
        <v>1</v>
      </c>
      <c r="I61" s="456">
        <v>118</v>
      </c>
      <c r="J61" s="453">
        <v>0.19831932773109243</v>
      </c>
      <c r="K61" s="453">
        <v>118</v>
      </c>
      <c r="L61" s="456">
        <v>5</v>
      </c>
      <c r="M61" s="456">
        <v>595</v>
      </c>
      <c r="N61" s="453">
        <v>1</v>
      </c>
      <c r="O61" s="453">
        <v>119</v>
      </c>
      <c r="P61" s="456"/>
      <c r="Q61" s="456"/>
      <c r="R61" s="478"/>
      <c r="S61" s="457"/>
    </row>
    <row r="62" spans="1:19" ht="14.4" customHeight="1" x14ac:dyDescent="0.3">
      <c r="A62" s="452" t="s">
        <v>1027</v>
      </c>
      <c r="B62" s="453" t="s">
        <v>1028</v>
      </c>
      <c r="C62" s="453" t="s">
        <v>432</v>
      </c>
      <c r="D62" s="453" t="s">
        <v>1021</v>
      </c>
      <c r="E62" s="453" t="s">
        <v>1029</v>
      </c>
      <c r="F62" s="453" t="s">
        <v>1142</v>
      </c>
      <c r="G62" s="453" t="s">
        <v>1143</v>
      </c>
      <c r="H62" s="456">
        <v>1</v>
      </c>
      <c r="I62" s="456">
        <v>269</v>
      </c>
      <c r="J62" s="453"/>
      <c r="K62" s="453">
        <v>269</v>
      </c>
      <c r="L62" s="456"/>
      <c r="M62" s="456"/>
      <c r="N62" s="453"/>
      <c r="O62" s="453"/>
      <c r="P62" s="456"/>
      <c r="Q62" s="456"/>
      <c r="R62" s="478"/>
      <c r="S62" s="457"/>
    </row>
    <row r="63" spans="1:19" ht="14.4" customHeight="1" x14ac:dyDescent="0.3">
      <c r="A63" s="452" t="s">
        <v>1027</v>
      </c>
      <c r="B63" s="453" t="s">
        <v>1028</v>
      </c>
      <c r="C63" s="453" t="s">
        <v>432</v>
      </c>
      <c r="D63" s="453" t="s">
        <v>1021</v>
      </c>
      <c r="E63" s="453" t="s">
        <v>1029</v>
      </c>
      <c r="F63" s="453" t="s">
        <v>1144</v>
      </c>
      <c r="G63" s="453"/>
      <c r="H63" s="456"/>
      <c r="I63" s="456"/>
      <c r="J63" s="453"/>
      <c r="K63" s="453"/>
      <c r="L63" s="456"/>
      <c r="M63" s="456"/>
      <c r="N63" s="453"/>
      <c r="O63" s="453"/>
      <c r="P63" s="456">
        <v>134</v>
      </c>
      <c r="Q63" s="456">
        <v>200062</v>
      </c>
      <c r="R63" s="478"/>
      <c r="S63" s="457">
        <v>1493</v>
      </c>
    </row>
    <row r="64" spans="1:19" ht="14.4" customHeight="1" x14ac:dyDescent="0.3">
      <c r="A64" s="452" t="s">
        <v>1027</v>
      </c>
      <c r="B64" s="453" t="s">
        <v>1028</v>
      </c>
      <c r="C64" s="453" t="s">
        <v>432</v>
      </c>
      <c r="D64" s="453" t="s">
        <v>1021</v>
      </c>
      <c r="E64" s="453" t="s">
        <v>1029</v>
      </c>
      <c r="F64" s="453" t="s">
        <v>1145</v>
      </c>
      <c r="G64" s="453"/>
      <c r="H64" s="456"/>
      <c r="I64" s="456"/>
      <c r="J64" s="453"/>
      <c r="K64" s="453"/>
      <c r="L64" s="456"/>
      <c r="M64" s="456"/>
      <c r="N64" s="453"/>
      <c r="O64" s="453"/>
      <c r="P64" s="456">
        <v>210</v>
      </c>
      <c r="Q64" s="456">
        <v>68670</v>
      </c>
      <c r="R64" s="478"/>
      <c r="S64" s="457">
        <v>327</v>
      </c>
    </row>
    <row r="65" spans="1:19" ht="14.4" customHeight="1" thickBot="1" x14ac:dyDescent="0.35">
      <c r="A65" s="458" t="s">
        <v>1027</v>
      </c>
      <c r="B65" s="459" t="s">
        <v>1028</v>
      </c>
      <c r="C65" s="459" t="s">
        <v>432</v>
      </c>
      <c r="D65" s="459" t="s">
        <v>1021</v>
      </c>
      <c r="E65" s="459" t="s">
        <v>1029</v>
      </c>
      <c r="F65" s="459" t="s">
        <v>1146</v>
      </c>
      <c r="G65" s="459"/>
      <c r="H65" s="462"/>
      <c r="I65" s="462"/>
      <c r="J65" s="459"/>
      <c r="K65" s="459"/>
      <c r="L65" s="462"/>
      <c r="M65" s="462"/>
      <c r="N65" s="459"/>
      <c r="O65" s="459"/>
      <c r="P65" s="462">
        <v>22</v>
      </c>
      <c r="Q65" s="462">
        <v>19514</v>
      </c>
      <c r="R65" s="470"/>
      <c r="S65" s="463">
        <v>887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26" t="s">
        <v>106</v>
      </c>
      <c r="B1" s="326"/>
      <c r="C1" s="327"/>
      <c r="D1" s="327"/>
      <c r="E1" s="327"/>
    </row>
    <row r="2" spans="1:5" ht="14.4" customHeight="1" thickBot="1" x14ac:dyDescent="0.35">
      <c r="A2" s="215" t="s">
        <v>273</v>
      </c>
      <c r="B2" s="135"/>
    </row>
    <row r="3" spans="1:5" ht="14.4" customHeight="1" thickBot="1" x14ac:dyDescent="0.35">
      <c r="A3" s="138"/>
      <c r="C3" s="139" t="s">
        <v>94</v>
      </c>
      <c r="D3" s="140" t="s">
        <v>60</v>
      </c>
      <c r="E3" s="141" t="s">
        <v>62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7425.0856670188332</v>
      </c>
      <c r="D4" s="144">
        <f ca="1">IF(ISERROR(VLOOKUP("Náklady celkem",INDIRECT("HI!$A:$G"),5,0)),0,VLOOKUP("Náklady celkem",INDIRECT("HI!$A:$G"),5,0))</f>
        <v>8130.2466399999994</v>
      </c>
      <c r="E4" s="145">
        <f ca="1">IF(C4=0,0,D4/C4)</f>
        <v>1.0949700790811601</v>
      </c>
    </row>
    <row r="5" spans="1:5" ht="14.4" customHeight="1" x14ac:dyDescent="0.3">
      <c r="A5" s="146" t="s">
        <v>131</v>
      </c>
      <c r="B5" s="147"/>
      <c r="C5" s="148"/>
      <c r="D5" s="148"/>
      <c r="E5" s="149"/>
    </row>
    <row r="6" spans="1:5" ht="14.4" customHeight="1" x14ac:dyDescent="0.3">
      <c r="A6" s="150" t="s">
        <v>136</v>
      </c>
      <c r="B6" s="151"/>
      <c r="C6" s="152"/>
      <c r="D6" s="152"/>
      <c r="E6" s="149"/>
    </row>
    <row r="7" spans="1:5" ht="14.4" customHeight="1" x14ac:dyDescent="0.3">
      <c r="A7" s="29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98</v>
      </c>
      <c r="C7" s="152">
        <f>IF(ISERROR(HI!F5),"",HI!F5)</f>
        <v>9</v>
      </c>
      <c r="D7" s="152">
        <f>IF(ISERROR(HI!E5),"",HI!E5)</f>
        <v>5.0537599999999996</v>
      </c>
      <c r="E7" s="149">
        <f t="shared" ref="E7:E13" si="0">IF(C7=0,0,D7/C7)</f>
        <v>0.56152888888888886</v>
      </c>
    </row>
    <row r="8" spans="1:5" ht="14.4" customHeight="1" x14ac:dyDescent="0.3">
      <c r="A8" s="294" t="str">
        <f>HYPERLINK("#'LŽ PL'!A1","Plnění pozitivního listu (min. 90%)")</f>
        <v>Plnění pozitivního listu (min. 90%)</v>
      </c>
      <c r="B8" s="151" t="s">
        <v>129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294" t="str">
        <f>HYPERLINK("#'LŽ Statim'!A1","Podíl statimových žádanek (max. 30%)")</f>
        <v>Podíl statimových žádanek (max. 30%)</v>
      </c>
      <c r="B9" s="292" t="s">
        <v>223</v>
      </c>
      <c r="C9" s="293">
        <v>0.3</v>
      </c>
      <c r="D9" s="293">
        <f>IF('LŽ Statim'!G3="",0,'LŽ Statim'!G3)</f>
        <v>0</v>
      </c>
      <c r="E9" s="149">
        <f>IF(C9=0,0,D9/C9)</f>
        <v>0</v>
      </c>
    </row>
    <row r="10" spans="1:5" ht="14.4" customHeight="1" x14ac:dyDescent="0.3">
      <c r="A10" s="154" t="s">
        <v>132</v>
      </c>
      <c r="B10" s="151"/>
      <c r="C10" s="152"/>
      <c r="D10" s="152"/>
      <c r="E10" s="149"/>
    </row>
    <row r="11" spans="1:5" ht="14.4" customHeight="1" x14ac:dyDescent="0.3">
      <c r="A11" s="154" t="s">
        <v>133</v>
      </c>
      <c r="B11" s="151"/>
      <c r="C11" s="152"/>
      <c r="D11" s="152"/>
      <c r="E11" s="149"/>
    </row>
    <row r="12" spans="1:5" ht="14.4" customHeight="1" x14ac:dyDescent="0.3">
      <c r="A12" s="155" t="s">
        <v>137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98</v>
      </c>
      <c r="C13" s="152">
        <f>IF(ISERROR(HI!F6),"",HI!F6)</f>
        <v>3630.0240672195337</v>
      </c>
      <c r="D13" s="152">
        <f>IF(ISERROR(HI!E6),"",HI!E6)</f>
        <v>4214.4638100000002</v>
      </c>
      <c r="E13" s="149">
        <f t="shared" si="0"/>
        <v>1.1610016165066712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3292.8333333333335</v>
      </c>
      <c r="D14" s="148">
        <f ca="1">IF(ISERROR(VLOOKUP("Osobní náklady (Kč) *",INDIRECT("HI!$A:$G"),5,0)),0,VLOOKUP("Osobní náklady (Kč) *",INDIRECT("HI!$A:$G"),5,0))</f>
        <v>3313.7097800000001</v>
      </c>
      <c r="E14" s="149">
        <f ca="1">IF(C14=0,0,D14/C14)</f>
        <v>1.0063399645695197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6433.0320000000002</v>
      </c>
      <c r="D16" s="167">
        <f ca="1">IF(ISERROR(VLOOKUP("Výnosy celkem",INDIRECT("HI!$A:$G"),5,0)),0,VLOOKUP("Výnosy celkem",INDIRECT("HI!$A:$G"),5,0))</f>
        <v>6221.56</v>
      </c>
      <c r="E16" s="168">
        <f t="shared" ref="E16:E21" ca="1" si="1">IF(C16=0,0,D16/C16)</f>
        <v>0.96712716492005635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6433.0320000000002</v>
      </c>
      <c r="D17" s="148">
        <f ca="1">IF(ISERROR(VLOOKUP("Ambulance *",INDIRECT("HI!$A:$G"),5,0)),0,VLOOKUP("Ambulance *",INDIRECT("HI!$A:$G"),5,0))</f>
        <v>6221.56</v>
      </c>
      <c r="E17" s="149">
        <f t="shared" ca="1" si="1"/>
        <v>0.96712716492005635</v>
      </c>
    </row>
    <row r="18" spans="1:5" ht="14.4" customHeight="1" x14ac:dyDescent="0.3">
      <c r="A18" s="309" t="str">
        <f>HYPERLINK("#'ZV Vykáz.-A'!A1","Zdravotní výkony vykázané u ambulantních pacientů (min. 100 % 2016)")</f>
        <v>Zdravotní výkony vykázané u ambulantních pacientů (min. 100 % 2016)</v>
      </c>
      <c r="B18" s="310" t="s">
        <v>108</v>
      </c>
      <c r="C18" s="153">
        <v>1</v>
      </c>
      <c r="D18" s="153">
        <f>IF(ISERROR(VLOOKUP("Celkem:",'ZV Vykáz.-A'!$A:$AB,10,0)),"",VLOOKUP("Celkem:",'ZV Vykáz.-A'!$A:$AB,10,0))</f>
        <v>0.96712716492005635</v>
      </c>
      <c r="E18" s="149">
        <f t="shared" si="1"/>
        <v>0.96712716492005635</v>
      </c>
    </row>
    <row r="19" spans="1:5" ht="14.4" customHeight="1" x14ac:dyDescent="0.3">
      <c r="A19" s="308" t="str">
        <f>HYPERLINK("#'ZV Vykáz.-A'!A1","Specializovaná ambulantní péče")</f>
        <v>Specializovaná ambulantní péče</v>
      </c>
      <c r="B19" s="310" t="s">
        <v>108</v>
      </c>
      <c r="C19" s="153">
        <v>1</v>
      </c>
      <c r="D19" s="293" t="str">
        <f>IF(ISERROR(VLOOKUP("Specializovaná ambulantní péče",'ZV Vykáz.-A'!$A:$AB,10,0)),"",VLOOKUP("Specializovaná ambulantní péče",'ZV Vykáz.-A'!$A:$AB,10,0))</f>
        <v/>
      </c>
      <c r="E19" s="149" t="e">
        <f t="shared" si="1"/>
        <v>#VALUE!</v>
      </c>
    </row>
    <row r="20" spans="1:5" ht="14.4" customHeight="1" x14ac:dyDescent="0.3">
      <c r="A20" s="308" t="str">
        <f>HYPERLINK("#'ZV Vykáz.-A'!A1","Ambulantní péče ve vyjmenovaných odbornostech (§9)")</f>
        <v>Ambulantní péče ve vyjmenovaných odbornostech (§9)</v>
      </c>
      <c r="B20" s="310" t="s">
        <v>108</v>
      </c>
      <c r="C20" s="153">
        <v>1</v>
      </c>
      <c r="D20" s="293">
        <f>IF(ISERROR(VLOOKUP("Ambulantní péče ve vyjmenovaných odbornostech (§9) *",'ZV Vykáz.-A'!$A:$AB,10,0)),"",VLOOKUP("Ambulantní péče ve vyjmenovaných odbornostech (§9) *",'ZV Vykáz.-A'!$A:$AB,10,0))</f>
        <v>0.96712716492005635</v>
      </c>
      <c r="E20" s="149">
        <f>IF(OR(C20=0,D20=""),0,IF(C20="","",D20/C20))</f>
        <v>0.96712716492005635</v>
      </c>
    </row>
    <row r="21" spans="1:5" ht="14.4" customHeight="1" x14ac:dyDescent="0.3">
      <c r="A21" s="170" t="str">
        <f>HYPERLINK("#'ZV Vykáz.-H'!A1","Zdravotní výkony vykázané u hospitalizovaných pacientů (max. 85 %)")</f>
        <v>Zdravotní výkony vykázané u hospitalizovaných pacientů (max. 85 %)</v>
      </c>
      <c r="B21" s="310" t="s">
        <v>110</v>
      </c>
      <c r="C21" s="153">
        <v>0.85</v>
      </c>
      <c r="D21" s="153">
        <f>IF(ISERROR(VLOOKUP("Celkem:",'ZV Vykáz.-H'!$A:$S,7,0)),"",VLOOKUP("Celkem:",'ZV Vykáz.-H'!$A:$S,7,0))</f>
        <v>1.1423239102337033</v>
      </c>
      <c r="E21" s="149">
        <f t="shared" si="1"/>
        <v>1.3439104826278863</v>
      </c>
    </row>
    <row r="22" spans="1:5" ht="14.4" customHeight="1" x14ac:dyDescent="0.3">
      <c r="A22" s="171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" customHeight="1" thickBot="1" x14ac:dyDescent="0.35">
      <c r="A23" s="172" t="s">
        <v>134</v>
      </c>
      <c r="B23" s="158"/>
      <c r="C23" s="159"/>
      <c r="D23" s="159"/>
      <c r="E23" s="160"/>
    </row>
    <row r="24" spans="1:5" ht="14.4" customHeight="1" thickBot="1" x14ac:dyDescent="0.35">
      <c r="A24" s="173"/>
      <c r="B24" s="174"/>
      <c r="C24" s="175"/>
      <c r="D24" s="175"/>
      <c r="E24" s="176"/>
    </row>
    <row r="25" spans="1:5" ht="14.4" customHeight="1" thickBot="1" x14ac:dyDescent="0.35">
      <c r="A25" s="177" t="s">
        <v>135</v>
      </c>
      <c r="B25" s="178"/>
      <c r="C25" s="179"/>
      <c r="D25" s="179"/>
      <c r="E25" s="180"/>
    </row>
  </sheetData>
  <mergeCells count="1">
    <mergeCell ref="A1:E1"/>
  </mergeCells>
  <conditionalFormatting sqref="E5">
    <cfRule type="cellIs" dxfId="60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8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7" priority="11" operator="lessThan">
      <formula>1</formula>
    </cfRule>
    <cfRule type="iconSet" priority="12">
      <iconSet iconSet="3Symbols2">
        <cfvo type="percent" val="0"/>
        <cfvo type="num" val="1"/>
        <cfvo type="num" val="1"/>
      </iconSet>
    </cfRule>
  </conditionalFormatting>
  <conditionalFormatting sqref="E22">
    <cfRule type="cellIs" dxfId="5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6">
    <cfRule type="cellIs" dxfId="55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53" priority="25" operator="lessThan">
      <formula>1</formula>
    </cfRule>
    <cfRule type="iconSet" priority="26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52" priority="31" operator="greaterThan">
      <formula>1</formula>
    </cfRule>
    <cfRule type="iconSet" priority="3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9" evalErro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15" bestFit="1" customWidth="1" collapsed="1"/>
    <col min="2" max="2" width="7.77734375" style="92" hidden="1" customWidth="1" outlineLevel="1"/>
    <col min="3" max="3" width="0.109375" style="115" hidden="1" customWidth="1"/>
    <col min="4" max="4" width="7.77734375" style="92" customWidth="1"/>
    <col min="5" max="5" width="5.44140625" style="115" hidden="1" customWidth="1"/>
    <col min="6" max="6" width="7.77734375" style="92" customWidth="1"/>
    <col min="7" max="7" width="7.77734375" style="194" customWidth="1" collapsed="1"/>
    <col min="8" max="8" width="7.77734375" style="92" hidden="1" customWidth="1" outlineLevel="1"/>
    <col min="9" max="9" width="5.44140625" style="115" hidden="1" customWidth="1"/>
    <col min="10" max="10" width="7.77734375" style="92" customWidth="1"/>
    <col min="11" max="11" width="5.44140625" style="115" hidden="1" customWidth="1"/>
    <col min="12" max="12" width="7.77734375" style="92" customWidth="1"/>
    <col min="13" max="13" width="7.77734375" style="194" customWidth="1" collapsed="1"/>
    <col min="14" max="14" width="7.77734375" style="92" hidden="1" customWidth="1" outlineLevel="1"/>
    <col min="15" max="15" width="5" style="115" hidden="1" customWidth="1"/>
    <col min="16" max="16" width="7.77734375" style="92" customWidth="1"/>
    <col min="17" max="17" width="5" style="115" hidden="1" customWidth="1"/>
    <col min="18" max="18" width="7.77734375" style="92" customWidth="1"/>
    <col min="19" max="19" width="7.77734375" style="194" customWidth="1"/>
    <col min="20" max="16384" width="8.88671875" style="115"/>
  </cols>
  <sheetData>
    <row r="1" spans="1:19" ht="18.600000000000001" customHeight="1" thickBot="1" x14ac:dyDescent="0.4">
      <c r="A1" s="338" t="s">
        <v>112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</row>
    <row r="2" spans="1:19" ht="14.4" customHeight="1" thickBot="1" x14ac:dyDescent="0.35">
      <c r="A2" s="215" t="s">
        <v>273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113</v>
      </c>
      <c r="B3" s="201">
        <f>SUBTOTAL(9,B6:B1048576)</f>
        <v>4829438</v>
      </c>
      <c r="C3" s="202">
        <f t="shared" ref="C3:R3" si="0">SUBTOTAL(9,C6:C1048576)</f>
        <v>30.759492686026285</v>
      </c>
      <c r="D3" s="202">
        <f t="shared" si="0"/>
        <v>6309495</v>
      </c>
      <c r="E3" s="202">
        <f t="shared" si="0"/>
        <v>26</v>
      </c>
      <c r="F3" s="202">
        <f t="shared" si="0"/>
        <v>7207487</v>
      </c>
      <c r="G3" s="205">
        <f>IF(D3&lt;&gt;0,F3/D3,"")</f>
        <v>1.1423239102337033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IF(J3&lt;&gt;0,L3/J3,"")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IF(P3&lt;&gt;0,R3/P3,"")</f>
        <v/>
      </c>
    </row>
    <row r="4" spans="1:19" ht="14.4" customHeight="1" x14ac:dyDescent="0.3">
      <c r="A4" s="385" t="s">
        <v>92</v>
      </c>
      <c r="B4" s="386" t="s">
        <v>86</v>
      </c>
      <c r="C4" s="387"/>
      <c r="D4" s="387"/>
      <c r="E4" s="387"/>
      <c r="F4" s="387"/>
      <c r="G4" s="389"/>
      <c r="H4" s="386" t="s">
        <v>87</v>
      </c>
      <c r="I4" s="387"/>
      <c r="J4" s="387"/>
      <c r="K4" s="387"/>
      <c r="L4" s="387"/>
      <c r="M4" s="389"/>
      <c r="N4" s="386" t="s">
        <v>88</v>
      </c>
      <c r="O4" s="387"/>
      <c r="P4" s="387"/>
      <c r="Q4" s="387"/>
      <c r="R4" s="387"/>
      <c r="S4" s="389"/>
    </row>
    <row r="5" spans="1:19" ht="14.4" customHeight="1" thickBot="1" x14ac:dyDescent="0.35">
      <c r="A5" s="536"/>
      <c r="B5" s="537">
        <v>2015</v>
      </c>
      <c r="C5" s="538"/>
      <c r="D5" s="538">
        <v>2016</v>
      </c>
      <c r="E5" s="538"/>
      <c r="F5" s="538">
        <v>2017</v>
      </c>
      <c r="G5" s="566" t="s">
        <v>2</v>
      </c>
      <c r="H5" s="537">
        <v>2015</v>
      </c>
      <c r="I5" s="538"/>
      <c r="J5" s="538">
        <v>2016</v>
      </c>
      <c r="K5" s="538"/>
      <c r="L5" s="538">
        <v>2017</v>
      </c>
      <c r="M5" s="566" t="s">
        <v>2</v>
      </c>
      <c r="N5" s="537">
        <v>2015</v>
      </c>
      <c r="O5" s="538"/>
      <c r="P5" s="538">
        <v>2016</v>
      </c>
      <c r="Q5" s="538"/>
      <c r="R5" s="538">
        <v>2017</v>
      </c>
      <c r="S5" s="566" t="s">
        <v>2</v>
      </c>
    </row>
    <row r="6" spans="1:19" ht="14.4" customHeight="1" x14ac:dyDescent="0.3">
      <c r="A6" s="482" t="s">
        <v>1149</v>
      </c>
      <c r="B6" s="567">
        <v>196879</v>
      </c>
      <c r="C6" s="447">
        <v>0.78929981758774836</v>
      </c>
      <c r="D6" s="567">
        <v>249435</v>
      </c>
      <c r="E6" s="447">
        <v>1</v>
      </c>
      <c r="F6" s="567">
        <v>199747</v>
      </c>
      <c r="G6" s="469">
        <v>0.80079780303485881</v>
      </c>
      <c r="H6" s="567"/>
      <c r="I6" s="447"/>
      <c r="J6" s="567"/>
      <c r="K6" s="447"/>
      <c r="L6" s="567"/>
      <c r="M6" s="469"/>
      <c r="N6" s="567"/>
      <c r="O6" s="447"/>
      <c r="P6" s="567"/>
      <c r="Q6" s="447"/>
      <c r="R6" s="567"/>
      <c r="S6" s="493"/>
    </row>
    <row r="7" spans="1:19" ht="14.4" customHeight="1" x14ac:dyDescent="0.3">
      <c r="A7" s="571" t="s">
        <v>1150</v>
      </c>
      <c r="B7" s="568">
        <v>236488</v>
      </c>
      <c r="C7" s="453">
        <v>0.91499231986504626</v>
      </c>
      <c r="D7" s="568">
        <v>258459</v>
      </c>
      <c r="E7" s="453">
        <v>1</v>
      </c>
      <c r="F7" s="568">
        <v>249775</v>
      </c>
      <c r="G7" s="478">
        <v>0.96640086048464169</v>
      </c>
      <c r="H7" s="568"/>
      <c r="I7" s="453"/>
      <c r="J7" s="568"/>
      <c r="K7" s="453"/>
      <c r="L7" s="568"/>
      <c r="M7" s="478"/>
      <c r="N7" s="568"/>
      <c r="O7" s="453"/>
      <c r="P7" s="568"/>
      <c r="Q7" s="453"/>
      <c r="R7" s="568"/>
      <c r="S7" s="569"/>
    </row>
    <row r="8" spans="1:19" ht="14.4" customHeight="1" x14ac:dyDescent="0.3">
      <c r="A8" s="571" t="s">
        <v>1151</v>
      </c>
      <c r="B8" s="568">
        <v>337121</v>
      </c>
      <c r="C8" s="453">
        <v>0.59724092236174497</v>
      </c>
      <c r="D8" s="568">
        <v>564464</v>
      </c>
      <c r="E8" s="453">
        <v>1</v>
      </c>
      <c r="F8" s="568">
        <v>697679</v>
      </c>
      <c r="G8" s="478">
        <v>1.2360026503018793</v>
      </c>
      <c r="H8" s="568"/>
      <c r="I8" s="453"/>
      <c r="J8" s="568"/>
      <c r="K8" s="453"/>
      <c r="L8" s="568"/>
      <c r="M8" s="478"/>
      <c r="N8" s="568"/>
      <c r="O8" s="453"/>
      <c r="P8" s="568"/>
      <c r="Q8" s="453"/>
      <c r="R8" s="568"/>
      <c r="S8" s="569"/>
    </row>
    <row r="9" spans="1:19" ht="14.4" customHeight="1" x14ac:dyDescent="0.3">
      <c r="A9" s="571" t="s">
        <v>1152</v>
      </c>
      <c r="B9" s="568">
        <v>124125</v>
      </c>
      <c r="C9" s="453">
        <v>0.6993036541256803</v>
      </c>
      <c r="D9" s="568">
        <v>177498</v>
      </c>
      <c r="E9" s="453">
        <v>1</v>
      </c>
      <c r="F9" s="568">
        <v>170102</v>
      </c>
      <c r="G9" s="478">
        <v>0.95833192486675911</v>
      </c>
      <c r="H9" s="568"/>
      <c r="I9" s="453"/>
      <c r="J9" s="568"/>
      <c r="K9" s="453"/>
      <c r="L9" s="568"/>
      <c r="M9" s="478"/>
      <c r="N9" s="568"/>
      <c r="O9" s="453"/>
      <c r="P9" s="568"/>
      <c r="Q9" s="453"/>
      <c r="R9" s="568"/>
      <c r="S9" s="569"/>
    </row>
    <row r="10" spans="1:19" ht="14.4" customHeight="1" x14ac:dyDescent="0.3">
      <c r="A10" s="571" t="s">
        <v>1153</v>
      </c>
      <c r="B10" s="568">
        <v>20776</v>
      </c>
      <c r="C10" s="453">
        <v>0.94819953448039795</v>
      </c>
      <c r="D10" s="568">
        <v>21911</v>
      </c>
      <c r="E10" s="453">
        <v>1</v>
      </c>
      <c r="F10" s="568">
        <v>27273</v>
      </c>
      <c r="G10" s="478">
        <v>1.2447172653005341</v>
      </c>
      <c r="H10" s="568"/>
      <c r="I10" s="453"/>
      <c r="J10" s="568"/>
      <c r="K10" s="453"/>
      <c r="L10" s="568"/>
      <c r="M10" s="478"/>
      <c r="N10" s="568"/>
      <c r="O10" s="453"/>
      <c r="P10" s="568"/>
      <c r="Q10" s="453"/>
      <c r="R10" s="568"/>
      <c r="S10" s="569"/>
    </row>
    <row r="11" spans="1:19" ht="14.4" customHeight="1" x14ac:dyDescent="0.3">
      <c r="A11" s="571" t="s">
        <v>1154</v>
      </c>
      <c r="B11" s="568">
        <v>81972</v>
      </c>
      <c r="C11" s="453">
        <v>1.0155355682747342</v>
      </c>
      <c r="D11" s="568">
        <v>80718</v>
      </c>
      <c r="E11" s="453">
        <v>1</v>
      </c>
      <c r="F11" s="568">
        <v>86330</v>
      </c>
      <c r="G11" s="478">
        <v>1.069526004113085</v>
      </c>
      <c r="H11" s="568"/>
      <c r="I11" s="453"/>
      <c r="J11" s="568"/>
      <c r="K11" s="453"/>
      <c r="L11" s="568"/>
      <c r="M11" s="478"/>
      <c r="N11" s="568"/>
      <c r="O11" s="453"/>
      <c r="P11" s="568"/>
      <c r="Q11" s="453"/>
      <c r="R11" s="568"/>
      <c r="S11" s="569"/>
    </row>
    <row r="12" spans="1:19" ht="14.4" customHeight="1" x14ac:dyDescent="0.3">
      <c r="A12" s="571" t="s">
        <v>1155</v>
      </c>
      <c r="B12" s="568">
        <v>186848</v>
      </c>
      <c r="C12" s="453">
        <v>0.82697695416059946</v>
      </c>
      <c r="D12" s="568">
        <v>225941</v>
      </c>
      <c r="E12" s="453">
        <v>1</v>
      </c>
      <c r="F12" s="568">
        <v>210629</v>
      </c>
      <c r="G12" s="478">
        <v>0.93223009546740077</v>
      </c>
      <c r="H12" s="568"/>
      <c r="I12" s="453"/>
      <c r="J12" s="568"/>
      <c r="K12" s="453"/>
      <c r="L12" s="568"/>
      <c r="M12" s="478"/>
      <c r="N12" s="568"/>
      <c r="O12" s="453"/>
      <c r="P12" s="568"/>
      <c r="Q12" s="453"/>
      <c r="R12" s="568"/>
      <c r="S12" s="569"/>
    </row>
    <row r="13" spans="1:19" ht="14.4" customHeight="1" x14ac:dyDescent="0.3">
      <c r="A13" s="571" t="s">
        <v>1156</v>
      </c>
      <c r="B13" s="568">
        <v>38505</v>
      </c>
      <c r="C13" s="453">
        <v>0.67360005598026695</v>
      </c>
      <c r="D13" s="568">
        <v>57163</v>
      </c>
      <c r="E13" s="453">
        <v>1</v>
      </c>
      <c r="F13" s="568">
        <v>119670</v>
      </c>
      <c r="G13" s="478">
        <v>2.0934870458163499</v>
      </c>
      <c r="H13" s="568"/>
      <c r="I13" s="453"/>
      <c r="J13" s="568"/>
      <c r="K13" s="453"/>
      <c r="L13" s="568"/>
      <c r="M13" s="478"/>
      <c r="N13" s="568"/>
      <c r="O13" s="453"/>
      <c r="P13" s="568"/>
      <c r="Q13" s="453"/>
      <c r="R13" s="568"/>
      <c r="S13" s="569"/>
    </row>
    <row r="14" spans="1:19" ht="14.4" customHeight="1" x14ac:dyDescent="0.3">
      <c r="A14" s="571" t="s">
        <v>1157</v>
      </c>
      <c r="B14" s="568">
        <v>89801</v>
      </c>
      <c r="C14" s="453">
        <v>0.97236689658159459</v>
      </c>
      <c r="D14" s="568">
        <v>92353</v>
      </c>
      <c r="E14" s="453">
        <v>1</v>
      </c>
      <c r="F14" s="568">
        <v>106687</v>
      </c>
      <c r="G14" s="478">
        <v>1.1552088183383322</v>
      </c>
      <c r="H14" s="568"/>
      <c r="I14" s="453"/>
      <c r="J14" s="568"/>
      <c r="K14" s="453"/>
      <c r="L14" s="568"/>
      <c r="M14" s="478"/>
      <c r="N14" s="568"/>
      <c r="O14" s="453"/>
      <c r="P14" s="568"/>
      <c r="Q14" s="453"/>
      <c r="R14" s="568"/>
      <c r="S14" s="569"/>
    </row>
    <row r="15" spans="1:19" ht="14.4" customHeight="1" x14ac:dyDescent="0.3">
      <c r="A15" s="571" t="s">
        <v>1158</v>
      </c>
      <c r="B15" s="568">
        <v>585810</v>
      </c>
      <c r="C15" s="453">
        <v>0.7757737078383854</v>
      </c>
      <c r="D15" s="568">
        <v>755130</v>
      </c>
      <c r="E15" s="453">
        <v>1</v>
      </c>
      <c r="F15" s="568">
        <v>1025980</v>
      </c>
      <c r="G15" s="478">
        <v>1.3586799623905819</v>
      </c>
      <c r="H15" s="568"/>
      <c r="I15" s="453"/>
      <c r="J15" s="568"/>
      <c r="K15" s="453"/>
      <c r="L15" s="568"/>
      <c r="M15" s="478"/>
      <c r="N15" s="568"/>
      <c r="O15" s="453"/>
      <c r="P15" s="568"/>
      <c r="Q15" s="453"/>
      <c r="R15" s="568"/>
      <c r="S15" s="569"/>
    </row>
    <row r="16" spans="1:19" ht="14.4" customHeight="1" x14ac:dyDescent="0.3">
      <c r="A16" s="571" t="s">
        <v>1159</v>
      </c>
      <c r="B16" s="568">
        <v>97082</v>
      </c>
      <c r="C16" s="453">
        <v>0.77011922799279708</v>
      </c>
      <c r="D16" s="568">
        <v>126061</v>
      </c>
      <c r="E16" s="453">
        <v>1</v>
      </c>
      <c r="F16" s="568">
        <v>161191</v>
      </c>
      <c r="G16" s="478">
        <v>1.2786746099110748</v>
      </c>
      <c r="H16" s="568"/>
      <c r="I16" s="453"/>
      <c r="J16" s="568"/>
      <c r="K16" s="453"/>
      <c r="L16" s="568"/>
      <c r="M16" s="478"/>
      <c r="N16" s="568"/>
      <c r="O16" s="453"/>
      <c r="P16" s="568"/>
      <c r="Q16" s="453"/>
      <c r="R16" s="568"/>
      <c r="S16" s="569"/>
    </row>
    <row r="17" spans="1:19" ht="14.4" customHeight="1" x14ac:dyDescent="0.3">
      <c r="A17" s="571" t="s">
        <v>1160</v>
      </c>
      <c r="B17" s="568">
        <v>31056</v>
      </c>
      <c r="C17" s="453">
        <v>1.2034410602185539</v>
      </c>
      <c r="D17" s="568">
        <v>25806</v>
      </c>
      <c r="E17" s="453">
        <v>1</v>
      </c>
      <c r="F17" s="568">
        <v>25359</v>
      </c>
      <c r="G17" s="478">
        <v>0.98267844687282024</v>
      </c>
      <c r="H17" s="568"/>
      <c r="I17" s="453"/>
      <c r="J17" s="568"/>
      <c r="K17" s="453"/>
      <c r="L17" s="568"/>
      <c r="M17" s="478"/>
      <c r="N17" s="568"/>
      <c r="O17" s="453"/>
      <c r="P17" s="568"/>
      <c r="Q17" s="453"/>
      <c r="R17" s="568"/>
      <c r="S17" s="569"/>
    </row>
    <row r="18" spans="1:19" ht="14.4" customHeight="1" x14ac:dyDescent="0.3">
      <c r="A18" s="571" t="s">
        <v>1161</v>
      </c>
      <c r="B18" s="568">
        <v>3048</v>
      </c>
      <c r="C18" s="453">
        <v>0.2272930648769575</v>
      </c>
      <c r="D18" s="568">
        <v>13410</v>
      </c>
      <c r="E18" s="453">
        <v>1</v>
      </c>
      <c r="F18" s="568">
        <v>19626</v>
      </c>
      <c r="G18" s="478">
        <v>1.4635346756152126</v>
      </c>
      <c r="H18" s="568"/>
      <c r="I18" s="453"/>
      <c r="J18" s="568"/>
      <c r="K18" s="453"/>
      <c r="L18" s="568"/>
      <c r="M18" s="478"/>
      <c r="N18" s="568"/>
      <c r="O18" s="453"/>
      <c r="P18" s="568"/>
      <c r="Q18" s="453"/>
      <c r="R18" s="568"/>
      <c r="S18" s="569"/>
    </row>
    <row r="19" spans="1:19" ht="14.4" customHeight="1" x14ac:dyDescent="0.3">
      <c r="A19" s="571" t="s">
        <v>1162</v>
      </c>
      <c r="B19" s="568">
        <v>10946</v>
      </c>
      <c r="C19" s="453">
        <v>0.72779255319148939</v>
      </c>
      <c r="D19" s="568">
        <v>15040</v>
      </c>
      <c r="E19" s="453">
        <v>1</v>
      </c>
      <c r="F19" s="568">
        <v>10761</v>
      </c>
      <c r="G19" s="478">
        <v>0.71549202127659572</v>
      </c>
      <c r="H19" s="568"/>
      <c r="I19" s="453"/>
      <c r="J19" s="568"/>
      <c r="K19" s="453"/>
      <c r="L19" s="568"/>
      <c r="M19" s="478"/>
      <c r="N19" s="568"/>
      <c r="O19" s="453"/>
      <c r="P19" s="568"/>
      <c r="Q19" s="453"/>
      <c r="R19" s="568"/>
      <c r="S19" s="569"/>
    </row>
    <row r="20" spans="1:19" ht="14.4" customHeight="1" x14ac:dyDescent="0.3">
      <c r="A20" s="571" t="s">
        <v>1163</v>
      </c>
      <c r="B20" s="568">
        <v>822449</v>
      </c>
      <c r="C20" s="453">
        <v>0.75689298480046241</v>
      </c>
      <c r="D20" s="568">
        <v>1086612</v>
      </c>
      <c r="E20" s="453">
        <v>1</v>
      </c>
      <c r="F20" s="568">
        <v>1613484</v>
      </c>
      <c r="G20" s="478">
        <v>1.4848759262735918</v>
      </c>
      <c r="H20" s="568"/>
      <c r="I20" s="453"/>
      <c r="J20" s="568"/>
      <c r="K20" s="453"/>
      <c r="L20" s="568"/>
      <c r="M20" s="478"/>
      <c r="N20" s="568"/>
      <c r="O20" s="453"/>
      <c r="P20" s="568"/>
      <c r="Q20" s="453"/>
      <c r="R20" s="568"/>
      <c r="S20" s="569"/>
    </row>
    <row r="21" spans="1:19" ht="14.4" customHeight="1" x14ac:dyDescent="0.3">
      <c r="A21" s="571" t="s">
        <v>1164</v>
      </c>
      <c r="B21" s="568">
        <v>887212</v>
      </c>
      <c r="C21" s="453">
        <v>0.73905448620497494</v>
      </c>
      <c r="D21" s="568">
        <v>1200469</v>
      </c>
      <c r="E21" s="453">
        <v>1</v>
      </c>
      <c r="F21" s="568">
        <v>974170</v>
      </c>
      <c r="G21" s="478">
        <v>0.81149117553222949</v>
      </c>
      <c r="H21" s="568"/>
      <c r="I21" s="453"/>
      <c r="J21" s="568"/>
      <c r="K21" s="453"/>
      <c r="L21" s="568"/>
      <c r="M21" s="478"/>
      <c r="N21" s="568"/>
      <c r="O21" s="453"/>
      <c r="P21" s="568"/>
      <c r="Q21" s="453"/>
      <c r="R21" s="568"/>
      <c r="S21" s="569"/>
    </row>
    <row r="22" spans="1:19" ht="14.4" customHeight="1" x14ac:dyDescent="0.3">
      <c r="A22" s="571" t="s">
        <v>1165</v>
      </c>
      <c r="B22" s="568">
        <v>26721</v>
      </c>
      <c r="C22" s="453">
        <v>9.3889669711876316</v>
      </c>
      <c r="D22" s="568">
        <v>2846</v>
      </c>
      <c r="E22" s="453">
        <v>1</v>
      </c>
      <c r="F22" s="568">
        <v>771</v>
      </c>
      <c r="G22" s="478">
        <v>0.27090653548840476</v>
      </c>
      <c r="H22" s="568"/>
      <c r="I22" s="453"/>
      <c r="J22" s="568"/>
      <c r="K22" s="453"/>
      <c r="L22" s="568"/>
      <c r="M22" s="478"/>
      <c r="N22" s="568"/>
      <c r="O22" s="453"/>
      <c r="P22" s="568"/>
      <c r="Q22" s="453"/>
      <c r="R22" s="568"/>
      <c r="S22" s="569"/>
    </row>
    <row r="23" spans="1:19" ht="14.4" customHeight="1" x14ac:dyDescent="0.3">
      <c r="A23" s="571" t="s">
        <v>1166</v>
      </c>
      <c r="B23" s="568">
        <v>178136</v>
      </c>
      <c r="C23" s="453">
        <v>0.59075804707864343</v>
      </c>
      <c r="D23" s="568">
        <v>301538</v>
      </c>
      <c r="E23" s="453">
        <v>1</v>
      </c>
      <c r="F23" s="568">
        <v>242866</v>
      </c>
      <c r="G23" s="478">
        <v>0.80542419197580406</v>
      </c>
      <c r="H23" s="568"/>
      <c r="I23" s="453"/>
      <c r="J23" s="568"/>
      <c r="K23" s="453"/>
      <c r="L23" s="568"/>
      <c r="M23" s="478"/>
      <c r="N23" s="568"/>
      <c r="O23" s="453"/>
      <c r="P23" s="568"/>
      <c r="Q23" s="453"/>
      <c r="R23" s="568"/>
      <c r="S23" s="569"/>
    </row>
    <row r="24" spans="1:19" ht="14.4" customHeight="1" x14ac:dyDescent="0.3">
      <c r="A24" s="571" t="s">
        <v>1167</v>
      </c>
      <c r="B24" s="568">
        <v>26282</v>
      </c>
      <c r="C24" s="453">
        <v>0.5095682183919189</v>
      </c>
      <c r="D24" s="568">
        <v>51577</v>
      </c>
      <c r="E24" s="453">
        <v>1</v>
      </c>
      <c r="F24" s="568">
        <v>49658</v>
      </c>
      <c r="G24" s="478">
        <v>0.96279349322372376</v>
      </c>
      <c r="H24" s="568"/>
      <c r="I24" s="453"/>
      <c r="J24" s="568"/>
      <c r="K24" s="453"/>
      <c r="L24" s="568"/>
      <c r="M24" s="478"/>
      <c r="N24" s="568"/>
      <c r="O24" s="453"/>
      <c r="P24" s="568"/>
      <c r="Q24" s="453"/>
      <c r="R24" s="568"/>
      <c r="S24" s="569"/>
    </row>
    <row r="25" spans="1:19" ht="14.4" customHeight="1" x14ac:dyDescent="0.3">
      <c r="A25" s="571" t="s">
        <v>1168</v>
      </c>
      <c r="B25" s="568">
        <v>120</v>
      </c>
      <c r="C25" s="453"/>
      <c r="D25" s="568"/>
      <c r="E25" s="453"/>
      <c r="F25" s="568"/>
      <c r="G25" s="478"/>
      <c r="H25" s="568"/>
      <c r="I25" s="453"/>
      <c r="J25" s="568"/>
      <c r="K25" s="453"/>
      <c r="L25" s="568"/>
      <c r="M25" s="478"/>
      <c r="N25" s="568"/>
      <c r="O25" s="453"/>
      <c r="P25" s="568"/>
      <c r="Q25" s="453"/>
      <c r="R25" s="568"/>
      <c r="S25" s="569"/>
    </row>
    <row r="26" spans="1:19" ht="14.4" customHeight="1" x14ac:dyDescent="0.3">
      <c r="A26" s="571" t="s">
        <v>1169</v>
      </c>
      <c r="B26" s="568">
        <v>10445</v>
      </c>
      <c r="C26" s="453">
        <v>0.60042538514601063</v>
      </c>
      <c r="D26" s="568">
        <v>17396</v>
      </c>
      <c r="E26" s="453">
        <v>1</v>
      </c>
      <c r="F26" s="568">
        <v>10883</v>
      </c>
      <c r="G26" s="478">
        <v>0.62560358703150154</v>
      </c>
      <c r="H26" s="568"/>
      <c r="I26" s="453"/>
      <c r="J26" s="568"/>
      <c r="K26" s="453"/>
      <c r="L26" s="568"/>
      <c r="M26" s="478"/>
      <c r="N26" s="568"/>
      <c r="O26" s="453"/>
      <c r="P26" s="568"/>
      <c r="Q26" s="453"/>
      <c r="R26" s="568"/>
      <c r="S26" s="569"/>
    </row>
    <row r="27" spans="1:19" ht="14.4" customHeight="1" x14ac:dyDescent="0.3">
      <c r="A27" s="571" t="s">
        <v>1170</v>
      </c>
      <c r="B27" s="568">
        <v>4709</v>
      </c>
      <c r="C27" s="453">
        <v>1.9819023569023568</v>
      </c>
      <c r="D27" s="568">
        <v>2376</v>
      </c>
      <c r="E27" s="453">
        <v>1</v>
      </c>
      <c r="F27" s="568">
        <v>11867</v>
      </c>
      <c r="G27" s="478">
        <v>4.9945286195286194</v>
      </c>
      <c r="H27" s="568"/>
      <c r="I27" s="453"/>
      <c r="J27" s="568"/>
      <c r="K27" s="453"/>
      <c r="L27" s="568"/>
      <c r="M27" s="478"/>
      <c r="N27" s="568"/>
      <c r="O27" s="453"/>
      <c r="P27" s="568"/>
      <c r="Q27" s="453"/>
      <c r="R27" s="568"/>
      <c r="S27" s="569"/>
    </row>
    <row r="28" spans="1:19" ht="14.4" customHeight="1" x14ac:dyDescent="0.3">
      <c r="A28" s="571" t="s">
        <v>1171</v>
      </c>
      <c r="B28" s="568">
        <v>41000</v>
      </c>
      <c r="C28" s="453">
        <v>0.45674308758327209</v>
      </c>
      <c r="D28" s="568">
        <v>89766</v>
      </c>
      <c r="E28" s="453">
        <v>1</v>
      </c>
      <c r="F28" s="568">
        <v>156569</v>
      </c>
      <c r="G28" s="478">
        <v>1.7441904507274468</v>
      </c>
      <c r="H28" s="568"/>
      <c r="I28" s="453"/>
      <c r="J28" s="568"/>
      <c r="K28" s="453"/>
      <c r="L28" s="568"/>
      <c r="M28" s="478"/>
      <c r="N28" s="568"/>
      <c r="O28" s="453"/>
      <c r="P28" s="568"/>
      <c r="Q28" s="453"/>
      <c r="R28" s="568"/>
      <c r="S28" s="569"/>
    </row>
    <row r="29" spans="1:19" ht="14.4" customHeight="1" x14ac:dyDescent="0.3">
      <c r="A29" s="571" t="s">
        <v>1172</v>
      </c>
      <c r="B29" s="568">
        <v>51999</v>
      </c>
      <c r="C29" s="453">
        <v>1.3414942469428821</v>
      </c>
      <c r="D29" s="568">
        <v>38762</v>
      </c>
      <c r="E29" s="453">
        <v>1</v>
      </c>
      <c r="F29" s="568">
        <v>42396</v>
      </c>
      <c r="G29" s="478">
        <v>1.0937516124039006</v>
      </c>
      <c r="H29" s="568"/>
      <c r="I29" s="453"/>
      <c r="J29" s="568"/>
      <c r="K29" s="453"/>
      <c r="L29" s="568"/>
      <c r="M29" s="478"/>
      <c r="N29" s="568"/>
      <c r="O29" s="453"/>
      <c r="P29" s="568"/>
      <c r="Q29" s="453"/>
      <c r="R29" s="568"/>
      <c r="S29" s="569"/>
    </row>
    <row r="30" spans="1:19" ht="14.4" customHeight="1" x14ac:dyDescent="0.3">
      <c r="A30" s="571" t="s">
        <v>1173</v>
      </c>
      <c r="B30" s="568">
        <v>534813</v>
      </c>
      <c r="C30" s="453">
        <v>0.79070953663004473</v>
      </c>
      <c r="D30" s="568">
        <v>676371</v>
      </c>
      <c r="E30" s="453">
        <v>1</v>
      </c>
      <c r="F30" s="568">
        <v>711903</v>
      </c>
      <c r="G30" s="478">
        <v>1.0525332990326315</v>
      </c>
      <c r="H30" s="568"/>
      <c r="I30" s="453"/>
      <c r="J30" s="568"/>
      <c r="K30" s="453"/>
      <c r="L30" s="568"/>
      <c r="M30" s="478"/>
      <c r="N30" s="568"/>
      <c r="O30" s="453"/>
      <c r="P30" s="568"/>
      <c r="Q30" s="453"/>
      <c r="R30" s="568"/>
      <c r="S30" s="569"/>
    </row>
    <row r="31" spans="1:19" ht="14.4" customHeight="1" x14ac:dyDescent="0.3">
      <c r="A31" s="571" t="s">
        <v>1174</v>
      </c>
      <c r="B31" s="568">
        <v>80626</v>
      </c>
      <c r="C31" s="453">
        <v>1.4461284594550965</v>
      </c>
      <c r="D31" s="568">
        <v>55753</v>
      </c>
      <c r="E31" s="453">
        <v>1</v>
      </c>
      <c r="F31" s="568">
        <v>72982</v>
      </c>
      <c r="G31" s="478">
        <v>1.3090237296647713</v>
      </c>
      <c r="H31" s="568"/>
      <c r="I31" s="453"/>
      <c r="J31" s="568"/>
      <c r="K31" s="453"/>
      <c r="L31" s="568"/>
      <c r="M31" s="478"/>
      <c r="N31" s="568"/>
      <c r="O31" s="453"/>
      <c r="P31" s="568"/>
      <c r="Q31" s="453"/>
      <c r="R31" s="568"/>
      <c r="S31" s="569"/>
    </row>
    <row r="32" spans="1:19" ht="14.4" customHeight="1" thickBot="1" x14ac:dyDescent="0.35">
      <c r="A32" s="572" t="s">
        <v>1175</v>
      </c>
      <c r="B32" s="570">
        <v>124469</v>
      </c>
      <c r="C32" s="459">
        <v>1.0149135681669927</v>
      </c>
      <c r="D32" s="570">
        <v>122640</v>
      </c>
      <c r="E32" s="459">
        <v>1</v>
      </c>
      <c r="F32" s="570">
        <v>209129</v>
      </c>
      <c r="G32" s="470">
        <v>1.7052266797129811</v>
      </c>
      <c r="H32" s="570"/>
      <c r="I32" s="459"/>
      <c r="J32" s="570"/>
      <c r="K32" s="459"/>
      <c r="L32" s="570"/>
      <c r="M32" s="470"/>
      <c r="N32" s="570"/>
      <c r="O32" s="459"/>
      <c r="P32" s="570"/>
      <c r="Q32" s="459"/>
      <c r="R32" s="570"/>
      <c r="S32" s="49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58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15" bestFit="1" customWidth="1"/>
    <col min="2" max="2" width="8.6640625" style="115" bestFit="1" customWidth="1"/>
    <col min="3" max="3" width="2.109375" style="115" bestFit="1" customWidth="1"/>
    <col min="4" max="4" width="8" style="115" bestFit="1" customWidth="1"/>
    <col min="5" max="5" width="52.88671875" style="115" bestFit="1" customWidth="1" collapsed="1"/>
    <col min="6" max="7" width="11.109375" style="191" hidden="1" customWidth="1" outlineLevel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5"/>
  </cols>
  <sheetData>
    <row r="1" spans="1:17" ht="18.600000000000001" customHeight="1" thickBot="1" x14ac:dyDescent="0.4">
      <c r="A1" s="326" t="s">
        <v>1206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</row>
    <row r="2" spans="1:17" ht="14.4" customHeight="1" thickBot="1" x14ac:dyDescent="0.35">
      <c r="A2" s="215" t="s">
        <v>273</v>
      </c>
      <c r="B2" s="116"/>
      <c r="C2" s="116"/>
      <c r="D2" s="116"/>
      <c r="E2" s="116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24306</v>
      </c>
      <c r="G3" s="89">
        <f t="shared" si="0"/>
        <v>4829438</v>
      </c>
      <c r="H3" s="89"/>
      <c r="I3" s="89"/>
      <c r="J3" s="89">
        <f t="shared" si="0"/>
        <v>28832</v>
      </c>
      <c r="K3" s="89">
        <f t="shared" si="0"/>
        <v>6309495</v>
      </c>
      <c r="L3" s="89"/>
      <c r="M3" s="89"/>
      <c r="N3" s="89">
        <f t="shared" si="0"/>
        <v>30723</v>
      </c>
      <c r="O3" s="89">
        <f t="shared" si="0"/>
        <v>7207487</v>
      </c>
      <c r="P3" s="67">
        <f>IF(K3=0,0,O3/K3)</f>
        <v>1.1423239102337033</v>
      </c>
      <c r="Q3" s="90">
        <f>IF(N3=0,0,O3/N3)</f>
        <v>234.59580770107087</v>
      </c>
    </row>
    <row r="4" spans="1:17" ht="14.4" customHeight="1" x14ac:dyDescent="0.3">
      <c r="A4" s="394" t="s">
        <v>56</v>
      </c>
      <c r="B4" s="392" t="s">
        <v>82</v>
      </c>
      <c r="C4" s="394" t="s">
        <v>83</v>
      </c>
      <c r="D4" s="403" t="s">
        <v>84</v>
      </c>
      <c r="E4" s="395" t="s">
        <v>57</v>
      </c>
      <c r="F4" s="401">
        <v>2015</v>
      </c>
      <c r="G4" s="402"/>
      <c r="H4" s="91"/>
      <c r="I4" s="91"/>
      <c r="J4" s="401">
        <v>2016</v>
      </c>
      <c r="K4" s="402"/>
      <c r="L4" s="91"/>
      <c r="M4" s="91"/>
      <c r="N4" s="401">
        <v>2017</v>
      </c>
      <c r="O4" s="402"/>
      <c r="P4" s="404" t="s">
        <v>2</v>
      </c>
      <c r="Q4" s="393" t="s">
        <v>85</v>
      </c>
    </row>
    <row r="5" spans="1:17" ht="14.4" customHeight="1" thickBot="1" x14ac:dyDescent="0.35">
      <c r="A5" s="557"/>
      <c r="B5" s="555"/>
      <c r="C5" s="557"/>
      <c r="D5" s="573"/>
      <c r="E5" s="559"/>
      <c r="F5" s="574" t="s">
        <v>59</v>
      </c>
      <c r="G5" s="575" t="s">
        <v>14</v>
      </c>
      <c r="H5" s="576"/>
      <c r="I5" s="576"/>
      <c r="J5" s="574" t="s">
        <v>59</v>
      </c>
      <c r="K5" s="575" t="s">
        <v>14</v>
      </c>
      <c r="L5" s="576"/>
      <c r="M5" s="576"/>
      <c r="N5" s="574" t="s">
        <v>59</v>
      </c>
      <c r="O5" s="575" t="s">
        <v>14</v>
      </c>
      <c r="P5" s="577"/>
      <c r="Q5" s="564"/>
    </row>
    <row r="6" spans="1:17" ht="14.4" customHeight="1" x14ac:dyDescent="0.3">
      <c r="A6" s="446" t="s">
        <v>1176</v>
      </c>
      <c r="B6" s="447" t="s">
        <v>1028</v>
      </c>
      <c r="C6" s="447" t="s">
        <v>1029</v>
      </c>
      <c r="D6" s="447" t="s">
        <v>1030</v>
      </c>
      <c r="E6" s="447" t="s">
        <v>1031</v>
      </c>
      <c r="F6" s="450">
        <v>112</v>
      </c>
      <c r="G6" s="450">
        <v>18032</v>
      </c>
      <c r="H6" s="450">
        <v>1.184445612191277</v>
      </c>
      <c r="I6" s="450">
        <v>161</v>
      </c>
      <c r="J6" s="450">
        <v>88</v>
      </c>
      <c r="K6" s="450">
        <v>15224</v>
      </c>
      <c r="L6" s="450">
        <v>1</v>
      </c>
      <c r="M6" s="450">
        <v>173</v>
      </c>
      <c r="N6" s="450">
        <v>188</v>
      </c>
      <c r="O6" s="450">
        <v>32524</v>
      </c>
      <c r="P6" s="469">
        <v>2.1363636363636362</v>
      </c>
      <c r="Q6" s="451">
        <v>173</v>
      </c>
    </row>
    <row r="7" spans="1:17" ht="14.4" customHeight="1" x14ac:dyDescent="0.3">
      <c r="A7" s="452" t="s">
        <v>1176</v>
      </c>
      <c r="B7" s="453" t="s">
        <v>1028</v>
      </c>
      <c r="C7" s="453" t="s">
        <v>1029</v>
      </c>
      <c r="D7" s="453" t="s">
        <v>1044</v>
      </c>
      <c r="E7" s="453" t="s">
        <v>1045</v>
      </c>
      <c r="F7" s="456">
        <v>4</v>
      </c>
      <c r="G7" s="456">
        <v>4676</v>
      </c>
      <c r="H7" s="456">
        <v>0.79727195225916458</v>
      </c>
      <c r="I7" s="456">
        <v>1169</v>
      </c>
      <c r="J7" s="456">
        <v>5</v>
      </c>
      <c r="K7" s="456">
        <v>5865</v>
      </c>
      <c r="L7" s="456">
        <v>1</v>
      </c>
      <c r="M7" s="456">
        <v>1173</v>
      </c>
      <c r="N7" s="456">
        <v>12</v>
      </c>
      <c r="O7" s="456">
        <v>12840</v>
      </c>
      <c r="P7" s="478">
        <v>2.1892583120204603</v>
      </c>
      <c r="Q7" s="457">
        <v>1070</v>
      </c>
    </row>
    <row r="8" spans="1:17" ht="14.4" customHeight="1" x14ac:dyDescent="0.3">
      <c r="A8" s="452" t="s">
        <v>1176</v>
      </c>
      <c r="B8" s="453" t="s">
        <v>1028</v>
      </c>
      <c r="C8" s="453" t="s">
        <v>1029</v>
      </c>
      <c r="D8" s="453" t="s">
        <v>1046</v>
      </c>
      <c r="E8" s="453" t="s">
        <v>1047</v>
      </c>
      <c r="F8" s="456">
        <v>226</v>
      </c>
      <c r="G8" s="456">
        <v>9040</v>
      </c>
      <c r="H8" s="456">
        <v>1.0351540135119661</v>
      </c>
      <c r="I8" s="456">
        <v>40</v>
      </c>
      <c r="J8" s="456">
        <v>213</v>
      </c>
      <c r="K8" s="456">
        <v>8733</v>
      </c>
      <c r="L8" s="456">
        <v>1</v>
      </c>
      <c r="M8" s="456">
        <v>41</v>
      </c>
      <c r="N8" s="456">
        <v>199</v>
      </c>
      <c r="O8" s="456">
        <v>9154</v>
      </c>
      <c r="P8" s="478">
        <v>1.0482079468682011</v>
      </c>
      <c r="Q8" s="457">
        <v>46</v>
      </c>
    </row>
    <row r="9" spans="1:17" ht="14.4" customHeight="1" x14ac:dyDescent="0.3">
      <c r="A9" s="452" t="s">
        <v>1176</v>
      </c>
      <c r="B9" s="453" t="s">
        <v>1028</v>
      </c>
      <c r="C9" s="453" t="s">
        <v>1029</v>
      </c>
      <c r="D9" s="453" t="s">
        <v>1048</v>
      </c>
      <c r="E9" s="453" t="s">
        <v>1049</v>
      </c>
      <c r="F9" s="456">
        <v>21</v>
      </c>
      <c r="G9" s="456">
        <v>8043</v>
      </c>
      <c r="H9" s="456">
        <v>10.47265625</v>
      </c>
      <c r="I9" s="456">
        <v>383</v>
      </c>
      <c r="J9" s="456">
        <v>2</v>
      </c>
      <c r="K9" s="456">
        <v>768</v>
      </c>
      <c r="L9" s="456">
        <v>1</v>
      </c>
      <c r="M9" s="456">
        <v>384</v>
      </c>
      <c r="N9" s="456">
        <v>6</v>
      </c>
      <c r="O9" s="456">
        <v>2082</v>
      </c>
      <c r="P9" s="478">
        <v>2.7109375</v>
      </c>
      <c r="Q9" s="457">
        <v>347</v>
      </c>
    </row>
    <row r="10" spans="1:17" ht="14.4" customHeight="1" x14ac:dyDescent="0.3">
      <c r="A10" s="452" t="s">
        <v>1176</v>
      </c>
      <c r="B10" s="453" t="s">
        <v>1028</v>
      </c>
      <c r="C10" s="453" t="s">
        <v>1029</v>
      </c>
      <c r="D10" s="453" t="s">
        <v>1050</v>
      </c>
      <c r="E10" s="453" t="s">
        <v>1051</v>
      </c>
      <c r="F10" s="456">
        <v>18</v>
      </c>
      <c r="G10" s="456">
        <v>666</v>
      </c>
      <c r="H10" s="456">
        <v>3</v>
      </c>
      <c r="I10" s="456">
        <v>37</v>
      </c>
      <c r="J10" s="456">
        <v>6</v>
      </c>
      <c r="K10" s="456">
        <v>222</v>
      </c>
      <c r="L10" s="456">
        <v>1</v>
      </c>
      <c r="M10" s="456">
        <v>37</v>
      </c>
      <c r="N10" s="456">
        <v>2</v>
      </c>
      <c r="O10" s="456">
        <v>102</v>
      </c>
      <c r="P10" s="478">
        <v>0.45945945945945948</v>
      </c>
      <c r="Q10" s="457">
        <v>51</v>
      </c>
    </row>
    <row r="11" spans="1:17" ht="14.4" customHeight="1" x14ac:dyDescent="0.3">
      <c r="A11" s="452" t="s">
        <v>1176</v>
      </c>
      <c r="B11" s="453" t="s">
        <v>1028</v>
      </c>
      <c r="C11" s="453" t="s">
        <v>1029</v>
      </c>
      <c r="D11" s="453" t="s">
        <v>1054</v>
      </c>
      <c r="E11" s="453" t="s">
        <v>1055</v>
      </c>
      <c r="F11" s="456">
        <v>24</v>
      </c>
      <c r="G11" s="456">
        <v>10680</v>
      </c>
      <c r="H11" s="456">
        <v>0.66517189835575485</v>
      </c>
      <c r="I11" s="456">
        <v>445</v>
      </c>
      <c r="J11" s="456">
        <v>36</v>
      </c>
      <c r="K11" s="456">
        <v>16056</v>
      </c>
      <c r="L11" s="456">
        <v>1</v>
      </c>
      <c r="M11" s="456">
        <v>446</v>
      </c>
      <c r="N11" s="456">
        <v>95</v>
      </c>
      <c r="O11" s="456">
        <v>35815</v>
      </c>
      <c r="P11" s="478">
        <v>2.2306302939711014</v>
      </c>
      <c r="Q11" s="457">
        <v>377</v>
      </c>
    </row>
    <row r="12" spans="1:17" ht="14.4" customHeight="1" x14ac:dyDescent="0.3">
      <c r="A12" s="452" t="s">
        <v>1176</v>
      </c>
      <c r="B12" s="453" t="s">
        <v>1028</v>
      </c>
      <c r="C12" s="453" t="s">
        <v>1029</v>
      </c>
      <c r="D12" s="453" t="s">
        <v>1056</v>
      </c>
      <c r="E12" s="453" t="s">
        <v>1057</v>
      </c>
      <c r="F12" s="456">
        <v>4</v>
      </c>
      <c r="G12" s="456">
        <v>164</v>
      </c>
      <c r="H12" s="456">
        <v>0.97619047619047616</v>
      </c>
      <c r="I12" s="456">
        <v>41</v>
      </c>
      <c r="J12" s="456">
        <v>4</v>
      </c>
      <c r="K12" s="456">
        <v>168</v>
      </c>
      <c r="L12" s="456">
        <v>1</v>
      </c>
      <c r="M12" s="456">
        <v>42</v>
      </c>
      <c r="N12" s="456">
        <v>1</v>
      </c>
      <c r="O12" s="456">
        <v>34</v>
      </c>
      <c r="P12" s="478">
        <v>0.20238095238095238</v>
      </c>
      <c r="Q12" s="457">
        <v>34</v>
      </c>
    </row>
    <row r="13" spans="1:17" ht="14.4" customHeight="1" x14ac:dyDescent="0.3">
      <c r="A13" s="452" t="s">
        <v>1176</v>
      </c>
      <c r="B13" s="453" t="s">
        <v>1028</v>
      </c>
      <c r="C13" s="453" t="s">
        <v>1029</v>
      </c>
      <c r="D13" s="453" t="s">
        <v>1058</v>
      </c>
      <c r="E13" s="453" t="s">
        <v>1059</v>
      </c>
      <c r="F13" s="456">
        <v>14</v>
      </c>
      <c r="G13" s="456">
        <v>6874</v>
      </c>
      <c r="H13" s="456">
        <v>3.4928861788617884</v>
      </c>
      <c r="I13" s="456">
        <v>491</v>
      </c>
      <c r="J13" s="456">
        <v>4</v>
      </c>
      <c r="K13" s="456">
        <v>1968</v>
      </c>
      <c r="L13" s="456">
        <v>1</v>
      </c>
      <c r="M13" s="456">
        <v>492</v>
      </c>
      <c r="N13" s="456">
        <v>15</v>
      </c>
      <c r="O13" s="456">
        <v>7860</v>
      </c>
      <c r="P13" s="478">
        <v>3.9939024390243905</v>
      </c>
      <c r="Q13" s="457">
        <v>524</v>
      </c>
    </row>
    <row r="14" spans="1:17" ht="14.4" customHeight="1" x14ac:dyDescent="0.3">
      <c r="A14" s="452" t="s">
        <v>1176</v>
      </c>
      <c r="B14" s="453" t="s">
        <v>1028</v>
      </c>
      <c r="C14" s="453" t="s">
        <v>1029</v>
      </c>
      <c r="D14" s="453" t="s">
        <v>1060</v>
      </c>
      <c r="E14" s="453" t="s">
        <v>1061</v>
      </c>
      <c r="F14" s="456">
        <v>4</v>
      </c>
      <c r="G14" s="456">
        <v>124</v>
      </c>
      <c r="H14" s="456">
        <v>0.2857142857142857</v>
      </c>
      <c r="I14" s="456">
        <v>31</v>
      </c>
      <c r="J14" s="456">
        <v>14</v>
      </c>
      <c r="K14" s="456">
        <v>434</v>
      </c>
      <c r="L14" s="456">
        <v>1</v>
      </c>
      <c r="M14" s="456">
        <v>31</v>
      </c>
      <c r="N14" s="456">
        <v>8</v>
      </c>
      <c r="O14" s="456">
        <v>456</v>
      </c>
      <c r="P14" s="478">
        <v>1.0506912442396312</v>
      </c>
      <c r="Q14" s="457">
        <v>57</v>
      </c>
    </row>
    <row r="15" spans="1:17" ht="14.4" customHeight="1" x14ac:dyDescent="0.3">
      <c r="A15" s="452" t="s">
        <v>1176</v>
      </c>
      <c r="B15" s="453" t="s">
        <v>1028</v>
      </c>
      <c r="C15" s="453" t="s">
        <v>1029</v>
      </c>
      <c r="D15" s="453" t="s">
        <v>1062</v>
      </c>
      <c r="E15" s="453" t="s">
        <v>1063</v>
      </c>
      <c r="F15" s="456"/>
      <c r="G15" s="456"/>
      <c r="H15" s="456"/>
      <c r="I15" s="456"/>
      <c r="J15" s="456">
        <v>4</v>
      </c>
      <c r="K15" s="456">
        <v>832</v>
      </c>
      <c r="L15" s="456">
        <v>1</v>
      </c>
      <c r="M15" s="456">
        <v>208</v>
      </c>
      <c r="N15" s="456"/>
      <c r="O15" s="456"/>
      <c r="P15" s="478"/>
      <c r="Q15" s="457"/>
    </row>
    <row r="16" spans="1:17" ht="14.4" customHeight="1" x14ac:dyDescent="0.3">
      <c r="A16" s="452" t="s">
        <v>1176</v>
      </c>
      <c r="B16" s="453" t="s">
        <v>1028</v>
      </c>
      <c r="C16" s="453" t="s">
        <v>1029</v>
      </c>
      <c r="D16" s="453" t="s">
        <v>1064</v>
      </c>
      <c r="E16" s="453" t="s">
        <v>1065</v>
      </c>
      <c r="F16" s="456"/>
      <c r="G16" s="456"/>
      <c r="H16" s="456"/>
      <c r="I16" s="456"/>
      <c r="J16" s="456">
        <v>4</v>
      </c>
      <c r="K16" s="456">
        <v>1536</v>
      </c>
      <c r="L16" s="456">
        <v>1</v>
      </c>
      <c r="M16" s="456">
        <v>384</v>
      </c>
      <c r="N16" s="456"/>
      <c r="O16" s="456"/>
      <c r="P16" s="478"/>
      <c r="Q16" s="457"/>
    </row>
    <row r="17" spans="1:17" ht="14.4" customHeight="1" x14ac:dyDescent="0.3">
      <c r="A17" s="452" t="s">
        <v>1176</v>
      </c>
      <c r="B17" s="453" t="s">
        <v>1028</v>
      </c>
      <c r="C17" s="453" t="s">
        <v>1029</v>
      </c>
      <c r="D17" s="453" t="s">
        <v>1068</v>
      </c>
      <c r="E17" s="453" t="s">
        <v>1069</v>
      </c>
      <c r="F17" s="456">
        <v>10</v>
      </c>
      <c r="G17" s="456">
        <v>1310</v>
      </c>
      <c r="H17" s="456">
        <v>4.781021897810219</v>
      </c>
      <c r="I17" s="456">
        <v>131</v>
      </c>
      <c r="J17" s="456">
        <v>2</v>
      </c>
      <c r="K17" s="456">
        <v>274</v>
      </c>
      <c r="L17" s="456">
        <v>1</v>
      </c>
      <c r="M17" s="456">
        <v>137</v>
      </c>
      <c r="N17" s="456"/>
      <c r="O17" s="456"/>
      <c r="P17" s="478"/>
      <c r="Q17" s="457"/>
    </row>
    <row r="18" spans="1:17" ht="14.4" customHeight="1" x14ac:dyDescent="0.3">
      <c r="A18" s="452" t="s">
        <v>1176</v>
      </c>
      <c r="B18" s="453" t="s">
        <v>1028</v>
      </c>
      <c r="C18" s="453" t="s">
        <v>1029</v>
      </c>
      <c r="D18" s="453" t="s">
        <v>1074</v>
      </c>
      <c r="E18" s="453" t="s">
        <v>1075</v>
      </c>
      <c r="F18" s="456">
        <v>141</v>
      </c>
      <c r="G18" s="456">
        <v>2256</v>
      </c>
      <c r="H18" s="456">
        <v>0.81414651750270661</v>
      </c>
      <c r="I18" s="456">
        <v>16</v>
      </c>
      <c r="J18" s="456">
        <v>163</v>
      </c>
      <c r="K18" s="456">
        <v>2771</v>
      </c>
      <c r="L18" s="456">
        <v>1</v>
      </c>
      <c r="M18" s="456">
        <v>17</v>
      </c>
      <c r="N18" s="456">
        <v>136</v>
      </c>
      <c r="O18" s="456">
        <v>2312</v>
      </c>
      <c r="P18" s="478">
        <v>0.83435582822085885</v>
      </c>
      <c r="Q18" s="457">
        <v>17</v>
      </c>
    </row>
    <row r="19" spans="1:17" ht="14.4" customHeight="1" x14ac:dyDescent="0.3">
      <c r="A19" s="452" t="s">
        <v>1176</v>
      </c>
      <c r="B19" s="453" t="s">
        <v>1028</v>
      </c>
      <c r="C19" s="453" t="s">
        <v>1029</v>
      </c>
      <c r="D19" s="453" t="s">
        <v>1076</v>
      </c>
      <c r="E19" s="453" t="s">
        <v>1077</v>
      </c>
      <c r="F19" s="456">
        <v>4</v>
      </c>
      <c r="G19" s="456">
        <v>544</v>
      </c>
      <c r="H19" s="456"/>
      <c r="I19" s="456">
        <v>136</v>
      </c>
      <c r="J19" s="456"/>
      <c r="K19" s="456"/>
      <c r="L19" s="456"/>
      <c r="M19" s="456"/>
      <c r="N19" s="456">
        <v>3</v>
      </c>
      <c r="O19" s="456">
        <v>429</v>
      </c>
      <c r="P19" s="478"/>
      <c r="Q19" s="457">
        <v>143</v>
      </c>
    </row>
    <row r="20" spans="1:17" ht="14.4" customHeight="1" x14ac:dyDescent="0.3">
      <c r="A20" s="452" t="s">
        <v>1176</v>
      </c>
      <c r="B20" s="453" t="s">
        <v>1028</v>
      </c>
      <c r="C20" s="453" t="s">
        <v>1029</v>
      </c>
      <c r="D20" s="453" t="s">
        <v>1078</v>
      </c>
      <c r="E20" s="453" t="s">
        <v>1079</v>
      </c>
      <c r="F20" s="456">
        <v>9</v>
      </c>
      <c r="G20" s="456">
        <v>927</v>
      </c>
      <c r="H20" s="456">
        <v>3</v>
      </c>
      <c r="I20" s="456">
        <v>103</v>
      </c>
      <c r="J20" s="456">
        <v>3</v>
      </c>
      <c r="K20" s="456">
        <v>309</v>
      </c>
      <c r="L20" s="456">
        <v>1</v>
      </c>
      <c r="M20" s="456">
        <v>103</v>
      </c>
      <c r="N20" s="456">
        <v>7</v>
      </c>
      <c r="O20" s="456">
        <v>455</v>
      </c>
      <c r="P20" s="478">
        <v>1.4724919093851132</v>
      </c>
      <c r="Q20" s="457">
        <v>65</v>
      </c>
    </row>
    <row r="21" spans="1:17" ht="14.4" customHeight="1" x14ac:dyDescent="0.3">
      <c r="A21" s="452" t="s">
        <v>1176</v>
      </c>
      <c r="B21" s="453" t="s">
        <v>1028</v>
      </c>
      <c r="C21" s="453" t="s">
        <v>1029</v>
      </c>
      <c r="D21" s="453" t="s">
        <v>1082</v>
      </c>
      <c r="E21" s="453" t="s">
        <v>1083</v>
      </c>
      <c r="F21" s="456">
        <v>115</v>
      </c>
      <c r="G21" s="456">
        <v>13340</v>
      </c>
      <c r="H21" s="456">
        <v>0.78632478632478631</v>
      </c>
      <c r="I21" s="456">
        <v>116</v>
      </c>
      <c r="J21" s="456">
        <v>145</v>
      </c>
      <c r="K21" s="456">
        <v>16965</v>
      </c>
      <c r="L21" s="456">
        <v>1</v>
      </c>
      <c r="M21" s="456">
        <v>117</v>
      </c>
      <c r="N21" s="456">
        <v>148</v>
      </c>
      <c r="O21" s="456">
        <v>20128</v>
      </c>
      <c r="P21" s="478">
        <v>1.1864426760978486</v>
      </c>
      <c r="Q21" s="457">
        <v>136</v>
      </c>
    </row>
    <row r="22" spans="1:17" ht="14.4" customHeight="1" x14ac:dyDescent="0.3">
      <c r="A22" s="452" t="s">
        <v>1176</v>
      </c>
      <c r="B22" s="453" t="s">
        <v>1028</v>
      </c>
      <c r="C22" s="453" t="s">
        <v>1029</v>
      </c>
      <c r="D22" s="453" t="s">
        <v>1084</v>
      </c>
      <c r="E22" s="453" t="s">
        <v>1085</v>
      </c>
      <c r="F22" s="456">
        <v>29</v>
      </c>
      <c r="G22" s="456">
        <v>2465</v>
      </c>
      <c r="H22" s="456">
        <v>1.3543956043956045</v>
      </c>
      <c r="I22" s="456">
        <v>85</v>
      </c>
      <c r="J22" s="456">
        <v>20</v>
      </c>
      <c r="K22" s="456">
        <v>1820</v>
      </c>
      <c r="L22" s="456">
        <v>1</v>
      </c>
      <c r="M22" s="456">
        <v>91</v>
      </c>
      <c r="N22" s="456">
        <v>59</v>
      </c>
      <c r="O22" s="456">
        <v>5369</v>
      </c>
      <c r="P22" s="478">
        <v>2.95</v>
      </c>
      <c r="Q22" s="457">
        <v>91</v>
      </c>
    </row>
    <row r="23" spans="1:17" ht="14.4" customHeight="1" x14ac:dyDescent="0.3">
      <c r="A23" s="452" t="s">
        <v>1176</v>
      </c>
      <c r="B23" s="453" t="s">
        <v>1028</v>
      </c>
      <c r="C23" s="453" t="s">
        <v>1029</v>
      </c>
      <c r="D23" s="453" t="s">
        <v>1086</v>
      </c>
      <c r="E23" s="453" t="s">
        <v>1087</v>
      </c>
      <c r="F23" s="456"/>
      <c r="G23" s="456"/>
      <c r="H23" s="456"/>
      <c r="I23" s="456"/>
      <c r="J23" s="456">
        <v>1</v>
      </c>
      <c r="K23" s="456">
        <v>99</v>
      </c>
      <c r="L23" s="456">
        <v>1</v>
      </c>
      <c r="M23" s="456">
        <v>99</v>
      </c>
      <c r="N23" s="456"/>
      <c r="O23" s="456"/>
      <c r="P23" s="478"/>
      <c r="Q23" s="457"/>
    </row>
    <row r="24" spans="1:17" ht="14.4" customHeight="1" x14ac:dyDescent="0.3">
      <c r="A24" s="452" t="s">
        <v>1176</v>
      </c>
      <c r="B24" s="453" t="s">
        <v>1028</v>
      </c>
      <c r="C24" s="453" t="s">
        <v>1029</v>
      </c>
      <c r="D24" s="453" t="s">
        <v>1088</v>
      </c>
      <c r="E24" s="453" t="s">
        <v>1089</v>
      </c>
      <c r="F24" s="456">
        <v>26</v>
      </c>
      <c r="G24" s="456">
        <v>546</v>
      </c>
      <c r="H24" s="456">
        <v>2</v>
      </c>
      <c r="I24" s="456">
        <v>21</v>
      </c>
      <c r="J24" s="456">
        <v>13</v>
      </c>
      <c r="K24" s="456">
        <v>273</v>
      </c>
      <c r="L24" s="456">
        <v>1</v>
      </c>
      <c r="M24" s="456">
        <v>21</v>
      </c>
      <c r="N24" s="456">
        <v>2</v>
      </c>
      <c r="O24" s="456">
        <v>132</v>
      </c>
      <c r="P24" s="478">
        <v>0.48351648351648352</v>
      </c>
      <c r="Q24" s="457">
        <v>66</v>
      </c>
    </row>
    <row r="25" spans="1:17" ht="14.4" customHeight="1" x14ac:dyDescent="0.3">
      <c r="A25" s="452" t="s">
        <v>1176</v>
      </c>
      <c r="B25" s="453" t="s">
        <v>1028</v>
      </c>
      <c r="C25" s="453" t="s">
        <v>1029</v>
      </c>
      <c r="D25" s="453" t="s">
        <v>1090</v>
      </c>
      <c r="E25" s="453" t="s">
        <v>1091</v>
      </c>
      <c r="F25" s="456">
        <v>209</v>
      </c>
      <c r="G25" s="456">
        <v>101783</v>
      </c>
      <c r="H25" s="456">
        <v>0.62634150543986611</v>
      </c>
      <c r="I25" s="456">
        <v>487</v>
      </c>
      <c r="J25" s="456">
        <v>333</v>
      </c>
      <c r="K25" s="456">
        <v>162504</v>
      </c>
      <c r="L25" s="456">
        <v>1</v>
      </c>
      <c r="M25" s="456">
        <v>488</v>
      </c>
      <c r="N25" s="456">
        <v>176</v>
      </c>
      <c r="O25" s="456">
        <v>57728</v>
      </c>
      <c r="P25" s="478">
        <v>0.35524048638802735</v>
      </c>
      <c r="Q25" s="457">
        <v>328</v>
      </c>
    </row>
    <row r="26" spans="1:17" ht="14.4" customHeight="1" x14ac:dyDescent="0.3">
      <c r="A26" s="452" t="s">
        <v>1176</v>
      </c>
      <c r="B26" s="453" t="s">
        <v>1028</v>
      </c>
      <c r="C26" s="453" t="s">
        <v>1029</v>
      </c>
      <c r="D26" s="453" t="s">
        <v>1098</v>
      </c>
      <c r="E26" s="453" t="s">
        <v>1099</v>
      </c>
      <c r="F26" s="456">
        <v>23</v>
      </c>
      <c r="G26" s="456">
        <v>943</v>
      </c>
      <c r="H26" s="456">
        <v>0.7931034482758621</v>
      </c>
      <c r="I26" s="456">
        <v>41</v>
      </c>
      <c r="J26" s="456">
        <v>29</v>
      </c>
      <c r="K26" s="456">
        <v>1189</v>
      </c>
      <c r="L26" s="456">
        <v>1</v>
      </c>
      <c r="M26" s="456">
        <v>41</v>
      </c>
      <c r="N26" s="456">
        <v>21</v>
      </c>
      <c r="O26" s="456">
        <v>1071</v>
      </c>
      <c r="P26" s="478">
        <v>0.90075693860386885</v>
      </c>
      <c r="Q26" s="457">
        <v>51</v>
      </c>
    </row>
    <row r="27" spans="1:17" ht="14.4" customHeight="1" x14ac:dyDescent="0.3">
      <c r="A27" s="452" t="s">
        <v>1176</v>
      </c>
      <c r="B27" s="453" t="s">
        <v>1028</v>
      </c>
      <c r="C27" s="453" t="s">
        <v>1029</v>
      </c>
      <c r="D27" s="453" t="s">
        <v>1106</v>
      </c>
      <c r="E27" s="453" t="s">
        <v>1107</v>
      </c>
      <c r="F27" s="456"/>
      <c r="G27" s="456"/>
      <c r="H27" s="456"/>
      <c r="I27" s="456"/>
      <c r="J27" s="456">
        <v>1</v>
      </c>
      <c r="K27" s="456">
        <v>223</v>
      </c>
      <c r="L27" s="456">
        <v>1</v>
      </c>
      <c r="M27" s="456">
        <v>223</v>
      </c>
      <c r="N27" s="456">
        <v>2</v>
      </c>
      <c r="O27" s="456">
        <v>414</v>
      </c>
      <c r="P27" s="478">
        <v>1.8565022421524664</v>
      </c>
      <c r="Q27" s="457">
        <v>207</v>
      </c>
    </row>
    <row r="28" spans="1:17" ht="14.4" customHeight="1" x14ac:dyDescent="0.3">
      <c r="A28" s="452" t="s">
        <v>1176</v>
      </c>
      <c r="B28" s="453" t="s">
        <v>1028</v>
      </c>
      <c r="C28" s="453" t="s">
        <v>1029</v>
      </c>
      <c r="D28" s="453" t="s">
        <v>1108</v>
      </c>
      <c r="E28" s="453" t="s">
        <v>1109</v>
      </c>
      <c r="F28" s="456">
        <v>1</v>
      </c>
      <c r="G28" s="456">
        <v>762</v>
      </c>
      <c r="H28" s="456">
        <v>0.49934469200524245</v>
      </c>
      <c r="I28" s="456">
        <v>762</v>
      </c>
      <c r="J28" s="456">
        <v>2</v>
      </c>
      <c r="K28" s="456">
        <v>1526</v>
      </c>
      <c r="L28" s="456">
        <v>1</v>
      </c>
      <c r="M28" s="456">
        <v>763</v>
      </c>
      <c r="N28" s="456"/>
      <c r="O28" s="456"/>
      <c r="P28" s="478"/>
      <c r="Q28" s="457"/>
    </row>
    <row r="29" spans="1:17" ht="14.4" customHeight="1" x14ac:dyDescent="0.3">
      <c r="A29" s="452" t="s">
        <v>1176</v>
      </c>
      <c r="B29" s="453" t="s">
        <v>1028</v>
      </c>
      <c r="C29" s="453" t="s">
        <v>1029</v>
      </c>
      <c r="D29" s="453" t="s">
        <v>1110</v>
      </c>
      <c r="E29" s="453" t="s">
        <v>1111</v>
      </c>
      <c r="F29" s="456">
        <v>5</v>
      </c>
      <c r="G29" s="456">
        <v>10360</v>
      </c>
      <c r="H29" s="456">
        <v>1.2263257575757576</v>
      </c>
      <c r="I29" s="456">
        <v>2072</v>
      </c>
      <c r="J29" s="456">
        <v>4</v>
      </c>
      <c r="K29" s="456">
        <v>8448</v>
      </c>
      <c r="L29" s="456">
        <v>1</v>
      </c>
      <c r="M29" s="456">
        <v>2112</v>
      </c>
      <c r="N29" s="456"/>
      <c r="O29" s="456"/>
      <c r="P29" s="478"/>
      <c r="Q29" s="457"/>
    </row>
    <row r="30" spans="1:17" ht="14.4" customHeight="1" x14ac:dyDescent="0.3">
      <c r="A30" s="452" t="s">
        <v>1176</v>
      </c>
      <c r="B30" s="453" t="s">
        <v>1028</v>
      </c>
      <c r="C30" s="453" t="s">
        <v>1029</v>
      </c>
      <c r="D30" s="453" t="s">
        <v>1112</v>
      </c>
      <c r="E30" s="453" t="s">
        <v>1113</v>
      </c>
      <c r="F30" s="456">
        <v>4</v>
      </c>
      <c r="G30" s="456">
        <v>2432</v>
      </c>
      <c r="H30" s="456">
        <v>1.9804560260586319</v>
      </c>
      <c r="I30" s="456">
        <v>608</v>
      </c>
      <c r="J30" s="456">
        <v>2</v>
      </c>
      <c r="K30" s="456">
        <v>1228</v>
      </c>
      <c r="L30" s="456">
        <v>1</v>
      </c>
      <c r="M30" s="456">
        <v>614</v>
      </c>
      <c r="N30" s="456">
        <v>5</v>
      </c>
      <c r="O30" s="456">
        <v>3060</v>
      </c>
      <c r="P30" s="478">
        <v>2.4918566775244302</v>
      </c>
      <c r="Q30" s="457">
        <v>612</v>
      </c>
    </row>
    <row r="31" spans="1:17" ht="14.4" customHeight="1" x14ac:dyDescent="0.3">
      <c r="A31" s="452" t="s">
        <v>1176</v>
      </c>
      <c r="B31" s="453" t="s">
        <v>1028</v>
      </c>
      <c r="C31" s="453" t="s">
        <v>1029</v>
      </c>
      <c r="D31" s="453" t="s">
        <v>1130</v>
      </c>
      <c r="E31" s="453" t="s">
        <v>1131</v>
      </c>
      <c r="F31" s="456">
        <v>6</v>
      </c>
      <c r="G31" s="456">
        <v>912</v>
      </c>
      <c r="H31" s="456"/>
      <c r="I31" s="456">
        <v>152</v>
      </c>
      <c r="J31" s="456"/>
      <c r="K31" s="456"/>
      <c r="L31" s="456"/>
      <c r="M31" s="456"/>
      <c r="N31" s="456"/>
      <c r="O31" s="456"/>
      <c r="P31" s="478"/>
      <c r="Q31" s="457"/>
    </row>
    <row r="32" spans="1:17" ht="14.4" customHeight="1" x14ac:dyDescent="0.3">
      <c r="A32" s="452" t="s">
        <v>1176</v>
      </c>
      <c r="B32" s="453" t="s">
        <v>1028</v>
      </c>
      <c r="C32" s="453" t="s">
        <v>1029</v>
      </c>
      <c r="D32" s="453" t="s">
        <v>1138</v>
      </c>
      <c r="E32" s="453" t="s">
        <v>1139</v>
      </c>
      <c r="F32" s="456"/>
      <c r="G32" s="456"/>
      <c r="H32" s="456"/>
      <c r="I32" s="456"/>
      <c r="J32" s="456"/>
      <c r="K32" s="456"/>
      <c r="L32" s="456"/>
      <c r="M32" s="456"/>
      <c r="N32" s="456">
        <v>1</v>
      </c>
      <c r="O32" s="456">
        <v>36</v>
      </c>
      <c r="P32" s="478"/>
      <c r="Q32" s="457">
        <v>36</v>
      </c>
    </row>
    <row r="33" spans="1:17" ht="14.4" customHeight="1" x14ac:dyDescent="0.3">
      <c r="A33" s="452" t="s">
        <v>1176</v>
      </c>
      <c r="B33" s="453" t="s">
        <v>1028</v>
      </c>
      <c r="C33" s="453" t="s">
        <v>1029</v>
      </c>
      <c r="D33" s="453" t="s">
        <v>1144</v>
      </c>
      <c r="E33" s="453"/>
      <c r="F33" s="456"/>
      <c r="G33" s="456"/>
      <c r="H33" s="456"/>
      <c r="I33" s="456"/>
      <c r="J33" s="456"/>
      <c r="K33" s="456"/>
      <c r="L33" s="456"/>
      <c r="M33" s="456"/>
      <c r="N33" s="456">
        <v>4</v>
      </c>
      <c r="O33" s="456">
        <v>5972</v>
      </c>
      <c r="P33" s="478"/>
      <c r="Q33" s="457">
        <v>1493</v>
      </c>
    </row>
    <row r="34" spans="1:17" ht="14.4" customHeight="1" x14ac:dyDescent="0.3">
      <c r="A34" s="452" t="s">
        <v>1176</v>
      </c>
      <c r="B34" s="453" t="s">
        <v>1028</v>
      </c>
      <c r="C34" s="453" t="s">
        <v>1029</v>
      </c>
      <c r="D34" s="453" t="s">
        <v>1146</v>
      </c>
      <c r="E34" s="453"/>
      <c r="F34" s="456"/>
      <c r="G34" s="456"/>
      <c r="H34" s="456"/>
      <c r="I34" s="456"/>
      <c r="J34" s="456"/>
      <c r="K34" s="456"/>
      <c r="L34" s="456"/>
      <c r="M34" s="456"/>
      <c r="N34" s="456">
        <v>2</v>
      </c>
      <c r="O34" s="456">
        <v>1774</v>
      </c>
      <c r="P34" s="478"/>
      <c r="Q34" s="457">
        <v>887</v>
      </c>
    </row>
    <row r="35" spans="1:17" ht="14.4" customHeight="1" x14ac:dyDescent="0.3">
      <c r="A35" s="452" t="s">
        <v>1177</v>
      </c>
      <c r="B35" s="453" t="s">
        <v>1028</v>
      </c>
      <c r="C35" s="453" t="s">
        <v>1029</v>
      </c>
      <c r="D35" s="453" t="s">
        <v>1030</v>
      </c>
      <c r="E35" s="453" t="s">
        <v>1031</v>
      </c>
      <c r="F35" s="456">
        <v>243</v>
      </c>
      <c r="G35" s="456">
        <v>39123</v>
      </c>
      <c r="H35" s="456">
        <v>0.99186188013386067</v>
      </c>
      <c r="I35" s="456">
        <v>161</v>
      </c>
      <c r="J35" s="456">
        <v>228</v>
      </c>
      <c r="K35" s="456">
        <v>39444</v>
      </c>
      <c r="L35" s="456">
        <v>1</v>
      </c>
      <c r="M35" s="456">
        <v>173</v>
      </c>
      <c r="N35" s="456">
        <v>193</v>
      </c>
      <c r="O35" s="456">
        <v>33389</v>
      </c>
      <c r="P35" s="478">
        <v>0.84649122807017541</v>
      </c>
      <c r="Q35" s="457">
        <v>173</v>
      </c>
    </row>
    <row r="36" spans="1:17" ht="14.4" customHeight="1" x14ac:dyDescent="0.3">
      <c r="A36" s="452" t="s">
        <v>1177</v>
      </c>
      <c r="B36" s="453" t="s">
        <v>1028</v>
      </c>
      <c r="C36" s="453" t="s">
        <v>1029</v>
      </c>
      <c r="D36" s="453" t="s">
        <v>1044</v>
      </c>
      <c r="E36" s="453" t="s">
        <v>1045</v>
      </c>
      <c r="F36" s="456"/>
      <c r="G36" s="456"/>
      <c r="H36" s="456"/>
      <c r="I36" s="456"/>
      <c r="J36" s="456">
        <v>4</v>
      </c>
      <c r="K36" s="456">
        <v>4692</v>
      </c>
      <c r="L36" s="456">
        <v>1</v>
      </c>
      <c r="M36" s="456">
        <v>1173</v>
      </c>
      <c r="N36" s="456">
        <v>20</v>
      </c>
      <c r="O36" s="456">
        <v>21400</v>
      </c>
      <c r="P36" s="478">
        <v>4.5609548167092928</v>
      </c>
      <c r="Q36" s="457">
        <v>1070</v>
      </c>
    </row>
    <row r="37" spans="1:17" ht="14.4" customHeight="1" x14ac:dyDescent="0.3">
      <c r="A37" s="452" t="s">
        <v>1177</v>
      </c>
      <c r="B37" s="453" t="s">
        <v>1028</v>
      </c>
      <c r="C37" s="453" t="s">
        <v>1029</v>
      </c>
      <c r="D37" s="453" t="s">
        <v>1046</v>
      </c>
      <c r="E37" s="453" t="s">
        <v>1047</v>
      </c>
      <c r="F37" s="456">
        <v>100</v>
      </c>
      <c r="G37" s="456">
        <v>4000</v>
      </c>
      <c r="H37" s="456">
        <v>0.7335411699981661</v>
      </c>
      <c r="I37" s="456">
        <v>40</v>
      </c>
      <c r="J37" s="456">
        <v>133</v>
      </c>
      <c r="K37" s="456">
        <v>5453</v>
      </c>
      <c r="L37" s="456">
        <v>1</v>
      </c>
      <c r="M37" s="456">
        <v>41</v>
      </c>
      <c r="N37" s="456">
        <v>75</v>
      </c>
      <c r="O37" s="456">
        <v>3450</v>
      </c>
      <c r="P37" s="478">
        <v>0.63267925912341827</v>
      </c>
      <c r="Q37" s="457">
        <v>46</v>
      </c>
    </row>
    <row r="38" spans="1:17" ht="14.4" customHeight="1" x14ac:dyDescent="0.3">
      <c r="A38" s="452" t="s">
        <v>1177</v>
      </c>
      <c r="B38" s="453" t="s">
        <v>1028</v>
      </c>
      <c r="C38" s="453" t="s">
        <v>1029</v>
      </c>
      <c r="D38" s="453" t="s">
        <v>1048</v>
      </c>
      <c r="E38" s="453" t="s">
        <v>1049</v>
      </c>
      <c r="F38" s="456">
        <v>45</v>
      </c>
      <c r="G38" s="456">
        <v>17235</v>
      </c>
      <c r="H38" s="456">
        <v>1.2823660714285714</v>
      </c>
      <c r="I38" s="456">
        <v>383</v>
      </c>
      <c r="J38" s="456">
        <v>35</v>
      </c>
      <c r="K38" s="456">
        <v>13440</v>
      </c>
      <c r="L38" s="456">
        <v>1</v>
      </c>
      <c r="M38" s="456">
        <v>384</v>
      </c>
      <c r="N38" s="456">
        <v>54</v>
      </c>
      <c r="O38" s="456">
        <v>18738</v>
      </c>
      <c r="P38" s="478">
        <v>1.3941964285714286</v>
      </c>
      <c r="Q38" s="457">
        <v>347</v>
      </c>
    </row>
    <row r="39" spans="1:17" ht="14.4" customHeight="1" x14ac:dyDescent="0.3">
      <c r="A39" s="452" t="s">
        <v>1177</v>
      </c>
      <c r="B39" s="453" t="s">
        <v>1028</v>
      </c>
      <c r="C39" s="453" t="s">
        <v>1029</v>
      </c>
      <c r="D39" s="453" t="s">
        <v>1050</v>
      </c>
      <c r="E39" s="453" t="s">
        <v>1051</v>
      </c>
      <c r="F39" s="456">
        <v>134</v>
      </c>
      <c r="G39" s="456">
        <v>4958</v>
      </c>
      <c r="H39" s="456">
        <v>0.61187214611872143</v>
      </c>
      <c r="I39" s="456">
        <v>37</v>
      </c>
      <c r="J39" s="456">
        <v>219</v>
      </c>
      <c r="K39" s="456">
        <v>8103</v>
      </c>
      <c r="L39" s="456">
        <v>1</v>
      </c>
      <c r="M39" s="456">
        <v>37</v>
      </c>
      <c r="N39" s="456">
        <v>63</v>
      </c>
      <c r="O39" s="456">
        <v>3213</v>
      </c>
      <c r="P39" s="478">
        <v>0.39651980747871157</v>
      </c>
      <c r="Q39" s="457">
        <v>51</v>
      </c>
    </row>
    <row r="40" spans="1:17" ht="14.4" customHeight="1" x14ac:dyDescent="0.3">
      <c r="A40" s="452" t="s">
        <v>1177</v>
      </c>
      <c r="B40" s="453" t="s">
        <v>1028</v>
      </c>
      <c r="C40" s="453" t="s">
        <v>1029</v>
      </c>
      <c r="D40" s="453" t="s">
        <v>1054</v>
      </c>
      <c r="E40" s="453" t="s">
        <v>1055</v>
      </c>
      <c r="F40" s="456">
        <v>42</v>
      </c>
      <c r="G40" s="456">
        <v>18690</v>
      </c>
      <c r="H40" s="456">
        <v>1.3968609865470851</v>
      </c>
      <c r="I40" s="456">
        <v>445</v>
      </c>
      <c r="J40" s="456">
        <v>30</v>
      </c>
      <c r="K40" s="456">
        <v>13380</v>
      </c>
      <c r="L40" s="456">
        <v>1</v>
      </c>
      <c r="M40" s="456">
        <v>446</v>
      </c>
      <c r="N40" s="456">
        <v>53</v>
      </c>
      <c r="O40" s="456">
        <v>19981</v>
      </c>
      <c r="P40" s="478">
        <v>1.4933482810164425</v>
      </c>
      <c r="Q40" s="457">
        <v>377</v>
      </c>
    </row>
    <row r="41" spans="1:17" ht="14.4" customHeight="1" x14ac:dyDescent="0.3">
      <c r="A41" s="452" t="s">
        <v>1177</v>
      </c>
      <c r="B41" s="453" t="s">
        <v>1028</v>
      </c>
      <c r="C41" s="453" t="s">
        <v>1029</v>
      </c>
      <c r="D41" s="453" t="s">
        <v>1056</v>
      </c>
      <c r="E41" s="453" t="s">
        <v>1057</v>
      </c>
      <c r="F41" s="456"/>
      <c r="G41" s="456"/>
      <c r="H41" s="456"/>
      <c r="I41" s="456"/>
      <c r="J41" s="456"/>
      <c r="K41" s="456"/>
      <c r="L41" s="456"/>
      <c r="M41" s="456"/>
      <c r="N41" s="456">
        <v>1</v>
      </c>
      <c r="O41" s="456">
        <v>34</v>
      </c>
      <c r="P41" s="478"/>
      <c r="Q41" s="457">
        <v>34</v>
      </c>
    </row>
    <row r="42" spans="1:17" ht="14.4" customHeight="1" x14ac:dyDescent="0.3">
      <c r="A42" s="452" t="s">
        <v>1177</v>
      </c>
      <c r="B42" s="453" t="s">
        <v>1028</v>
      </c>
      <c r="C42" s="453" t="s">
        <v>1029</v>
      </c>
      <c r="D42" s="453" t="s">
        <v>1058</v>
      </c>
      <c r="E42" s="453" t="s">
        <v>1059</v>
      </c>
      <c r="F42" s="456">
        <v>27</v>
      </c>
      <c r="G42" s="456">
        <v>13257</v>
      </c>
      <c r="H42" s="456">
        <v>0.51817542213883683</v>
      </c>
      <c r="I42" s="456">
        <v>491</v>
      </c>
      <c r="J42" s="456">
        <v>52</v>
      </c>
      <c r="K42" s="456">
        <v>25584</v>
      </c>
      <c r="L42" s="456">
        <v>1</v>
      </c>
      <c r="M42" s="456">
        <v>492</v>
      </c>
      <c r="N42" s="456">
        <v>75</v>
      </c>
      <c r="O42" s="456">
        <v>39300</v>
      </c>
      <c r="P42" s="478">
        <v>1.5361163227016885</v>
      </c>
      <c r="Q42" s="457">
        <v>524</v>
      </c>
    </row>
    <row r="43" spans="1:17" ht="14.4" customHeight="1" x14ac:dyDescent="0.3">
      <c r="A43" s="452" t="s">
        <v>1177</v>
      </c>
      <c r="B43" s="453" t="s">
        <v>1028</v>
      </c>
      <c r="C43" s="453" t="s">
        <v>1029</v>
      </c>
      <c r="D43" s="453" t="s">
        <v>1060</v>
      </c>
      <c r="E43" s="453" t="s">
        <v>1061</v>
      </c>
      <c r="F43" s="456"/>
      <c r="G43" s="456"/>
      <c r="H43" s="456"/>
      <c r="I43" s="456"/>
      <c r="J43" s="456">
        <v>5</v>
      </c>
      <c r="K43" s="456">
        <v>155</v>
      </c>
      <c r="L43" s="456">
        <v>1</v>
      </c>
      <c r="M43" s="456">
        <v>31</v>
      </c>
      <c r="N43" s="456">
        <v>2</v>
      </c>
      <c r="O43" s="456">
        <v>114</v>
      </c>
      <c r="P43" s="478">
        <v>0.73548387096774193</v>
      </c>
      <c r="Q43" s="457">
        <v>57</v>
      </c>
    </row>
    <row r="44" spans="1:17" ht="14.4" customHeight="1" x14ac:dyDescent="0.3">
      <c r="A44" s="452" t="s">
        <v>1177</v>
      </c>
      <c r="B44" s="453" t="s">
        <v>1028</v>
      </c>
      <c r="C44" s="453" t="s">
        <v>1029</v>
      </c>
      <c r="D44" s="453" t="s">
        <v>1062</v>
      </c>
      <c r="E44" s="453" t="s">
        <v>1063</v>
      </c>
      <c r="F44" s="456">
        <v>2</v>
      </c>
      <c r="G44" s="456">
        <v>414</v>
      </c>
      <c r="H44" s="456">
        <v>0.49759615384615385</v>
      </c>
      <c r="I44" s="456">
        <v>207</v>
      </c>
      <c r="J44" s="456">
        <v>4</v>
      </c>
      <c r="K44" s="456">
        <v>832</v>
      </c>
      <c r="L44" s="456">
        <v>1</v>
      </c>
      <c r="M44" s="456">
        <v>208</v>
      </c>
      <c r="N44" s="456"/>
      <c r="O44" s="456"/>
      <c r="P44" s="478"/>
      <c r="Q44" s="457"/>
    </row>
    <row r="45" spans="1:17" ht="14.4" customHeight="1" x14ac:dyDescent="0.3">
      <c r="A45" s="452" t="s">
        <v>1177</v>
      </c>
      <c r="B45" s="453" t="s">
        <v>1028</v>
      </c>
      <c r="C45" s="453" t="s">
        <v>1029</v>
      </c>
      <c r="D45" s="453" t="s">
        <v>1064</v>
      </c>
      <c r="E45" s="453" t="s">
        <v>1065</v>
      </c>
      <c r="F45" s="456">
        <v>2</v>
      </c>
      <c r="G45" s="456">
        <v>760</v>
      </c>
      <c r="H45" s="456">
        <v>0.49479166666666669</v>
      </c>
      <c r="I45" s="456">
        <v>380</v>
      </c>
      <c r="J45" s="456">
        <v>4</v>
      </c>
      <c r="K45" s="456">
        <v>1536</v>
      </c>
      <c r="L45" s="456">
        <v>1</v>
      </c>
      <c r="M45" s="456">
        <v>384</v>
      </c>
      <c r="N45" s="456"/>
      <c r="O45" s="456"/>
      <c r="P45" s="478"/>
      <c r="Q45" s="457"/>
    </row>
    <row r="46" spans="1:17" ht="14.4" customHeight="1" x14ac:dyDescent="0.3">
      <c r="A46" s="452" t="s">
        <v>1177</v>
      </c>
      <c r="B46" s="453" t="s">
        <v>1028</v>
      </c>
      <c r="C46" s="453" t="s">
        <v>1029</v>
      </c>
      <c r="D46" s="453" t="s">
        <v>1066</v>
      </c>
      <c r="E46" s="453" t="s">
        <v>1067</v>
      </c>
      <c r="F46" s="456"/>
      <c r="G46" s="456"/>
      <c r="H46" s="456"/>
      <c r="I46" s="456"/>
      <c r="J46" s="456"/>
      <c r="K46" s="456"/>
      <c r="L46" s="456"/>
      <c r="M46" s="456"/>
      <c r="N46" s="456">
        <v>3</v>
      </c>
      <c r="O46" s="456">
        <v>639</v>
      </c>
      <c r="P46" s="478"/>
      <c r="Q46" s="457">
        <v>213</v>
      </c>
    </row>
    <row r="47" spans="1:17" ht="14.4" customHeight="1" x14ac:dyDescent="0.3">
      <c r="A47" s="452" t="s">
        <v>1177</v>
      </c>
      <c r="B47" s="453" t="s">
        <v>1028</v>
      </c>
      <c r="C47" s="453" t="s">
        <v>1029</v>
      </c>
      <c r="D47" s="453" t="s">
        <v>1068</v>
      </c>
      <c r="E47" s="453" t="s">
        <v>1069</v>
      </c>
      <c r="F47" s="456">
        <v>2</v>
      </c>
      <c r="G47" s="456">
        <v>262</v>
      </c>
      <c r="H47" s="456"/>
      <c r="I47" s="456">
        <v>131</v>
      </c>
      <c r="J47" s="456"/>
      <c r="K47" s="456"/>
      <c r="L47" s="456"/>
      <c r="M47" s="456"/>
      <c r="N47" s="456"/>
      <c r="O47" s="456"/>
      <c r="P47" s="478"/>
      <c r="Q47" s="457"/>
    </row>
    <row r="48" spans="1:17" ht="14.4" customHeight="1" x14ac:dyDescent="0.3">
      <c r="A48" s="452" t="s">
        <v>1177</v>
      </c>
      <c r="B48" s="453" t="s">
        <v>1028</v>
      </c>
      <c r="C48" s="453" t="s">
        <v>1029</v>
      </c>
      <c r="D48" s="453" t="s">
        <v>1074</v>
      </c>
      <c r="E48" s="453" t="s">
        <v>1075</v>
      </c>
      <c r="F48" s="456">
        <v>165</v>
      </c>
      <c r="G48" s="456">
        <v>2640</v>
      </c>
      <c r="H48" s="456">
        <v>0.91349480968858132</v>
      </c>
      <c r="I48" s="456">
        <v>16</v>
      </c>
      <c r="J48" s="456">
        <v>170</v>
      </c>
      <c r="K48" s="456">
        <v>2890</v>
      </c>
      <c r="L48" s="456">
        <v>1</v>
      </c>
      <c r="M48" s="456">
        <v>17</v>
      </c>
      <c r="N48" s="456">
        <v>163</v>
      </c>
      <c r="O48" s="456">
        <v>2771</v>
      </c>
      <c r="P48" s="478">
        <v>0.95882352941176474</v>
      </c>
      <c r="Q48" s="457">
        <v>17</v>
      </c>
    </row>
    <row r="49" spans="1:17" ht="14.4" customHeight="1" x14ac:dyDescent="0.3">
      <c r="A49" s="452" t="s">
        <v>1177</v>
      </c>
      <c r="B49" s="453" t="s">
        <v>1028</v>
      </c>
      <c r="C49" s="453" t="s">
        <v>1029</v>
      </c>
      <c r="D49" s="453" t="s">
        <v>1076</v>
      </c>
      <c r="E49" s="453" t="s">
        <v>1077</v>
      </c>
      <c r="F49" s="456">
        <v>1</v>
      </c>
      <c r="G49" s="456">
        <v>136</v>
      </c>
      <c r="H49" s="456"/>
      <c r="I49" s="456">
        <v>136</v>
      </c>
      <c r="J49" s="456"/>
      <c r="K49" s="456"/>
      <c r="L49" s="456"/>
      <c r="M49" s="456"/>
      <c r="N49" s="456">
        <v>3</v>
      </c>
      <c r="O49" s="456">
        <v>429</v>
      </c>
      <c r="P49" s="478"/>
      <c r="Q49" s="457">
        <v>143</v>
      </c>
    </row>
    <row r="50" spans="1:17" ht="14.4" customHeight="1" x14ac:dyDescent="0.3">
      <c r="A50" s="452" t="s">
        <v>1177</v>
      </c>
      <c r="B50" s="453" t="s">
        <v>1028</v>
      </c>
      <c r="C50" s="453" t="s">
        <v>1029</v>
      </c>
      <c r="D50" s="453" t="s">
        <v>1078</v>
      </c>
      <c r="E50" s="453" t="s">
        <v>1079</v>
      </c>
      <c r="F50" s="456">
        <v>11</v>
      </c>
      <c r="G50" s="456">
        <v>1133</v>
      </c>
      <c r="H50" s="456">
        <v>1.5714285714285714</v>
      </c>
      <c r="I50" s="456">
        <v>103</v>
      </c>
      <c r="J50" s="456">
        <v>7</v>
      </c>
      <c r="K50" s="456">
        <v>721</v>
      </c>
      <c r="L50" s="456">
        <v>1</v>
      </c>
      <c r="M50" s="456">
        <v>103</v>
      </c>
      <c r="N50" s="456">
        <v>14</v>
      </c>
      <c r="O50" s="456">
        <v>910</v>
      </c>
      <c r="P50" s="478">
        <v>1.2621359223300972</v>
      </c>
      <c r="Q50" s="457">
        <v>65</v>
      </c>
    </row>
    <row r="51" spans="1:17" ht="14.4" customHeight="1" x14ac:dyDescent="0.3">
      <c r="A51" s="452" t="s">
        <v>1177</v>
      </c>
      <c r="B51" s="453" t="s">
        <v>1028</v>
      </c>
      <c r="C51" s="453" t="s">
        <v>1029</v>
      </c>
      <c r="D51" s="453" t="s">
        <v>1082</v>
      </c>
      <c r="E51" s="453" t="s">
        <v>1083</v>
      </c>
      <c r="F51" s="456">
        <v>174</v>
      </c>
      <c r="G51" s="456">
        <v>20184</v>
      </c>
      <c r="H51" s="456">
        <v>0.72181096448878879</v>
      </c>
      <c r="I51" s="456">
        <v>116</v>
      </c>
      <c r="J51" s="456">
        <v>239</v>
      </c>
      <c r="K51" s="456">
        <v>27963</v>
      </c>
      <c r="L51" s="456">
        <v>1</v>
      </c>
      <c r="M51" s="456">
        <v>117</v>
      </c>
      <c r="N51" s="456">
        <v>175</v>
      </c>
      <c r="O51" s="456">
        <v>23800</v>
      </c>
      <c r="P51" s="478">
        <v>0.85112470049708544</v>
      </c>
      <c r="Q51" s="457">
        <v>136</v>
      </c>
    </row>
    <row r="52" spans="1:17" ht="14.4" customHeight="1" x14ac:dyDescent="0.3">
      <c r="A52" s="452" t="s">
        <v>1177</v>
      </c>
      <c r="B52" s="453" t="s">
        <v>1028</v>
      </c>
      <c r="C52" s="453" t="s">
        <v>1029</v>
      </c>
      <c r="D52" s="453" t="s">
        <v>1084</v>
      </c>
      <c r="E52" s="453" t="s">
        <v>1085</v>
      </c>
      <c r="F52" s="456">
        <v>55</v>
      </c>
      <c r="G52" s="456">
        <v>4675</v>
      </c>
      <c r="H52" s="456">
        <v>0.70374830648803255</v>
      </c>
      <c r="I52" s="456">
        <v>85</v>
      </c>
      <c r="J52" s="456">
        <v>73</v>
      </c>
      <c r="K52" s="456">
        <v>6643</v>
      </c>
      <c r="L52" s="456">
        <v>1</v>
      </c>
      <c r="M52" s="456">
        <v>91</v>
      </c>
      <c r="N52" s="456">
        <v>46</v>
      </c>
      <c r="O52" s="456">
        <v>4186</v>
      </c>
      <c r="P52" s="478">
        <v>0.63013698630136983</v>
      </c>
      <c r="Q52" s="457">
        <v>91</v>
      </c>
    </row>
    <row r="53" spans="1:17" ht="14.4" customHeight="1" x14ac:dyDescent="0.3">
      <c r="A53" s="452" t="s">
        <v>1177</v>
      </c>
      <c r="B53" s="453" t="s">
        <v>1028</v>
      </c>
      <c r="C53" s="453" t="s">
        <v>1029</v>
      </c>
      <c r="D53" s="453" t="s">
        <v>1086</v>
      </c>
      <c r="E53" s="453" t="s">
        <v>1087</v>
      </c>
      <c r="F53" s="456">
        <v>1</v>
      </c>
      <c r="G53" s="456">
        <v>98</v>
      </c>
      <c r="H53" s="456">
        <v>0.98989898989898994</v>
      </c>
      <c r="I53" s="456">
        <v>98</v>
      </c>
      <c r="J53" s="456">
        <v>1</v>
      </c>
      <c r="K53" s="456">
        <v>99</v>
      </c>
      <c r="L53" s="456">
        <v>1</v>
      </c>
      <c r="M53" s="456">
        <v>99</v>
      </c>
      <c r="N53" s="456">
        <v>5</v>
      </c>
      <c r="O53" s="456">
        <v>685</v>
      </c>
      <c r="P53" s="478">
        <v>6.9191919191919196</v>
      </c>
      <c r="Q53" s="457">
        <v>137</v>
      </c>
    </row>
    <row r="54" spans="1:17" ht="14.4" customHeight="1" x14ac:dyDescent="0.3">
      <c r="A54" s="452" t="s">
        <v>1177</v>
      </c>
      <c r="B54" s="453" t="s">
        <v>1028</v>
      </c>
      <c r="C54" s="453" t="s">
        <v>1029</v>
      </c>
      <c r="D54" s="453" t="s">
        <v>1088</v>
      </c>
      <c r="E54" s="453" t="s">
        <v>1089</v>
      </c>
      <c r="F54" s="456">
        <v>15</v>
      </c>
      <c r="G54" s="456">
        <v>315</v>
      </c>
      <c r="H54" s="456">
        <v>1.1538461538461537</v>
      </c>
      <c r="I54" s="456">
        <v>21</v>
      </c>
      <c r="J54" s="456">
        <v>13</v>
      </c>
      <c r="K54" s="456">
        <v>273</v>
      </c>
      <c r="L54" s="456">
        <v>1</v>
      </c>
      <c r="M54" s="456">
        <v>21</v>
      </c>
      <c r="N54" s="456">
        <v>27</v>
      </c>
      <c r="O54" s="456">
        <v>1782</v>
      </c>
      <c r="P54" s="478">
        <v>6.5274725274725274</v>
      </c>
      <c r="Q54" s="457">
        <v>66</v>
      </c>
    </row>
    <row r="55" spans="1:17" ht="14.4" customHeight="1" x14ac:dyDescent="0.3">
      <c r="A55" s="452" t="s">
        <v>1177</v>
      </c>
      <c r="B55" s="453" t="s">
        <v>1028</v>
      </c>
      <c r="C55" s="453" t="s">
        <v>1029</v>
      </c>
      <c r="D55" s="453" t="s">
        <v>1090</v>
      </c>
      <c r="E55" s="453" t="s">
        <v>1091</v>
      </c>
      <c r="F55" s="456">
        <v>160</v>
      </c>
      <c r="G55" s="456">
        <v>77920</v>
      </c>
      <c r="H55" s="456">
        <v>1.0368320204385779</v>
      </c>
      <c r="I55" s="456">
        <v>487</v>
      </c>
      <c r="J55" s="456">
        <v>154</v>
      </c>
      <c r="K55" s="456">
        <v>75152</v>
      </c>
      <c r="L55" s="456">
        <v>1</v>
      </c>
      <c r="M55" s="456">
        <v>488</v>
      </c>
      <c r="N55" s="456">
        <v>143</v>
      </c>
      <c r="O55" s="456">
        <v>46904</v>
      </c>
      <c r="P55" s="478">
        <v>0.6241217798594848</v>
      </c>
      <c r="Q55" s="457">
        <v>328</v>
      </c>
    </row>
    <row r="56" spans="1:17" ht="14.4" customHeight="1" x14ac:dyDescent="0.3">
      <c r="A56" s="452" t="s">
        <v>1177</v>
      </c>
      <c r="B56" s="453" t="s">
        <v>1028</v>
      </c>
      <c r="C56" s="453" t="s">
        <v>1029</v>
      </c>
      <c r="D56" s="453" t="s">
        <v>1098</v>
      </c>
      <c r="E56" s="453" t="s">
        <v>1099</v>
      </c>
      <c r="F56" s="456">
        <v>18</v>
      </c>
      <c r="G56" s="456">
        <v>738</v>
      </c>
      <c r="H56" s="456">
        <v>0.48648648648648651</v>
      </c>
      <c r="I56" s="456">
        <v>41</v>
      </c>
      <c r="J56" s="456">
        <v>37</v>
      </c>
      <c r="K56" s="456">
        <v>1517</v>
      </c>
      <c r="L56" s="456">
        <v>1</v>
      </c>
      <c r="M56" s="456">
        <v>41</v>
      </c>
      <c r="N56" s="456">
        <v>16</v>
      </c>
      <c r="O56" s="456">
        <v>816</v>
      </c>
      <c r="P56" s="478">
        <v>0.53790375741595253</v>
      </c>
      <c r="Q56" s="457">
        <v>51</v>
      </c>
    </row>
    <row r="57" spans="1:17" ht="14.4" customHeight="1" x14ac:dyDescent="0.3">
      <c r="A57" s="452" t="s">
        <v>1177</v>
      </c>
      <c r="B57" s="453" t="s">
        <v>1028</v>
      </c>
      <c r="C57" s="453" t="s">
        <v>1029</v>
      </c>
      <c r="D57" s="453" t="s">
        <v>1108</v>
      </c>
      <c r="E57" s="453" t="s">
        <v>1109</v>
      </c>
      <c r="F57" s="456">
        <v>3</v>
      </c>
      <c r="G57" s="456">
        <v>2286</v>
      </c>
      <c r="H57" s="456">
        <v>0.16644823066841416</v>
      </c>
      <c r="I57" s="456">
        <v>762</v>
      </c>
      <c r="J57" s="456">
        <v>18</v>
      </c>
      <c r="K57" s="456">
        <v>13734</v>
      </c>
      <c r="L57" s="456">
        <v>1</v>
      </c>
      <c r="M57" s="456">
        <v>763</v>
      </c>
      <c r="N57" s="456">
        <v>10</v>
      </c>
      <c r="O57" s="456">
        <v>7630</v>
      </c>
      <c r="P57" s="478">
        <v>0.55555555555555558</v>
      </c>
      <c r="Q57" s="457">
        <v>763</v>
      </c>
    </row>
    <row r="58" spans="1:17" ht="14.4" customHeight="1" x14ac:dyDescent="0.3">
      <c r="A58" s="452" t="s">
        <v>1177</v>
      </c>
      <c r="B58" s="453" t="s">
        <v>1028</v>
      </c>
      <c r="C58" s="453" t="s">
        <v>1029</v>
      </c>
      <c r="D58" s="453" t="s">
        <v>1110</v>
      </c>
      <c r="E58" s="453" t="s">
        <v>1111</v>
      </c>
      <c r="F58" s="456"/>
      <c r="G58" s="456"/>
      <c r="H58" s="456"/>
      <c r="I58" s="456"/>
      <c r="J58" s="456">
        <v>1</v>
      </c>
      <c r="K58" s="456">
        <v>2112</v>
      </c>
      <c r="L58" s="456">
        <v>1</v>
      </c>
      <c r="M58" s="456">
        <v>2112</v>
      </c>
      <c r="N58" s="456"/>
      <c r="O58" s="456"/>
      <c r="P58" s="478"/>
      <c r="Q58" s="457"/>
    </row>
    <row r="59" spans="1:17" ht="14.4" customHeight="1" x14ac:dyDescent="0.3">
      <c r="A59" s="452" t="s">
        <v>1177</v>
      </c>
      <c r="B59" s="453" t="s">
        <v>1028</v>
      </c>
      <c r="C59" s="453" t="s">
        <v>1029</v>
      </c>
      <c r="D59" s="453" t="s">
        <v>1112</v>
      </c>
      <c r="E59" s="453" t="s">
        <v>1113</v>
      </c>
      <c r="F59" s="456">
        <v>39</v>
      </c>
      <c r="G59" s="456">
        <v>23712</v>
      </c>
      <c r="H59" s="456">
        <v>1.6091205211726385</v>
      </c>
      <c r="I59" s="456">
        <v>608</v>
      </c>
      <c r="J59" s="456">
        <v>24</v>
      </c>
      <c r="K59" s="456">
        <v>14736</v>
      </c>
      <c r="L59" s="456">
        <v>1</v>
      </c>
      <c r="M59" s="456">
        <v>614</v>
      </c>
      <c r="N59" s="456">
        <v>30</v>
      </c>
      <c r="O59" s="456">
        <v>18360</v>
      </c>
      <c r="P59" s="478">
        <v>1.2459283387622151</v>
      </c>
      <c r="Q59" s="457">
        <v>612</v>
      </c>
    </row>
    <row r="60" spans="1:17" ht="14.4" customHeight="1" x14ac:dyDescent="0.3">
      <c r="A60" s="452" t="s">
        <v>1177</v>
      </c>
      <c r="B60" s="453" t="s">
        <v>1028</v>
      </c>
      <c r="C60" s="453" t="s">
        <v>1029</v>
      </c>
      <c r="D60" s="453" t="s">
        <v>1116</v>
      </c>
      <c r="E60" s="453" t="s">
        <v>1117</v>
      </c>
      <c r="F60" s="456"/>
      <c r="G60" s="456"/>
      <c r="H60" s="456"/>
      <c r="I60" s="456"/>
      <c r="J60" s="456"/>
      <c r="K60" s="456"/>
      <c r="L60" s="456"/>
      <c r="M60" s="456"/>
      <c r="N60" s="456">
        <v>1</v>
      </c>
      <c r="O60" s="456">
        <v>431</v>
      </c>
      <c r="P60" s="478"/>
      <c r="Q60" s="457">
        <v>431</v>
      </c>
    </row>
    <row r="61" spans="1:17" ht="14.4" customHeight="1" x14ac:dyDescent="0.3">
      <c r="A61" s="452" t="s">
        <v>1177</v>
      </c>
      <c r="B61" s="453" t="s">
        <v>1028</v>
      </c>
      <c r="C61" s="453" t="s">
        <v>1029</v>
      </c>
      <c r="D61" s="453" t="s">
        <v>1124</v>
      </c>
      <c r="E61" s="453" t="s">
        <v>1125</v>
      </c>
      <c r="F61" s="456"/>
      <c r="G61" s="456"/>
      <c r="H61" s="456"/>
      <c r="I61" s="456"/>
      <c r="J61" s="456"/>
      <c r="K61" s="456"/>
      <c r="L61" s="456"/>
      <c r="M61" s="456"/>
      <c r="N61" s="456">
        <v>3</v>
      </c>
      <c r="O61" s="456">
        <v>813</v>
      </c>
      <c r="P61" s="478"/>
      <c r="Q61" s="457">
        <v>271</v>
      </c>
    </row>
    <row r="62" spans="1:17" ht="14.4" customHeight="1" x14ac:dyDescent="0.3">
      <c r="A62" s="452" t="s">
        <v>1177</v>
      </c>
      <c r="B62" s="453" t="s">
        <v>1028</v>
      </c>
      <c r="C62" s="453" t="s">
        <v>1029</v>
      </c>
      <c r="D62" s="453" t="s">
        <v>1130</v>
      </c>
      <c r="E62" s="453" t="s">
        <v>1131</v>
      </c>
      <c r="F62" s="456">
        <v>26</v>
      </c>
      <c r="G62" s="456">
        <v>3952</v>
      </c>
      <c r="H62" s="456"/>
      <c r="I62" s="456">
        <v>152</v>
      </c>
      <c r="J62" s="456"/>
      <c r="K62" s="456"/>
      <c r="L62" s="456"/>
      <c r="M62" s="456"/>
      <c r="N62" s="456"/>
      <c r="O62" s="456"/>
      <c r="P62" s="478"/>
      <c r="Q62" s="457"/>
    </row>
    <row r="63" spans="1:17" ht="14.4" customHeight="1" x14ac:dyDescent="0.3">
      <c r="A63" s="452" t="s">
        <v>1178</v>
      </c>
      <c r="B63" s="453" t="s">
        <v>1028</v>
      </c>
      <c r="C63" s="453" t="s">
        <v>1029</v>
      </c>
      <c r="D63" s="453" t="s">
        <v>1030</v>
      </c>
      <c r="E63" s="453" t="s">
        <v>1031</v>
      </c>
      <c r="F63" s="456">
        <v>178</v>
      </c>
      <c r="G63" s="456">
        <v>28658</v>
      </c>
      <c r="H63" s="456">
        <v>0.56536921225512438</v>
      </c>
      <c r="I63" s="456">
        <v>161</v>
      </c>
      <c r="J63" s="456">
        <v>293</v>
      </c>
      <c r="K63" s="456">
        <v>50689</v>
      </c>
      <c r="L63" s="456">
        <v>1</v>
      </c>
      <c r="M63" s="456">
        <v>173</v>
      </c>
      <c r="N63" s="456">
        <v>271</v>
      </c>
      <c r="O63" s="456">
        <v>46883</v>
      </c>
      <c r="P63" s="478">
        <v>0.92491467576791808</v>
      </c>
      <c r="Q63" s="457">
        <v>173</v>
      </c>
    </row>
    <row r="64" spans="1:17" ht="14.4" customHeight="1" x14ac:dyDescent="0.3">
      <c r="A64" s="452" t="s">
        <v>1178</v>
      </c>
      <c r="B64" s="453" t="s">
        <v>1028</v>
      </c>
      <c r="C64" s="453" t="s">
        <v>1029</v>
      </c>
      <c r="D64" s="453" t="s">
        <v>1044</v>
      </c>
      <c r="E64" s="453" t="s">
        <v>1045</v>
      </c>
      <c r="F64" s="456">
        <v>4</v>
      </c>
      <c r="G64" s="456">
        <v>4676</v>
      </c>
      <c r="H64" s="456">
        <v>0.19931798806479115</v>
      </c>
      <c r="I64" s="456">
        <v>1169</v>
      </c>
      <c r="J64" s="456">
        <v>20</v>
      </c>
      <c r="K64" s="456">
        <v>23460</v>
      </c>
      <c r="L64" s="456">
        <v>1</v>
      </c>
      <c r="M64" s="456">
        <v>1173</v>
      </c>
      <c r="N64" s="456">
        <v>145</v>
      </c>
      <c r="O64" s="456">
        <v>155150</v>
      </c>
      <c r="P64" s="478">
        <v>6.6133844842284741</v>
      </c>
      <c r="Q64" s="457">
        <v>1070</v>
      </c>
    </row>
    <row r="65" spans="1:17" ht="14.4" customHeight="1" x14ac:dyDescent="0.3">
      <c r="A65" s="452" t="s">
        <v>1178</v>
      </c>
      <c r="B65" s="453" t="s">
        <v>1028</v>
      </c>
      <c r="C65" s="453" t="s">
        <v>1029</v>
      </c>
      <c r="D65" s="453" t="s">
        <v>1046</v>
      </c>
      <c r="E65" s="453" t="s">
        <v>1047</v>
      </c>
      <c r="F65" s="456">
        <v>326</v>
      </c>
      <c r="G65" s="456">
        <v>13040</v>
      </c>
      <c r="H65" s="456">
        <v>0.77196305943641963</v>
      </c>
      <c r="I65" s="456">
        <v>40</v>
      </c>
      <c r="J65" s="456">
        <v>412</v>
      </c>
      <c r="K65" s="456">
        <v>16892</v>
      </c>
      <c r="L65" s="456">
        <v>1</v>
      </c>
      <c r="M65" s="456">
        <v>41</v>
      </c>
      <c r="N65" s="456">
        <v>392</v>
      </c>
      <c r="O65" s="456">
        <v>18032</v>
      </c>
      <c r="P65" s="478">
        <v>1.0674875680795644</v>
      </c>
      <c r="Q65" s="457">
        <v>46</v>
      </c>
    </row>
    <row r="66" spans="1:17" ht="14.4" customHeight="1" x14ac:dyDescent="0.3">
      <c r="A66" s="452" t="s">
        <v>1178</v>
      </c>
      <c r="B66" s="453" t="s">
        <v>1028</v>
      </c>
      <c r="C66" s="453" t="s">
        <v>1029</v>
      </c>
      <c r="D66" s="453" t="s">
        <v>1048</v>
      </c>
      <c r="E66" s="453" t="s">
        <v>1049</v>
      </c>
      <c r="F66" s="456">
        <v>31</v>
      </c>
      <c r="G66" s="456">
        <v>11873</v>
      </c>
      <c r="H66" s="456">
        <v>0.81366502192982459</v>
      </c>
      <c r="I66" s="456">
        <v>383</v>
      </c>
      <c r="J66" s="456">
        <v>38</v>
      </c>
      <c r="K66" s="456">
        <v>14592</v>
      </c>
      <c r="L66" s="456">
        <v>1</v>
      </c>
      <c r="M66" s="456">
        <v>384</v>
      </c>
      <c r="N66" s="456">
        <v>34</v>
      </c>
      <c r="O66" s="456">
        <v>11798</v>
      </c>
      <c r="P66" s="478">
        <v>0.80852521929824561</v>
      </c>
      <c r="Q66" s="457">
        <v>347</v>
      </c>
    </row>
    <row r="67" spans="1:17" ht="14.4" customHeight="1" x14ac:dyDescent="0.3">
      <c r="A67" s="452" t="s">
        <v>1178</v>
      </c>
      <c r="B67" s="453" t="s">
        <v>1028</v>
      </c>
      <c r="C67" s="453" t="s">
        <v>1029</v>
      </c>
      <c r="D67" s="453" t="s">
        <v>1050</v>
      </c>
      <c r="E67" s="453" t="s">
        <v>1051</v>
      </c>
      <c r="F67" s="456">
        <v>94</v>
      </c>
      <c r="G67" s="456">
        <v>3478</v>
      </c>
      <c r="H67" s="456">
        <v>0.71212121212121215</v>
      </c>
      <c r="I67" s="456">
        <v>37</v>
      </c>
      <c r="J67" s="456">
        <v>132</v>
      </c>
      <c r="K67" s="456">
        <v>4884</v>
      </c>
      <c r="L67" s="456">
        <v>1</v>
      </c>
      <c r="M67" s="456">
        <v>37</v>
      </c>
      <c r="N67" s="456">
        <v>58</v>
      </c>
      <c r="O67" s="456">
        <v>2958</v>
      </c>
      <c r="P67" s="478">
        <v>0.60565110565110569</v>
      </c>
      <c r="Q67" s="457">
        <v>51</v>
      </c>
    </row>
    <row r="68" spans="1:17" ht="14.4" customHeight="1" x14ac:dyDescent="0.3">
      <c r="A68" s="452" t="s">
        <v>1178</v>
      </c>
      <c r="B68" s="453" t="s">
        <v>1028</v>
      </c>
      <c r="C68" s="453" t="s">
        <v>1029</v>
      </c>
      <c r="D68" s="453" t="s">
        <v>1054</v>
      </c>
      <c r="E68" s="453" t="s">
        <v>1055</v>
      </c>
      <c r="F68" s="456">
        <v>51</v>
      </c>
      <c r="G68" s="456">
        <v>22695</v>
      </c>
      <c r="H68" s="456">
        <v>0.99775784753363228</v>
      </c>
      <c r="I68" s="456">
        <v>445</v>
      </c>
      <c r="J68" s="456">
        <v>51</v>
      </c>
      <c r="K68" s="456">
        <v>22746</v>
      </c>
      <c r="L68" s="456">
        <v>1</v>
      </c>
      <c r="M68" s="456">
        <v>446</v>
      </c>
      <c r="N68" s="456">
        <v>212</v>
      </c>
      <c r="O68" s="456">
        <v>79924</v>
      </c>
      <c r="P68" s="478">
        <v>3.5137606612151586</v>
      </c>
      <c r="Q68" s="457">
        <v>377</v>
      </c>
    </row>
    <row r="69" spans="1:17" ht="14.4" customHeight="1" x14ac:dyDescent="0.3">
      <c r="A69" s="452" t="s">
        <v>1178</v>
      </c>
      <c r="B69" s="453" t="s">
        <v>1028</v>
      </c>
      <c r="C69" s="453" t="s">
        <v>1029</v>
      </c>
      <c r="D69" s="453" t="s">
        <v>1056</v>
      </c>
      <c r="E69" s="453" t="s">
        <v>1057</v>
      </c>
      <c r="F69" s="456">
        <v>3</v>
      </c>
      <c r="G69" s="456">
        <v>123</v>
      </c>
      <c r="H69" s="456">
        <v>0.7321428571428571</v>
      </c>
      <c r="I69" s="456">
        <v>41</v>
      </c>
      <c r="J69" s="456">
        <v>4</v>
      </c>
      <c r="K69" s="456">
        <v>168</v>
      </c>
      <c r="L69" s="456">
        <v>1</v>
      </c>
      <c r="M69" s="456">
        <v>42</v>
      </c>
      <c r="N69" s="456">
        <v>2</v>
      </c>
      <c r="O69" s="456">
        <v>68</v>
      </c>
      <c r="P69" s="478">
        <v>0.40476190476190477</v>
      </c>
      <c r="Q69" s="457">
        <v>34</v>
      </c>
    </row>
    <row r="70" spans="1:17" ht="14.4" customHeight="1" x14ac:dyDescent="0.3">
      <c r="A70" s="452" t="s">
        <v>1178</v>
      </c>
      <c r="B70" s="453" t="s">
        <v>1028</v>
      </c>
      <c r="C70" s="453" t="s">
        <v>1029</v>
      </c>
      <c r="D70" s="453" t="s">
        <v>1058</v>
      </c>
      <c r="E70" s="453" t="s">
        <v>1059</v>
      </c>
      <c r="F70" s="456">
        <v>26</v>
      </c>
      <c r="G70" s="456">
        <v>12766</v>
      </c>
      <c r="H70" s="456">
        <v>0.38727096226186142</v>
      </c>
      <c r="I70" s="456">
        <v>491</v>
      </c>
      <c r="J70" s="456">
        <v>67</v>
      </c>
      <c r="K70" s="456">
        <v>32964</v>
      </c>
      <c r="L70" s="456">
        <v>1</v>
      </c>
      <c r="M70" s="456">
        <v>492</v>
      </c>
      <c r="N70" s="456">
        <v>77</v>
      </c>
      <c r="O70" s="456">
        <v>40348</v>
      </c>
      <c r="P70" s="478">
        <v>1.2240019415119525</v>
      </c>
      <c r="Q70" s="457">
        <v>524</v>
      </c>
    </row>
    <row r="71" spans="1:17" ht="14.4" customHeight="1" x14ac:dyDescent="0.3">
      <c r="A71" s="452" t="s">
        <v>1178</v>
      </c>
      <c r="B71" s="453" t="s">
        <v>1028</v>
      </c>
      <c r="C71" s="453" t="s">
        <v>1029</v>
      </c>
      <c r="D71" s="453" t="s">
        <v>1060</v>
      </c>
      <c r="E71" s="453" t="s">
        <v>1061</v>
      </c>
      <c r="F71" s="456">
        <v>9</v>
      </c>
      <c r="G71" s="456">
        <v>279</v>
      </c>
      <c r="H71" s="456">
        <v>0.81818181818181823</v>
      </c>
      <c r="I71" s="456">
        <v>31</v>
      </c>
      <c r="J71" s="456">
        <v>11</v>
      </c>
      <c r="K71" s="456">
        <v>341</v>
      </c>
      <c r="L71" s="456">
        <v>1</v>
      </c>
      <c r="M71" s="456">
        <v>31</v>
      </c>
      <c r="N71" s="456">
        <v>9</v>
      </c>
      <c r="O71" s="456">
        <v>513</v>
      </c>
      <c r="P71" s="478">
        <v>1.5043988269794721</v>
      </c>
      <c r="Q71" s="457">
        <v>57</v>
      </c>
    </row>
    <row r="72" spans="1:17" ht="14.4" customHeight="1" x14ac:dyDescent="0.3">
      <c r="A72" s="452" t="s">
        <v>1178</v>
      </c>
      <c r="B72" s="453" t="s">
        <v>1028</v>
      </c>
      <c r="C72" s="453" t="s">
        <v>1029</v>
      </c>
      <c r="D72" s="453" t="s">
        <v>1062</v>
      </c>
      <c r="E72" s="453" t="s">
        <v>1063</v>
      </c>
      <c r="F72" s="456"/>
      <c r="G72" s="456"/>
      <c r="H72" s="456"/>
      <c r="I72" s="456"/>
      <c r="J72" s="456">
        <v>2</v>
      </c>
      <c r="K72" s="456">
        <v>416</v>
      </c>
      <c r="L72" s="456">
        <v>1</v>
      </c>
      <c r="M72" s="456">
        <v>208</v>
      </c>
      <c r="N72" s="456">
        <v>4</v>
      </c>
      <c r="O72" s="456">
        <v>896</v>
      </c>
      <c r="P72" s="478">
        <v>2.1538461538461537</v>
      </c>
      <c r="Q72" s="457">
        <v>224</v>
      </c>
    </row>
    <row r="73" spans="1:17" ht="14.4" customHeight="1" x14ac:dyDescent="0.3">
      <c r="A73" s="452" t="s">
        <v>1178</v>
      </c>
      <c r="B73" s="453" t="s">
        <v>1028</v>
      </c>
      <c r="C73" s="453" t="s">
        <v>1029</v>
      </c>
      <c r="D73" s="453" t="s">
        <v>1064</v>
      </c>
      <c r="E73" s="453" t="s">
        <v>1065</v>
      </c>
      <c r="F73" s="456"/>
      <c r="G73" s="456"/>
      <c r="H73" s="456"/>
      <c r="I73" s="456"/>
      <c r="J73" s="456">
        <v>2</v>
      </c>
      <c r="K73" s="456">
        <v>768</v>
      </c>
      <c r="L73" s="456">
        <v>1</v>
      </c>
      <c r="M73" s="456">
        <v>384</v>
      </c>
      <c r="N73" s="456">
        <v>3</v>
      </c>
      <c r="O73" s="456">
        <v>1659</v>
      </c>
      <c r="P73" s="478">
        <v>2.16015625</v>
      </c>
      <c r="Q73" s="457">
        <v>553</v>
      </c>
    </row>
    <row r="74" spans="1:17" ht="14.4" customHeight="1" x14ac:dyDescent="0.3">
      <c r="A74" s="452" t="s">
        <v>1178</v>
      </c>
      <c r="B74" s="453" t="s">
        <v>1028</v>
      </c>
      <c r="C74" s="453" t="s">
        <v>1029</v>
      </c>
      <c r="D74" s="453" t="s">
        <v>1066</v>
      </c>
      <c r="E74" s="453" t="s">
        <v>1067</v>
      </c>
      <c r="F74" s="456"/>
      <c r="G74" s="456"/>
      <c r="H74" s="456"/>
      <c r="I74" s="456"/>
      <c r="J74" s="456">
        <v>1</v>
      </c>
      <c r="K74" s="456">
        <v>236</v>
      </c>
      <c r="L74" s="456">
        <v>1</v>
      </c>
      <c r="M74" s="456">
        <v>236</v>
      </c>
      <c r="N74" s="456"/>
      <c r="O74" s="456"/>
      <c r="P74" s="478"/>
      <c r="Q74" s="457"/>
    </row>
    <row r="75" spans="1:17" ht="14.4" customHeight="1" x14ac:dyDescent="0.3">
      <c r="A75" s="452" t="s">
        <v>1178</v>
      </c>
      <c r="B75" s="453" t="s">
        <v>1028</v>
      </c>
      <c r="C75" s="453" t="s">
        <v>1029</v>
      </c>
      <c r="D75" s="453" t="s">
        <v>1068</v>
      </c>
      <c r="E75" s="453" t="s">
        <v>1069</v>
      </c>
      <c r="F75" s="456">
        <v>2</v>
      </c>
      <c r="G75" s="456">
        <v>262</v>
      </c>
      <c r="H75" s="456"/>
      <c r="I75" s="456">
        <v>131</v>
      </c>
      <c r="J75" s="456"/>
      <c r="K75" s="456"/>
      <c r="L75" s="456"/>
      <c r="M75" s="456"/>
      <c r="N75" s="456">
        <v>2</v>
      </c>
      <c r="O75" s="456">
        <v>282</v>
      </c>
      <c r="P75" s="478"/>
      <c r="Q75" s="457">
        <v>141</v>
      </c>
    </row>
    <row r="76" spans="1:17" ht="14.4" customHeight="1" x14ac:dyDescent="0.3">
      <c r="A76" s="452" t="s">
        <v>1178</v>
      </c>
      <c r="B76" s="453" t="s">
        <v>1028</v>
      </c>
      <c r="C76" s="453" t="s">
        <v>1029</v>
      </c>
      <c r="D76" s="453" t="s">
        <v>1074</v>
      </c>
      <c r="E76" s="453" t="s">
        <v>1075</v>
      </c>
      <c r="F76" s="456">
        <v>253</v>
      </c>
      <c r="G76" s="456">
        <v>4048</v>
      </c>
      <c r="H76" s="456">
        <v>0.60899653979238755</v>
      </c>
      <c r="I76" s="456">
        <v>16</v>
      </c>
      <c r="J76" s="456">
        <v>391</v>
      </c>
      <c r="K76" s="456">
        <v>6647</v>
      </c>
      <c r="L76" s="456">
        <v>1</v>
      </c>
      <c r="M76" s="456">
        <v>17</v>
      </c>
      <c r="N76" s="456">
        <v>380</v>
      </c>
      <c r="O76" s="456">
        <v>6460</v>
      </c>
      <c r="P76" s="478">
        <v>0.97186700767263423</v>
      </c>
      <c r="Q76" s="457">
        <v>17</v>
      </c>
    </row>
    <row r="77" spans="1:17" ht="14.4" customHeight="1" x14ac:dyDescent="0.3">
      <c r="A77" s="452" t="s">
        <v>1178</v>
      </c>
      <c r="B77" s="453" t="s">
        <v>1028</v>
      </c>
      <c r="C77" s="453" t="s">
        <v>1029</v>
      </c>
      <c r="D77" s="453" t="s">
        <v>1076</v>
      </c>
      <c r="E77" s="453" t="s">
        <v>1077</v>
      </c>
      <c r="F77" s="456">
        <v>5</v>
      </c>
      <c r="G77" s="456">
        <v>680</v>
      </c>
      <c r="H77" s="456">
        <v>1.630695443645084</v>
      </c>
      <c r="I77" s="456">
        <v>136</v>
      </c>
      <c r="J77" s="456">
        <v>3</v>
      </c>
      <c r="K77" s="456">
        <v>417</v>
      </c>
      <c r="L77" s="456">
        <v>1</v>
      </c>
      <c r="M77" s="456">
        <v>139</v>
      </c>
      <c r="N77" s="456">
        <v>1</v>
      </c>
      <c r="O77" s="456">
        <v>143</v>
      </c>
      <c r="P77" s="478">
        <v>0.34292565947242204</v>
      </c>
      <c r="Q77" s="457">
        <v>143</v>
      </c>
    </row>
    <row r="78" spans="1:17" ht="14.4" customHeight="1" x14ac:dyDescent="0.3">
      <c r="A78" s="452" t="s">
        <v>1178</v>
      </c>
      <c r="B78" s="453" t="s">
        <v>1028</v>
      </c>
      <c r="C78" s="453" t="s">
        <v>1029</v>
      </c>
      <c r="D78" s="453" t="s">
        <v>1078</v>
      </c>
      <c r="E78" s="453" t="s">
        <v>1079</v>
      </c>
      <c r="F78" s="456">
        <v>11</v>
      </c>
      <c r="G78" s="456">
        <v>1133</v>
      </c>
      <c r="H78" s="456">
        <v>1.2222222222222223</v>
      </c>
      <c r="I78" s="456">
        <v>103</v>
      </c>
      <c r="J78" s="456">
        <v>9</v>
      </c>
      <c r="K78" s="456">
        <v>927</v>
      </c>
      <c r="L78" s="456">
        <v>1</v>
      </c>
      <c r="M78" s="456">
        <v>103</v>
      </c>
      <c r="N78" s="456">
        <v>9</v>
      </c>
      <c r="O78" s="456">
        <v>585</v>
      </c>
      <c r="P78" s="478">
        <v>0.6310679611650486</v>
      </c>
      <c r="Q78" s="457">
        <v>65</v>
      </c>
    </row>
    <row r="79" spans="1:17" ht="14.4" customHeight="1" x14ac:dyDescent="0.3">
      <c r="A79" s="452" t="s">
        <v>1178</v>
      </c>
      <c r="B79" s="453" t="s">
        <v>1028</v>
      </c>
      <c r="C79" s="453" t="s">
        <v>1029</v>
      </c>
      <c r="D79" s="453" t="s">
        <v>1082</v>
      </c>
      <c r="E79" s="453" t="s">
        <v>1083</v>
      </c>
      <c r="F79" s="456">
        <v>296</v>
      </c>
      <c r="G79" s="456">
        <v>34336</v>
      </c>
      <c r="H79" s="456">
        <v>0.6421664889936225</v>
      </c>
      <c r="I79" s="456">
        <v>116</v>
      </c>
      <c r="J79" s="456">
        <v>457</v>
      </c>
      <c r="K79" s="456">
        <v>53469</v>
      </c>
      <c r="L79" s="456">
        <v>1</v>
      </c>
      <c r="M79" s="456">
        <v>117</v>
      </c>
      <c r="N79" s="456">
        <v>443</v>
      </c>
      <c r="O79" s="456">
        <v>60248</v>
      </c>
      <c r="P79" s="478">
        <v>1.1267837438515775</v>
      </c>
      <c r="Q79" s="457">
        <v>136</v>
      </c>
    </row>
    <row r="80" spans="1:17" ht="14.4" customHeight="1" x14ac:dyDescent="0.3">
      <c r="A80" s="452" t="s">
        <v>1178</v>
      </c>
      <c r="B80" s="453" t="s">
        <v>1028</v>
      </c>
      <c r="C80" s="453" t="s">
        <v>1029</v>
      </c>
      <c r="D80" s="453" t="s">
        <v>1084</v>
      </c>
      <c r="E80" s="453" t="s">
        <v>1085</v>
      </c>
      <c r="F80" s="456">
        <v>54</v>
      </c>
      <c r="G80" s="456">
        <v>4590</v>
      </c>
      <c r="H80" s="456">
        <v>0.67252747252747258</v>
      </c>
      <c r="I80" s="456">
        <v>85</v>
      </c>
      <c r="J80" s="456">
        <v>75</v>
      </c>
      <c r="K80" s="456">
        <v>6825</v>
      </c>
      <c r="L80" s="456">
        <v>1</v>
      </c>
      <c r="M80" s="456">
        <v>91</v>
      </c>
      <c r="N80" s="456">
        <v>74</v>
      </c>
      <c r="O80" s="456">
        <v>6734</v>
      </c>
      <c r="P80" s="478">
        <v>0.98666666666666669</v>
      </c>
      <c r="Q80" s="457">
        <v>91</v>
      </c>
    </row>
    <row r="81" spans="1:17" ht="14.4" customHeight="1" x14ac:dyDescent="0.3">
      <c r="A81" s="452" t="s">
        <v>1178</v>
      </c>
      <c r="B81" s="453" t="s">
        <v>1028</v>
      </c>
      <c r="C81" s="453" t="s">
        <v>1029</v>
      </c>
      <c r="D81" s="453" t="s">
        <v>1086</v>
      </c>
      <c r="E81" s="453" t="s">
        <v>1087</v>
      </c>
      <c r="F81" s="456">
        <v>2</v>
      </c>
      <c r="G81" s="456">
        <v>196</v>
      </c>
      <c r="H81" s="456">
        <v>0.65993265993265993</v>
      </c>
      <c r="I81" s="456">
        <v>98</v>
      </c>
      <c r="J81" s="456">
        <v>3</v>
      </c>
      <c r="K81" s="456">
        <v>297</v>
      </c>
      <c r="L81" s="456">
        <v>1</v>
      </c>
      <c r="M81" s="456">
        <v>99</v>
      </c>
      <c r="N81" s="456"/>
      <c r="O81" s="456"/>
      <c r="P81" s="478"/>
      <c r="Q81" s="457"/>
    </row>
    <row r="82" spans="1:17" ht="14.4" customHeight="1" x14ac:dyDescent="0.3">
      <c r="A82" s="452" t="s">
        <v>1178</v>
      </c>
      <c r="B82" s="453" t="s">
        <v>1028</v>
      </c>
      <c r="C82" s="453" t="s">
        <v>1029</v>
      </c>
      <c r="D82" s="453" t="s">
        <v>1088</v>
      </c>
      <c r="E82" s="453" t="s">
        <v>1089</v>
      </c>
      <c r="F82" s="456">
        <v>23</v>
      </c>
      <c r="G82" s="456">
        <v>483</v>
      </c>
      <c r="H82" s="456">
        <v>0.76666666666666672</v>
      </c>
      <c r="I82" s="456">
        <v>21</v>
      </c>
      <c r="J82" s="456">
        <v>30</v>
      </c>
      <c r="K82" s="456">
        <v>630</v>
      </c>
      <c r="L82" s="456">
        <v>1</v>
      </c>
      <c r="M82" s="456">
        <v>21</v>
      </c>
      <c r="N82" s="456">
        <v>33</v>
      </c>
      <c r="O82" s="456">
        <v>2178</v>
      </c>
      <c r="P82" s="478">
        <v>3.4571428571428573</v>
      </c>
      <c r="Q82" s="457">
        <v>66</v>
      </c>
    </row>
    <row r="83" spans="1:17" ht="14.4" customHeight="1" x14ac:dyDescent="0.3">
      <c r="A83" s="452" t="s">
        <v>1178</v>
      </c>
      <c r="B83" s="453" t="s">
        <v>1028</v>
      </c>
      <c r="C83" s="453" t="s">
        <v>1029</v>
      </c>
      <c r="D83" s="453" t="s">
        <v>1090</v>
      </c>
      <c r="E83" s="453" t="s">
        <v>1091</v>
      </c>
      <c r="F83" s="456">
        <v>345</v>
      </c>
      <c r="G83" s="456">
        <v>168015</v>
      </c>
      <c r="H83" s="456">
        <v>0.57961790031462168</v>
      </c>
      <c r="I83" s="456">
        <v>487</v>
      </c>
      <c r="J83" s="456">
        <v>594</v>
      </c>
      <c r="K83" s="456">
        <v>289872</v>
      </c>
      <c r="L83" s="456">
        <v>1</v>
      </c>
      <c r="M83" s="456">
        <v>488</v>
      </c>
      <c r="N83" s="456">
        <v>448</v>
      </c>
      <c r="O83" s="456">
        <v>146944</v>
      </c>
      <c r="P83" s="478">
        <v>0.50692719545178566</v>
      </c>
      <c r="Q83" s="457">
        <v>328</v>
      </c>
    </row>
    <row r="84" spans="1:17" ht="14.4" customHeight="1" x14ac:dyDescent="0.3">
      <c r="A84" s="452" t="s">
        <v>1178</v>
      </c>
      <c r="B84" s="453" t="s">
        <v>1028</v>
      </c>
      <c r="C84" s="453" t="s">
        <v>1029</v>
      </c>
      <c r="D84" s="453" t="s">
        <v>1098</v>
      </c>
      <c r="E84" s="453" t="s">
        <v>1099</v>
      </c>
      <c r="F84" s="456">
        <v>35</v>
      </c>
      <c r="G84" s="456">
        <v>1435</v>
      </c>
      <c r="H84" s="456">
        <v>0.63636363636363635</v>
      </c>
      <c r="I84" s="456">
        <v>41</v>
      </c>
      <c r="J84" s="456">
        <v>55</v>
      </c>
      <c r="K84" s="456">
        <v>2255</v>
      </c>
      <c r="L84" s="456">
        <v>1</v>
      </c>
      <c r="M84" s="456">
        <v>41</v>
      </c>
      <c r="N84" s="456">
        <v>41</v>
      </c>
      <c r="O84" s="456">
        <v>2091</v>
      </c>
      <c r="P84" s="478">
        <v>0.92727272727272725</v>
      </c>
      <c r="Q84" s="457">
        <v>51</v>
      </c>
    </row>
    <row r="85" spans="1:17" ht="14.4" customHeight="1" x14ac:dyDescent="0.3">
      <c r="A85" s="452" t="s">
        <v>1178</v>
      </c>
      <c r="B85" s="453" t="s">
        <v>1028</v>
      </c>
      <c r="C85" s="453" t="s">
        <v>1029</v>
      </c>
      <c r="D85" s="453" t="s">
        <v>1106</v>
      </c>
      <c r="E85" s="453" t="s">
        <v>1107</v>
      </c>
      <c r="F85" s="456"/>
      <c r="G85" s="456"/>
      <c r="H85" s="456"/>
      <c r="I85" s="456"/>
      <c r="J85" s="456">
        <v>2</v>
      </c>
      <c r="K85" s="456">
        <v>446</v>
      </c>
      <c r="L85" s="456">
        <v>1</v>
      </c>
      <c r="M85" s="456">
        <v>223</v>
      </c>
      <c r="N85" s="456">
        <v>1</v>
      </c>
      <c r="O85" s="456">
        <v>207</v>
      </c>
      <c r="P85" s="478">
        <v>0.4641255605381166</v>
      </c>
      <c r="Q85" s="457">
        <v>207</v>
      </c>
    </row>
    <row r="86" spans="1:17" ht="14.4" customHeight="1" x14ac:dyDescent="0.3">
      <c r="A86" s="452" t="s">
        <v>1178</v>
      </c>
      <c r="B86" s="453" t="s">
        <v>1028</v>
      </c>
      <c r="C86" s="453" t="s">
        <v>1029</v>
      </c>
      <c r="D86" s="453" t="s">
        <v>1108</v>
      </c>
      <c r="E86" s="453" t="s">
        <v>1109</v>
      </c>
      <c r="F86" s="456">
        <v>7</v>
      </c>
      <c r="G86" s="456">
        <v>5334</v>
      </c>
      <c r="H86" s="456">
        <v>0.87385321100917435</v>
      </c>
      <c r="I86" s="456">
        <v>762</v>
      </c>
      <c r="J86" s="456">
        <v>8</v>
      </c>
      <c r="K86" s="456">
        <v>6104</v>
      </c>
      <c r="L86" s="456">
        <v>1</v>
      </c>
      <c r="M86" s="456">
        <v>763</v>
      </c>
      <c r="N86" s="456">
        <v>2</v>
      </c>
      <c r="O86" s="456">
        <v>1526</v>
      </c>
      <c r="P86" s="478">
        <v>0.25</v>
      </c>
      <c r="Q86" s="457">
        <v>763</v>
      </c>
    </row>
    <row r="87" spans="1:17" ht="14.4" customHeight="1" x14ac:dyDescent="0.3">
      <c r="A87" s="452" t="s">
        <v>1178</v>
      </c>
      <c r="B87" s="453" t="s">
        <v>1028</v>
      </c>
      <c r="C87" s="453" t="s">
        <v>1029</v>
      </c>
      <c r="D87" s="453" t="s">
        <v>1110</v>
      </c>
      <c r="E87" s="453" t="s">
        <v>1111</v>
      </c>
      <c r="F87" s="456">
        <v>1</v>
      </c>
      <c r="G87" s="456">
        <v>2072</v>
      </c>
      <c r="H87" s="456">
        <v>0.49053030303030304</v>
      </c>
      <c r="I87" s="456">
        <v>2072</v>
      </c>
      <c r="J87" s="456">
        <v>2</v>
      </c>
      <c r="K87" s="456">
        <v>4224</v>
      </c>
      <c r="L87" s="456">
        <v>1</v>
      </c>
      <c r="M87" s="456">
        <v>2112</v>
      </c>
      <c r="N87" s="456">
        <v>2</v>
      </c>
      <c r="O87" s="456">
        <v>4232</v>
      </c>
      <c r="P87" s="478">
        <v>1.0018939393939394</v>
      </c>
      <c r="Q87" s="457">
        <v>2116</v>
      </c>
    </row>
    <row r="88" spans="1:17" ht="14.4" customHeight="1" x14ac:dyDescent="0.3">
      <c r="A88" s="452" t="s">
        <v>1178</v>
      </c>
      <c r="B88" s="453" t="s">
        <v>1028</v>
      </c>
      <c r="C88" s="453" t="s">
        <v>1029</v>
      </c>
      <c r="D88" s="453" t="s">
        <v>1112</v>
      </c>
      <c r="E88" s="453" t="s">
        <v>1113</v>
      </c>
      <c r="F88" s="456">
        <v>22</v>
      </c>
      <c r="G88" s="456">
        <v>13376</v>
      </c>
      <c r="H88" s="456">
        <v>0.55859016119602434</v>
      </c>
      <c r="I88" s="456">
        <v>608</v>
      </c>
      <c r="J88" s="456">
        <v>39</v>
      </c>
      <c r="K88" s="456">
        <v>23946</v>
      </c>
      <c r="L88" s="456">
        <v>1</v>
      </c>
      <c r="M88" s="456">
        <v>614</v>
      </c>
      <c r="N88" s="456">
        <v>41</v>
      </c>
      <c r="O88" s="456">
        <v>25092</v>
      </c>
      <c r="P88" s="478">
        <v>1.0478576797795038</v>
      </c>
      <c r="Q88" s="457">
        <v>612</v>
      </c>
    </row>
    <row r="89" spans="1:17" ht="14.4" customHeight="1" x14ac:dyDescent="0.3">
      <c r="A89" s="452" t="s">
        <v>1178</v>
      </c>
      <c r="B89" s="453" t="s">
        <v>1028</v>
      </c>
      <c r="C89" s="453" t="s">
        <v>1029</v>
      </c>
      <c r="D89" s="453" t="s">
        <v>1116</v>
      </c>
      <c r="E89" s="453" t="s">
        <v>1117</v>
      </c>
      <c r="F89" s="456">
        <v>1</v>
      </c>
      <c r="G89" s="456">
        <v>509</v>
      </c>
      <c r="H89" s="456"/>
      <c r="I89" s="456">
        <v>509</v>
      </c>
      <c r="J89" s="456"/>
      <c r="K89" s="456"/>
      <c r="L89" s="456"/>
      <c r="M89" s="456"/>
      <c r="N89" s="456"/>
      <c r="O89" s="456"/>
      <c r="P89" s="478"/>
      <c r="Q89" s="457"/>
    </row>
    <row r="90" spans="1:17" ht="14.4" customHeight="1" x14ac:dyDescent="0.3">
      <c r="A90" s="452" t="s">
        <v>1178</v>
      </c>
      <c r="B90" s="453" t="s">
        <v>1028</v>
      </c>
      <c r="C90" s="453" t="s">
        <v>1029</v>
      </c>
      <c r="D90" s="453" t="s">
        <v>1124</v>
      </c>
      <c r="E90" s="453" t="s">
        <v>1125</v>
      </c>
      <c r="F90" s="456"/>
      <c r="G90" s="456"/>
      <c r="H90" s="456"/>
      <c r="I90" s="456"/>
      <c r="J90" s="456">
        <v>1</v>
      </c>
      <c r="K90" s="456">
        <v>249</v>
      </c>
      <c r="L90" s="456">
        <v>1</v>
      </c>
      <c r="M90" s="456">
        <v>249</v>
      </c>
      <c r="N90" s="456"/>
      <c r="O90" s="456"/>
      <c r="P90" s="478"/>
      <c r="Q90" s="457"/>
    </row>
    <row r="91" spans="1:17" ht="14.4" customHeight="1" x14ac:dyDescent="0.3">
      <c r="A91" s="452" t="s">
        <v>1178</v>
      </c>
      <c r="B91" s="453" t="s">
        <v>1028</v>
      </c>
      <c r="C91" s="453" t="s">
        <v>1029</v>
      </c>
      <c r="D91" s="453" t="s">
        <v>1130</v>
      </c>
      <c r="E91" s="453" t="s">
        <v>1131</v>
      </c>
      <c r="F91" s="456">
        <v>18</v>
      </c>
      <c r="G91" s="456">
        <v>2736</v>
      </c>
      <c r="H91" s="456"/>
      <c r="I91" s="456">
        <v>152</v>
      </c>
      <c r="J91" s="456"/>
      <c r="K91" s="456"/>
      <c r="L91" s="456"/>
      <c r="M91" s="456"/>
      <c r="N91" s="456"/>
      <c r="O91" s="456"/>
      <c r="P91" s="478"/>
      <c r="Q91" s="457"/>
    </row>
    <row r="92" spans="1:17" ht="14.4" customHeight="1" x14ac:dyDescent="0.3">
      <c r="A92" s="452" t="s">
        <v>1178</v>
      </c>
      <c r="B92" s="453" t="s">
        <v>1028</v>
      </c>
      <c r="C92" s="453" t="s">
        <v>1029</v>
      </c>
      <c r="D92" s="453" t="s">
        <v>1132</v>
      </c>
      <c r="E92" s="453" t="s">
        <v>1133</v>
      </c>
      <c r="F92" s="456"/>
      <c r="G92" s="456"/>
      <c r="H92" s="456"/>
      <c r="I92" s="456"/>
      <c r="J92" s="456"/>
      <c r="K92" s="456"/>
      <c r="L92" s="456"/>
      <c r="M92" s="456"/>
      <c r="N92" s="456">
        <v>4</v>
      </c>
      <c r="O92" s="456">
        <v>188</v>
      </c>
      <c r="P92" s="478"/>
      <c r="Q92" s="457">
        <v>47</v>
      </c>
    </row>
    <row r="93" spans="1:17" ht="14.4" customHeight="1" x14ac:dyDescent="0.3">
      <c r="A93" s="452" t="s">
        <v>1178</v>
      </c>
      <c r="B93" s="453" t="s">
        <v>1028</v>
      </c>
      <c r="C93" s="453" t="s">
        <v>1029</v>
      </c>
      <c r="D93" s="453" t="s">
        <v>1136</v>
      </c>
      <c r="E93" s="453" t="s">
        <v>1137</v>
      </c>
      <c r="F93" s="456">
        <v>1</v>
      </c>
      <c r="G93" s="456">
        <v>328</v>
      </c>
      <c r="H93" s="456"/>
      <c r="I93" s="456">
        <v>328</v>
      </c>
      <c r="J93" s="456"/>
      <c r="K93" s="456"/>
      <c r="L93" s="456"/>
      <c r="M93" s="456"/>
      <c r="N93" s="456">
        <v>1</v>
      </c>
      <c r="O93" s="456">
        <v>377</v>
      </c>
      <c r="P93" s="478"/>
      <c r="Q93" s="457">
        <v>377</v>
      </c>
    </row>
    <row r="94" spans="1:17" ht="14.4" customHeight="1" x14ac:dyDescent="0.3">
      <c r="A94" s="452" t="s">
        <v>1178</v>
      </c>
      <c r="B94" s="453" t="s">
        <v>1028</v>
      </c>
      <c r="C94" s="453" t="s">
        <v>1029</v>
      </c>
      <c r="D94" s="453" t="s">
        <v>1138</v>
      </c>
      <c r="E94" s="453" t="s">
        <v>1139</v>
      </c>
      <c r="F94" s="456"/>
      <c r="G94" s="456"/>
      <c r="H94" s="456"/>
      <c r="I94" s="456"/>
      <c r="J94" s="456"/>
      <c r="K94" s="456"/>
      <c r="L94" s="456"/>
      <c r="M94" s="456"/>
      <c r="N94" s="456">
        <v>1</v>
      </c>
      <c r="O94" s="456">
        <v>36</v>
      </c>
      <c r="P94" s="478"/>
      <c r="Q94" s="457">
        <v>36</v>
      </c>
    </row>
    <row r="95" spans="1:17" ht="14.4" customHeight="1" x14ac:dyDescent="0.3">
      <c r="A95" s="452" t="s">
        <v>1178</v>
      </c>
      <c r="B95" s="453" t="s">
        <v>1028</v>
      </c>
      <c r="C95" s="453" t="s">
        <v>1029</v>
      </c>
      <c r="D95" s="453" t="s">
        <v>1144</v>
      </c>
      <c r="E95" s="453"/>
      <c r="F95" s="456"/>
      <c r="G95" s="456"/>
      <c r="H95" s="456"/>
      <c r="I95" s="456"/>
      <c r="J95" s="456"/>
      <c r="K95" s="456"/>
      <c r="L95" s="456"/>
      <c r="M95" s="456"/>
      <c r="N95" s="456">
        <v>43</v>
      </c>
      <c r="O95" s="456">
        <v>64199</v>
      </c>
      <c r="P95" s="478"/>
      <c r="Q95" s="457">
        <v>1493</v>
      </c>
    </row>
    <row r="96" spans="1:17" ht="14.4" customHeight="1" x14ac:dyDescent="0.3">
      <c r="A96" s="452" t="s">
        <v>1178</v>
      </c>
      <c r="B96" s="453" t="s">
        <v>1028</v>
      </c>
      <c r="C96" s="453" t="s">
        <v>1029</v>
      </c>
      <c r="D96" s="453" t="s">
        <v>1145</v>
      </c>
      <c r="E96" s="453"/>
      <c r="F96" s="456"/>
      <c r="G96" s="456"/>
      <c r="H96" s="456"/>
      <c r="I96" s="456"/>
      <c r="J96" s="456"/>
      <c r="K96" s="456"/>
      <c r="L96" s="456"/>
      <c r="M96" s="456"/>
      <c r="N96" s="456">
        <v>6</v>
      </c>
      <c r="O96" s="456">
        <v>1962</v>
      </c>
      <c r="P96" s="478"/>
      <c r="Q96" s="457">
        <v>327</v>
      </c>
    </row>
    <row r="97" spans="1:17" ht="14.4" customHeight="1" x14ac:dyDescent="0.3">
      <c r="A97" s="452" t="s">
        <v>1178</v>
      </c>
      <c r="B97" s="453" t="s">
        <v>1028</v>
      </c>
      <c r="C97" s="453" t="s">
        <v>1029</v>
      </c>
      <c r="D97" s="453" t="s">
        <v>1146</v>
      </c>
      <c r="E97" s="453"/>
      <c r="F97" s="456"/>
      <c r="G97" s="456"/>
      <c r="H97" s="456"/>
      <c r="I97" s="456"/>
      <c r="J97" s="456"/>
      <c r="K97" s="456"/>
      <c r="L97" s="456"/>
      <c r="M97" s="456"/>
      <c r="N97" s="456">
        <v>18</v>
      </c>
      <c r="O97" s="456">
        <v>15966</v>
      </c>
      <c r="P97" s="478"/>
      <c r="Q97" s="457">
        <v>887</v>
      </c>
    </row>
    <row r="98" spans="1:17" ht="14.4" customHeight="1" x14ac:dyDescent="0.3">
      <c r="A98" s="452" t="s">
        <v>1179</v>
      </c>
      <c r="B98" s="453" t="s">
        <v>1028</v>
      </c>
      <c r="C98" s="453" t="s">
        <v>1029</v>
      </c>
      <c r="D98" s="453" t="s">
        <v>1030</v>
      </c>
      <c r="E98" s="453" t="s">
        <v>1031</v>
      </c>
      <c r="F98" s="456">
        <v>499</v>
      </c>
      <c r="G98" s="456">
        <v>80339</v>
      </c>
      <c r="H98" s="456">
        <v>0.70361709581362764</v>
      </c>
      <c r="I98" s="456">
        <v>161</v>
      </c>
      <c r="J98" s="456">
        <v>660</v>
      </c>
      <c r="K98" s="456">
        <v>114180</v>
      </c>
      <c r="L98" s="456">
        <v>1</v>
      </c>
      <c r="M98" s="456">
        <v>173</v>
      </c>
      <c r="N98" s="456">
        <v>639</v>
      </c>
      <c r="O98" s="456">
        <v>110547</v>
      </c>
      <c r="P98" s="478">
        <v>0.96818181818181814</v>
      </c>
      <c r="Q98" s="457">
        <v>173</v>
      </c>
    </row>
    <row r="99" spans="1:17" ht="14.4" customHeight="1" x14ac:dyDescent="0.3">
      <c r="A99" s="452" t="s">
        <v>1179</v>
      </c>
      <c r="B99" s="453" t="s">
        <v>1028</v>
      </c>
      <c r="C99" s="453" t="s">
        <v>1029</v>
      </c>
      <c r="D99" s="453" t="s">
        <v>1044</v>
      </c>
      <c r="E99" s="453" t="s">
        <v>1045</v>
      </c>
      <c r="F99" s="456">
        <v>1</v>
      </c>
      <c r="G99" s="456">
        <v>1169</v>
      </c>
      <c r="H99" s="456"/>
      <c r="I99" s="456">
        <v>1169</v>
      </c>
      <c r="J99" s="456"/>
      <c r="K99" s="456"/>
      <c r="L99" s="456"/>
      <c r="M99" s="456"/>
      <c r="N99" s="456">
        <v>4</v>
      </c>
      <c r="O99" s="456">
        <v>4280</v>
      </c>
      <c r="P99" s="478"/>
      <c r="Q99" s="457">
        <v>1070</v>
      </c>
    </row>
    <row r="100" spans="1:17" ht="14.4" customHeight="1" x14ac:dyDescent="0.3">
      <c r="A100" s="452" t="s">
        <v>1179</v>
      </c>
      <c r="B100" s="453" t="s">
        <v>1028</v>
      </c>
      <c r="C100" s="453" t="s">
        <v>1029</v>
      </c>
      <c r="D100" s="453" t="s">
        <v>1046</v>
      </c>
      <c r="E100" s="453" t="s">
        <v>1047</v>
      </c>
      <c r="F100" s="456">
        <v>29</v>
      </c>
      <c r="G100" s="456">
        <v>1160</v>
      </c>
      <c r="H100" s="456">
        <v>0.7646671061305208</v>
      </c>
      <c r="I100" s="456">
        <v>40</v>
      </c>
      <c r="J100" s="456">
        <v>37</v>
      </c>
      <c r="K100" s="456">
        <v>1517</v>
      </c>
      <c r="L100" s="456">
        <v>1</v>
      </c>
      <c r="M100" s="456">
        <v>41</v>
      </c>
      <c r="N100" s="456">
        <v>20</v>
      </c>
      <c r="O100" s="456">
        <v>920</v>
      </c>
      <c r="P100" s="478">
        <v>0.60646011865524063</v>
      </c>
      <c r="Q100" s="457">
        <v>46</v>
      </c>
    </row>
    <row r="101" spans="1:17" ht="14.4" customHeight="1" x14ac:dyDescent="0.3">
      <c r="A101" s="452" t="s">
        <v>1179</v>
      </c>
      <c r="B101" s="453" t="s">
        <v>1028</v>
      </c>
      <c r="C101" s="453" t="s">
        <v>1029</v>
      </c>
      <c r="D101" s="453" t="s">
        <v>1048</v>
      </c>
      <c r="E101" s="453" t="s">
        <v>1049</v>
      </c>
      <c r="F101" s="456"/>
      <c r="G101" s="456"/>
      <c r="H101" s="456"/>
      <c r="I101" s="456"/>
      <c r="J101" s="456">
        <v>6</v>
      </c>
      <c r="K101" s="456">
        <v>2304</v>
      </c>
      <c r="L101" s="456">
        <v>1</v>
      </c>
      <c r="M101" s="456">
        <v>384</v>
      </c>
      <c r="N101" s="456">
        <v>8</v>
      </c>
      <c r="O101" s="456">
        <v>2776</v>
      </c>
      <c r="P101" s="478">
        <v>1.2048611111111112</v>
      </c>
      <c r="Q101" s="457">
        <v>347</v>
      </c>
    </row>
    <row r="102" spans="1:17" ht="14.4" customHeight="1" x14ac:dyDescent="0.3">
      <c r="A102" s="452" t="s">
        <v>1179</v>
      </c>
      <c r="B102" s="453" t="s">
        <v>1028</v>
      </c>
      <c r="C102" s="453" t="s">
        <v>1029</v>
      </c>
      <c r="D102" s="453" t="s">
        <v>1050</v>
      </c>
      <c r="E102" s="453" t="s">
        <v>1051</v>
      </c>
      <c r="F102" s="456"/>
      <c r="G102" s="456"/>
      <c r="H102" s="456"/>
      <c r="I102" s="456"/>
      <c r="J102" s="456">
        <v>11</v>
      </c>
      <c r="K102" s="456">
        <v>407</v>
      </c>
      <c r="L102" s="456">
        <v>1</v>
      </c>
      <c r="M102" s="456">
        <v>37</v>
      </c>
      <c r="N102" s="456">
        <v>2</v>
      </c>
      <c r="O102" s="456">
        <v>102</v>
      </c>
      <c r="P102" s="478">
        <v>0.25061425061425063</v>
      </c>
      <c r="Q102" s="457">
        <v>51</v>
      </c>
    </row>
    <row r="103" spans="1:17" ht="14.4" customHeight="1" x14ac:dyDescent="0.3">
      <c r="A103" s="452" t="s">
        <v>1179</v>
      </c>
      <c r="B103" s="453" t="s">
        <v>1028</v>
      </c>
      <c r="C103" s="453" t="s">
        <v>1029</v>
      </c>
      <c r="D103" s="453" t="s">
        <v>1054</v>
      </c>
      <c r="E103" s="453" t="s">
        <v>1055</v>
      </c>
      <c r="F103" s="456"/>
      <c r="G103" s="456"/>
      <c r="H103" s="456"/>
      <c r="I103" s="456"/>
      <c r="J103" s="456">
        <v>4</v>
      </c>
      <c r="K103" s="456">
        <v>1784</v>
      </c>
      <c r="L103" s="456">
        <v>1</v>
      </c>
      <c r="M103" s="456">
        <v>446</v>
      </c>
      <c r="N103" s="456">
        <v>2</v>
      </c>
      <c r="O103" s="456">
        <v>754</v>
      </c>
      <c r="P103" s="478">
        <v>0.4226457399103139</v>
      </c>
      <c r="Q103" s="457">
        <v>377</v>
      </c>
    </row>
    <row r="104" spans="1:17" ht="14.4" customHeight="1" x14ac:dyDescent="0.3">
      <c r="A104" s="452" t="s">
        <v>1179</v>
      </c>
      <c r="B104" s="453" t="s">
        <v>1028</v>
      </c>
      <c r="C104" s="453" t="s">
        <v>1029</v>
      </c>
      <c r="D104" s="453" t="s">
        <v>1056</v>
      </c>
      <c r="E104" s="453" t="s">
        <v>1057</v>
      </c>
      <c r="F104" s="456"/>
      <c r="G104" s="456"/>
      <c r="H104" s="456"/>
      <c r="I104" s="456"/>
      <c r="J104" s="456">
        <v>1</v>
      </c>
      <c r="K104" s="456">
        <v>42</v>
      </c>
      <c r="L104" s="456">
        <v>1</v>
      </c>
      <c r="M104" s="456">
        <v>42</v>
      </c>
      <c r="N104" s="456">
        <v>1</v>
      </c>
      <c r="O104" s="456">
        <v>34</v>
      </c>
      <c r="P104" s="478">
        <v>0.80952380952380953</v>
      </c>
      <c r="Q104" s="457">
        <v>34</v>
      </c>
    </row>
    <row r="105" spans="1:17" ht="14.4" customHeight="1" x14ac:dyDescent="0.3">
      <c r="A105" s="452" t="s">
        <v>1179</v>
      </c>
      <c r="B105" s="453" t="s">
        <v>1028</v>
      </c>
      <c r="C105" s="453" t="s">
        <v>1029</v>
      </c>
      <c r="D105" s="453" t="s">
        <v>1058</v>
      </c>
      <c r="E105" s="453" t="s">
        <v>1059</v>
      </c>
      <c r="F105" s="456">
        <v>1</v>
      </c>
      <c r="G105" s="456">
        <v>491</v>
      </c>
      <c r="H105" s="456">
        <v>0.99796747967479671</v>
      </c>
      <c r="I105" s="456">
        <v>491</v>
      </c>
      <c r="J105" s="456">
        <v>1</v>
      </c>
      <c r="K105" s="456">
        <v>492</v>
      </c>
      <c r="L105" s="456">
        <v>1</v>
      </c>
      <c r="M105" s="456">
        <v>492</v>
      </c>
      <c r="N105" s="456">
        <v>3</v>
      </c>
      <c r="O105" s="456">
        <v>1572</v>
      </c>
      <c r="P105" s="478">
        <v>3.1951219512195124</v>
      </c>
      <c r="Q105" s="457">
        <v>524</v>
      </c>
    </row>
    <row r="106" spans="1:17" ht="14.4" customHeight="1" x14ac:dyDescent="0.3">
      <c r="A106" s="452" t="s">
        <v>1179</v>
      </c>
      <c r="B106" s="453" t="s">
        <v>1028</v>
      </c>
      <c r="C106" s="453" t="s">
        <v>1029</v>
      </c>
      <c r="D106" s="453" t="s">
        <v>1060</v>
      </c>
      <c r="E106" s="453" t="s">
        <v>1061</v>
      </c>
      <c r="F106" s="456">
        <v>12</v>
      </c>
      <c r="G106" s="456">
        <v>372</v>
      </c>
      <c r="H106" s="456">
        <v>1.5</v>
      </c>
      <c r="I106" s="456">
        <v>31</v>
      </c>
      <c r="J106" s="456">
        <v>8</v>
      </c>
      <c r="K106" s="456">
        <v>248</v>
      </c>
      <c r="L106" s="456">
        <v>1</v>
      </c>
      <c r="M106" s="456">
        <v>31</v>
      </c>
      <c r="N106" s="456">
        <v>5</v>
      </c>
      <c r="O106" s="456">
        <v>285</v>
      </c>
      <c r="P106" s="478">
        <v>1.1491935483870968</v>
      </c>
      <c r="Q106" s="457">
        <v>57</v>
      </c>
    </row>
    <row r="107" spans="1:17" ht="14.4" customHeight="1" x14ac:dyDescent="0.3">
      <c r="A107" s="452" t="s">
        <v>1179</v>
      </c>
      <c r="B107" s="453" t="s">
        <v>1028</v>
      </c>
      <c r="C107" s="453" t="s">
        <v>1029</v>
      </c>
      <c r="D107" s="453" t="s">
        <v>1062</v>
      </c>
      <c r="E107" s="453" t="s">
        <v>1063</v>
      </c>
      <c r="F107" s="456">
        <v>3</v>
      </c>
      <c r="G107" s="456">
        <v>621</v>
      </c>
      <c r="H107" s="456">
        <v>2.9855769230769229</v>
      </c>
      <c r="I107" s="456">
        <v>207</v>
      </c>
      <c r="J107" s="456">
        <v>1</v>
      </c>
      <c r="K107" s="456">
        <v>208</v>
      </c>
      <c r="L107" s="456">
        <v>1</v>
      </c>
      <c r="M107" s="456">
        <v>208</v>
      </c>
      <c r="N107" s="456"/>
      <c r="O107" s="456"/>
      <c r="P107" s="478"/>
      <c r="Q107" s="457"/>
    </row>
    <row r="108" spans="1:17" ht="14.4" customHeight="1" x14ac:dyDescent="0.3">
      <c r="A108" s="452" t="s">
        <v>1179</v>
      </c>
      <c r="B108" s="453" t="s">
        <v>1028</v>
      </c>
      <c r="C108" s="453" t="s">
        <v>1029</v>
      </c>
      <c r="D108" s="453" t="s">
        <v>1064</v>
      </c>
      <c r="E108" s="453" t="s">
        <v>1065</v>
      </c>
      <c r="F108" s="456">
        <v>3</v>
      </c>
      <c r="G108" s="456">
        <v>1140</v>
      </c>
      <c r="H108" s="456">
        <v>2.96875</v>
      </c>
      <c r="I108" s="456">
        <v>380</v>
      </c>
      <c r="J108" s="456">
        <v>1</v>
      </c>
      <c r="K108" s="456">
        <v>384</v>
      </c>
      <c r="L108" s="456">
        <v>1</v>
      </c>
      <c r="M108" s="456">
        <v>384</v>
      </c>
      <c r="N108" s="456"/>
      <c r="O108" s="456"/>
      <c r="P108" s="478"/>
      <c r="Q108" s="457"/>
    </row>
    <row r="109" spans="1:17" ht="14.4" customHeight="1" x14ac:dyDescent="0.3">
      <c r="A109" s="452" t="s">
        <v>1179</v>
      </c>
      <c r="B109" s="453" t="s">
        <v>1028</v>
      </c>
      <c r="C109" s="453" t="s">
        <v>1029</v>
      </c>
      <c r="D109" s="453" t="s">
        <v>1074</v>
      </c>
      <c r="E109" s="453" t="s">
        <v>1075</v>
      </c>
      <c r="F109" s="456">
        <v>3</v>
      </c>
      <c r="G109" s="456">
        <v>48</v>
      </c>
      <c r="H109" s="456">
        <v>0.20168067226890757</v>
      </c>
      <c r="I109" s="456">
        <v>16</v>
      </c>
      <c r="J109" s="456">
        <v>14</v>
      </c>
      <c r="K109" s="456">
        <v>238</v>
      </c>
      <c r="L109" s="456">
        <v>1</v>
      </c>
      <c r="M109" s="456">
        <v>17</v>
      </c>
      <c r="N109" s="456">
        <v>18</v>
      </c>
      <c r="O109" s="456">
        <v>306</v>
      </c>
      <c r="P109" s="478">
        <v>1.2857142857142858</v>
      </c>
      <c r="Q109" s="457">
        <v>17</v>
      </c>
    </row>
    <row r="110" spans="1:17" ht="14.4" customHeight="1" x14ac:dyDescent="0.3">
      <c r="A110" s="452" t="s">
        <v>1179</v>
      </c>
      <c r="B110" s="453" t="s">
        <v>1028</v>
      </c>
      <c r="C110" s="453" t="s">
        <v>1029</v>
      </c>
      <c r="D110" s="453" t="s">
        <v>1076</v>
      </c>
      <c r="E110" s="453" t="s">
        <v>1077</v>
      </c>
      <c r="F110" s="456"/>
      <c r="G110" s="456"/>
      <c r="H110" s="456"/>
      <c r="I110" s="456"/>
      <c r="J110" s="456">
        <v>1</v>
      </c>
      <c r="K110" s="456">
        <v>139</v>
      </c>
      <c r="L110" s="456">
        <v>1</v>
      </c>
      <c r="M110" s="456">
        <v>139</v>
      </c>
      <c r="N110" s="456"/>
      <c r="O110" s="456"/>
      <c r="P110" s="478"/>
      <c r="Q110" s="457"/>
    </row>
    <row r="111" spans="1:17" ht="14.4" customHeight="1" x14ac:dyDescent="0.3">
      <c r="A111" s="452" t="s">
        <v>1179</v>
      </c>
      <c r="B111" s="453" t="s">
        <v>1028</v>
      </c>
      <c r="C111" s="453" t="s">
        <v>1029</v>
      </c>
      <c r="D111" s="453" t="s">
        <v>1078</v>
      </c>
      <c r="E111" s="453" t="s">
        <v>1079</v>
      </c>
      <c r="F111" s="456">
        <v>15</v>
      </c>
      <c r="G111" s="456">
        <v>1545</v>
      </c>
      <c r="H111" s="456">
        <v>7.5</v>
      </c>
      <c r="I111" s="456">
        <v>103</v>
      </c>
      <c r="J111" s="456">
        <v>2</v>
      </c>
      <c r="K111" s="456">
        <v>206</v>
      </c>
      <c r="L111" s="456">
        <v>1</v>
      </c>
      <c r="M111" s="456">
        <v>103</v>
      </c>
      <c r="N111" s="456">
        <v>2</v>
      </c>
      <c r="O111" s="456">
        <v>130</v>
      </c>
      <c r="P111" s="478">
        <v>0.6310679611650486</v>
      </c>
      <c r="Q111" s="457">
        <v>65</v>
      </c>
    </row>
    <row r="112" spans="1:17" ht="14.4" customHeight="1" x14ac:dyDescent="0.3">
      <c r="A112" s="452" t="s">
        <v>1179</v>
      </c>
      <c r="B112" s="453" t="s">
        <v>1028</v>
      </c>
      <c r="C112" s="453" t="s">
        <v>1029</v>
      </c>
      <c r="D112" s="453" t="s">
        <v>1082</v>
      </c>
      <c r="E112" s="453" t="s">
        <v>1083</v>
      </c>
      <c r="F112" s="456">
        <v>223</v>
      </c>
      <c r="G112" s="456">
        <v>25868</v>
      </c>
      <c r="H112" s="456">
        <v>0.63532763532763536</v>
      </c>
      <c r="I112" s="456">
        <v>116</v>
      </c>
      <c r="J112" s="456">
        <v>348</v>
      </c>
      <c r="K112" s="456">
        <v>40716</v>
      </c>
      <c r="L112" s="456">
        <v>1</v>
      </c>
      <c r="M112" s="456">
        <v>117</v>
      </c>
      <c r="N112" s="456">
        <v>288</v>
      </c>
      <c r="O112" s="456">
        <v>39168</v>
      </c>
      <c r="P112" s="478">
        <v>0.96198054818744472</v>
      </c>
      <c r="Q112" s="457">
        <v>136</v>
      </c>
    </row>
    <row r="113" spans="1:17" ht="14.4" customHeight="1" x14ac:dyDescent="0.3">
      <c r="A113" s="452" t="s">
        <v>1179</v>
      </c>
      <c r="B113" s="453" t="s">
        <v>1028</v>
      </c>
      <c r="C113" s="453" t="s">
        <v>1029</v>
      </c>
      <c r="D113" s="453" t="s">
        <v>1084</v>
      </c>
      <c r="E113" s="453" t="s">
        <v>1085</v>
      </c>
      <c r="F113" s="456">
        <v>74</v>
      </c>
      <c r="G113" s="456">
        <v>6290</v>
      </c>
      <c r="H113" s="456">
        <v>0.75957010022944094</v>
      </c>
      <c r="I113" s="456">
        <v>85</v>
      </c>
      <c r="J113" s="456">
        <v>91</v>
      </c>
      <c r="K113" s="456">
        <v>8281</v>
      </c>
      <c r="L113" s="456">
        <v>1</v>
      </c>
      <c r="M113" s="456">
        <v>91</v>
      </c>
      <c r="N113" s="456">
        <v>53</v>
      </c>
      <c r="O113" s="456">
        <v>4823</v>
      </c>
      <c r="P113" s="478">
        <v>0.58241758241758246</v>
      </c>
      <c r="Q113" s="457">
        <v>91</v>
      </c>
    </row>
    <row r="114" spans="1:17" ht="14.4" customHeight="1" x14ac:dyDescent="0.3">
      <c r="A114" s="452" t="s">
        <v>1179</v>
      </c>
      <c r="B114" s="453" t="s">
        <v>1028</v>
      </c>
      <c r="C114" s="453" t="s">
        <v>1029</v>
      </c>
      <c r="D114" s="453" t="s">
        <v>1086</v>
      </c>
      <c r="E114" s="453" t="s">
        <v>1087</v>
      </c>
      <c r="F114" s="456">
        <v>2</v>
      </c>
      <c r="G114" s="456">
        <v>196</v>
      </c>
      <c r="H114" s="456"/>
      <c r="I114" s="456">
        <v>98</v>
      </c>
      <c r="J114" s="456"/>
      <c r="K114" s="456"/>
      <c r="L114" s="456"/>
      <c r="M114" s="456"/>
      <c r="N114" s="456">
        <v>2</v>
      </c>
      <c r="O114" s="456">
        <v>274</v>
      </c>
      <c r="P114" s="478"/>
      <c r="Q114" s="457">
        <v>137</v>
      </c>
    </row>
    <row r="115" spans="1:17" ht="14.4" customHeight="1" x14ac:dyDescent="0.3">
      <c r="A115" s="452" t="s">
        <v>1179</v>
      </c>
      <c r="B115" s="453" t="s">
        <v>1028</v>
      </c>
      <c r="C115" s="453" t="s">
        <v>1029</v>
      </c>
      <c r="D115" s="453" t="s">
        <v>1088</v>
      </c>
      <c r="E115" s="453" t="s">
        <v>1089</v>
      </c>
      <c r="F115" s="456">
        <v>30</v>
      </c>
      <c r="G115" s="456">
        <v>630</v>
      </c>
      <c r="H115" s="456">
        <v>0.55555555555555558</v>
      </c>
      <c r="I115" s="456">
        <v>21</v>
      </c>
      <c r="J115" s="456">
        <v>54</v>
      </c>
      <c r="K115" s="456">
        <v>1134</v>
      </c>
      <c r="L115" s="456">
        <v>1</v>
      </c>
      <c r="M115" s="456">
        <v>21</v>
      </c>
      <c r="N115" s="456">
        <v>16</v>
      </c>
      <c r="O115" s="456">
        <v>1056</v>
      </c>
      <c r="P115" s="478">
        <v>0.93121693121693117</v>
      </c>
      <c r="Q115" s="457">
        <v>66</v>
      </c>
    </row>
    <row r="116" spans="1:17" ht="14.4" customHeight="1" x14ac:dyDescent="0.3">
      <c r="A116" s="452" t="s">
        <v>1179</v>
      </c>
      <c r="B116" s="453" t="s">
        <v>1028</v>
      </c>
      <c r="C116" s="453" t="s">
        <v>1029</v>
      </c>
      <c r="D116" s="453" t="s">
        <v>1090</v>
      </c>
      <c r="E116" s="453" t="s">
        <v>1091</v>
      </c>
      <c r="F116" s="456">
        <v>5</v>
      </c>
      <c r="G116" s="456">
        <v>2435</v>
      </c>
      <c r="H116" s="456">
        <v>0.83162568306010931</v>
      </c>
      <c r="I116" s="456">
        <v>487</v>
      </c>
      <c r="J116" s="456">
        <v>6</v>
      </c>
      <c r="K116" s="456">
        <v>2928</v>
      </c>
      <c r="L116" s="456">
        <v>1</v>
      </c>
      <c r="M116" s="456">
        <v>488</v>
      </c>
      <c r="N116" s="456">
        <v>3</v>
      </c>
      <c r="O116" s="456">
        <v>984</v>
      </c>
      <c r="P116" s="478">
        <v>0.33606557377049179</v>
      </c>
      <c r="Q116" s="457">
        <v>328</v>
      </c>
    </row>
    <row r="117" spans="1:17" ht="14.4" customHeight="1" x14ac:dyDescent="0.3">
      <c r="A117" s="452" t="s">
        <v>1179</v>
      </c>
      <c r="B117" s="453" t="s">
        <v>1028</v>
      </c>
      <c r="C117" s="453" t="s">
        <v>1029</v>
      </c>
      <c r="D117" s="453" t="s">
        <v>1098</v>
      </c>
      <c r="E117" s="453" t="s">
        <v>1099</v>
      </c>
      <c r="F117" s="456">
        <v>32</v>
      </c>
      <c r="G117" s="456">
        <v>1312</v>
      </c>
      <c r="H117" s="456">
        <v>1.0666666666666667</v>
      </c>
      <c r="I117" s="456">
        <v>41</v>
      </c>
      <c r="J117" s="456">
        <v>30</v>
      </c>
      <c r="K117" s="456">
        <v>1230</v>
      </c>
      <c r="L117" s="456">
        <v>1</v>
      </c>
      <c r="M117" s="456">
        <v>41</v>
      </c>
      <c r="N117" s="456">
        <v>29</v>
      </c>
      <c r="O117" s="456">
        <v>1479</v>
      </c>
      <c r="P117" s="478">
        <v>1.2024390243902439</v>
      </c>
      <c r="Q117" s="457">
        <v>51</v>
      </c>
    </row>
    <row r="118" spans="1:17" ht="14.4" customHeight="1" x14ac:dyDescent="0.3">
      <c r="A118" s="452" t="s">
        <v>1179</v>
      </c>
      <c r="B118" s="453" t="s">
        <v>1028</v>
      </c>
      <c r="C118" s="453" t="s">
        <v>1029</v>
      </c>
      <c r="D118" s="453" t="s">
        <v>1106</v>
      </c>
      <c r="E118" s="453" t="s">
        <v>1107</v>
      </c>
      <c r="F118" s="456"/>
      <c r="G118" s="456"/>
      <c r="H118" s="456"/>
      <c r="I118" s="456"/>
      <c r="J118" s="456">
        <v>2</v>
      </c>
      <c r="K118" s="456">
        <v>446</v>
      </c>
      <c r="L118" s="456">
        <v>1</v>
      </c>
      <c r="M118" s="456">
        <v>223</v>
      </c>
      <c r="N118" s="456"/>
      <c r="O118" s="456"/>
      <c r="P118" s="478"/>
      <c r="Q118" s="457"/>
    </row>
    <row r="119" spans="1:17" ht="14.4" customHeight="1" x14ac:dyDescent="0.3">
      <c r="A119" s="452" t="s">
        <v>1179</v>
      </c>
      <c r="B119" s="453" t="s">
        <v>1028</v>
      </c>
      <c r="C119" s="453" t="s">
        <v>1029</v>
      </c>
      <c r="D119" s="453" t="s">
        <v>1112</v>
      </c>
      <c r="E119" s="453" t="s">
        <v>1113</v>
      </c>
      <c r="F119" s="456"/>
      <c r="G119" s="456"/>
      <c r="H119" s="456"/>
      <c r="I119" s="456"/>
      <c r="J119" s="456">
        <v>1</v>
      </c>
      <c r="K119" s="456">
        <v>614</v>
      </c>
      <c r="L119" s="456">
        <v>1</v>
      </c>
      <c r="M119" s="456">
        <v>614</v>
      </c>
      <c r="N119" s="456">
        <v>1</v>
      </c>
      <c r="O119" s="456">
        <v>612</v>
      </c>
      <c r="P119" s="478">
        <v>0.99674267100977199</v>
      </c>
      <c r="Q119" s="457">
        <v>612</v>
      </c>
    </row>
    <row r="120" spans="1:17" ht="14.4" customHeight="1" x14ac:dyDescent="0.3">
      <c r="A120" s="452" t="s">
        <v>1179</v>
      </c>
      <c r="B120" s="453" t="s">
        <v>1028</v>
      </c>
      <c r="C120" s="453" t="s">
        <v>1029</v>
      </c>
      <c r="D120" s="453" t="s">
        <v>1116</v>
      </c>
      <c r="E120" s="453" t="s">
        <v>1117</v>
      </c>
      <c r="F120" s="456">
        <v>1</v>
      </c>
      <c r="G120" s="456">
        <v>509</v>
      </c>
      <c r="H120" s="456"/>
      <c r="I120" s="456">
        <v>509</v>
      </c>
      <c r="J120" s="456"/>
      <c r="K120" s="456"/>
      <c r="L120" s="456"/>
      <c r="M120" s="456"/>
      <c r="N120" s="456"/>
      <c r="O120" s="456"/>
      <c r="P120" s="478"/>
      <c r="Q120" s="457"/>
    </row>
    <row r="121" spans="1:17" ht="14.4" customHeight="1" x14ac:dyDescent="0.3">
      <c r="A121" s="452" t="s">
        <v>1180</v>
      </c>
      <c r="B121" s="453" t="s">
        <v>1028</v>
      </c>
      <c r="C121" s="453" t="s">
        <v>1029</v>
      </c>
      <c r="D121" s="453" t="s">
        <v>1030</v>
      </c>
      <c r="E121" s="453" t="s">
        <v>1031</v>
      </c>
      <c r="F121" s="456">
        <v>73</v>
      </c>
      <c r="G121" s="456">
        <v>11753</v>
      </c>
      <c r="H121" s="456">
        <v>0.79925195511730707</v>
      </c>
      <c r="I121" s="456">
        <v>161</v>
      </c>
      <c r="J121" s="456">
        <v>85</v>
      </c>
      <c r="K121" s="456">
        <v>14705</v>
      </c>
      <c r="L121" s="456">
        <v>1</v>
      </c>
      <c r="M121" s="456">
        <v>173</v>
      </c>
      <c r="N121" s="456">
        <v>109</v>
      </c>
      <c r="O121" s="456">
        <v>18857</v>
      </c>
      <c r="P121" s="478">
        <v>1.2823529411764707</v>
      </c>
      <c r="Q121" s="457">
        <v>173</v>
      </c>
    </row>
    <row r="122" spans="1:17" ht="14.4" customHeight="1" x14ac:dyDescent="0.3">
      <c r="A122" s="452" t="s">
        <v>1180</v>
      </c>
      <c r="B122" s="453" t="s">
        <v>1028</v>
      </c>
      <c r="C122" s="453" t="s">
        <v>1029</v>
      </c>
      <c r="D122" s="453" t="s">
        <v>1046</v>
      </c>
      <c r="E122" s="453" t="s">
        <v>1047</v>
      </c>
      <c r="F122" s="456">
        <v>10</v>
      </c>
      <c r="G122" s="456">
        <v>400</v>
      </c>
      <c r="H122" s="456">
        <v>0.27874564459930312</v>
      </c>
      <c r="I122" s="456">
        <v>40</v>
      </c>
      <c r="J122" s="456">
        <v>35</v>
      </c>
      <c r="K122" s="456">
        <v>1435</v>
      </c>
      <c r="L122" s="456">
        <v>1</v>
      </c>
      <c r="M122" s="456">
        <v>41</v>
      </c>
      <c r="N122" s="456">
        <v>24</v>
      </c>
      <c r="O122" s="456">
        <v>1104</v>
      </c>
      <c r="P122" s="478">
        <v>0.76933797909407664</v>
      </c>
      <c r="Q122" s="457">
        <v>46</v>
      </c>
    </row>
    <row r="123" spans="1:17" ht="14.4" customHeight="1" x14ac:dyDescent="0.3">
      <c r="A123" s="452" t="s">
        <v>1180</v>
      </c>
      <c r="B123" s="453" t="s">
        <v>1028</v>
      </c>
      <c r="C123" s="453" t="s">
        <v>1029</v>
      </c>
      <c r="D123" s="453" t="s">
        <v>1048</v>
      </c>
      <c r="E123" s="453" t="s">
        <v>1049</v>
      </c>
      <c r="F123" s="456">
        <v>3</v>
      </c>
      <c r="G123" s="456">
        <v>1149</v>
      </c>
      <c r="H123" s="456">
        <v>2.9921875</v>
      </c>
      <c r="I123" s="456">
        <v>383</v>
      </c>
      <c r="J123" s="456">
        <v>1</v>
      </c>
      <c r="K123" s="456">
        <v>384</v>
      </c>
      <c r="L123" s="456">
        <v>1</v>
      </c>
      <c r="M123" s="456">
        <v>384</v>
      </c>
      <c r="N123" s="456">
        <v>2</v>
      </c>
      <c r="O123" s="456">
        <v>694</v>
      </c>
      <c r="P123" s="478">
        <v>1.8072916666666667</v>
      </c>
      <c r="Q123" s="457">
        <v>347</v>
      </c>
    </row>
    <row r="124" spans="1:17" ht="14.4" customHeight="1" x14ac:dyDescent="0.3">
      <c r="A124" s="452" t="s">
        <v>1180</v>
      </c>
      <c r="B124" s="453" t="s">
        <v>1028</v>
      </c>
      <c r="C124" s="453" t="s">
        <v>1029</v>
      </c>
      <c r="D124" s="453" t="s">
        <v>1054</v>
      </c>
      <c r="E124" s="453" t="s">
        <v>1055</v>
      </c>
      <c r="F124" s="456">
        <v>3</v>
      </c>
      <c r="G124" s="456">
        <v>1335</v>
      </c>
      <c r="H124" s="456">
        <v>0.99775784753363228</v>
      </c>
      <c r="I124" s="456">
        <v>445</v>
      </c>
      <c r="J124" s="456">
        <v>3</v>
      </c>
      <c r="K124" s="456">
        <v>1338</v>
      </c>
      <c r="L124" s="456">
        <v>1</v>
      </c>
      <c r="M124" s="456">
        <v>446</v>
      </c>
      <c r="N124" s="456">
        <v>8</v>
      </c>
      <c r="O124" s="456">
        <v>3016</v>
      </c>
      <c r="P124" s="478">
        <v>2.2541106128550075</v>
      </c>
      <c r="Q124" s="457">
        <v>377</v>
      </c>
    </row>
    <row r="125" spans="1:17" ht="14.4" customHeight="1" x14ac:dyDescent="0.3">
      <c r="A125" s="452" t="s">
        <v>1180</v>
      </c>
      <c r="B125" s="453" t="s">
        <v>1028</v>
      </c>
      <c r="C125" s="453" t="s">
        <v>1029</v>
      </c>
      <c r="D125" s="453" t="s">
        <v>1056</v>
      </c>
      <c r="E125" s="453" t="s">
        <v>1057</v>
      </c>
      <c r="F125" s="456">
        <v>2</v>
      </c>
      <c r="G125" s="456">
        <v>82</v>
      </c>
      <c r="H125" s="456">
        <v>1.9523809523809523</v>
      </c>
      <c r="I125" s="456">
        <v>41</v>
      </c>
      <c r="J125" s="456">
        <v>1</v>
      </c>
      <c r="K125" s="456">
        <v>42</v>
      </c>
      <c r="L125" s="456">
        <v>1</v>
      </c>
      <c r="M125" s="456">
        <v>42</v>
      </c>
      <c r="N125" s="456">
        <v>1</v>
      </c>
      <c r="O125" s="456">
        <v>34</v>
      </c>
      <c r="P125" s="478">
        <v>0.80952380952380953</v>
      </c>
      <c r="Q125" s="457">
        <v>34</v>
      </c>
    </row>
    <row r="126" spans="1:17" ht="14.4" customHeight="1" x14ac:dyDescent="0.3">
      <c r="A126" s="452" t="s">
        <v>1180</v>
      </c>
      <c r="B126" s="453" t="s">
        <v>1028</v>
      </c>
      <c r="C126" s="453" t="s">
        <v>1029</v>
      </c>
      <c r="D126" s="453" t="s">
        <v>1058</v>
      </c>
      <c r="E126" s="453" t="s">
        <v>1059</v>
      </c>
      <c r="F126" s="456">
        <v>1</v>
      </c>
      <c r="G126" s="456">
        <v>491</v>
      </c>
      <c r="H126" s="456"/>
      <c r="I126" s="456">
        <v>491</v>
      </c>
      <c r="J126" s="456"/>
      <c r="K126" s="456"/>
      <c r="L126" s="456"/>
      <c r="M126" s="456"/>
      <c r="N126" s="456"/>
      <c r="O126" s="456"/>
      <c r="P126" s="478"/>
      <c r="Q126" s="457"/>
    </row>
    <row r="127" spans="1:17" ht="14.4" customHeight="1" x14ac:dyDescent="0.3">
      <c r="A127" s="452" t="s">
        <v>1180</v>
      </c>
      <c r="B127" s="453" t="s">
        <v>1028</v>
      </c>
      <c r="C127" s="453" t="s">
        <v>1029</v>
      </c>
      <c r="D127" s="453" t="s">
        <v>1060</v>
      </c>
      <c r="E127" s="453" t="s">
        <v>1061</v>
      </c>
      <c r="F127" s="456">
        <v>1</v>
      </c>
      <c r="G127" s="456">
        <v>31</v>
      </c>
      <c r="H127" s="456"/>
      <c r="I127" s="456">
        <v>31</v>
      </c>
      <c r="J127" s="456"/>
      <c r="K127" s="456"/>
      <c r="L127" s="456"/>
      <c r="M127" s="456"/>
      <c r="N127" s="456"/>
      <c r="O127" s="456"/>
      <c r="P127" s="478"/>
      <c r="Q127" s="457"/>
    </row>
    <row r="128" spans="1:17" ht="14.4" customHeight="1" x14ac:dyDescent="0.3">
      <c r="A128" s="452" t="s">
        <v>1180</v>
      </c>
      <c r="B128" s="453" t="s">
        <v>1028</v>
      </c>
      <c r="C128" s="453" t="s">
        <v>1029</v>
      </c>
      <c r="D128" s="453" t="s">
        <v>1074</v>
      </c>
      <c r="E128" s="453" t="s">
        <v>1075</v>
      </c>
      <c r="F128" s="456">
        <v>12</v>
      </c>
      <c r="G128" s="456">
        <v>192</v>
      </c>
      <c r="H128" s="456">
        <v>1.8823529411764706</v>
      </c>
      <c r="I128" s="456">
        <v>16</v>
      </c>
      <c r="J128" s="456">
        <v>6</v>
      </c>
      <c r="K128" s="456">
        <v>102</v>
      </c>
      <c r="L128" s="456">
        <v>1</v>
      </c>
      <c r="M128" s="456">
        <v>17</v>
      </c>
      <c r="N128" s="456">
        <v>14</v>
      </c>
      <c r="O128" s="456">
        <v>238</v>
      </c>
      <c r="P128" s="478">
        <v>2.3333333333333335</v>
      </c>
      <c r="Q128" s="457">
        <v>17</v>
      </c>
    </row>
    <row r="129" spans="1:17" ht="14.4" customHeight="1" x14ac:dyDescent="0.3">
      <c r="A129" s="452" t="s">
        <v>1180</v>
      </c>
      <c r="B129" s="453" t="s">
        <v>1028</v>
      </c>
      <c r="C129" s="453" t="s">
        <v>1029</v>
      </c>
      <c r="D129" s="453" t="s">
        <v>1078</v>
      </c>
      <c r="E129" s="453" t="s">
        <v>1079</v>
      </c>
      <c r="F129" s="456">
        <v>1</v>
      </c>
      <c r="G129" s="456">
        <v>103</v>
      </c>
      <c r="H129" s="456">
        <v>1</v>
      </c>
      <c r="I129" s="456">
        <v>103</v>
      </c>
      <c r="J129" s="456">
        <v>1</v>
      </c>
      <c r="K129" s="456">
        <v>103</v>
      </c>
      <c r="L129" s="456">
        <v>1</v>
      </c>
      <c r="M129" s="456">
        <v>103</v>
      </c>
      <c r="N129" s="456"/>
      <c r="O129" s="456"/>
      <c r="P129" s="478"/>
      <c r="Q129" s="457"/>
    </row>
    <row r="130" spans="1:17" ht="14.4" customHeight="1" x14ac:dyDescent="0.3">
      <c r="A130" s="452" t="s">
        <v>1180</v>
      </c>
      <c r="B130" s="453" t="s">
        <v>1028</v>
      </c>
      <c r="C130" s="453" t="s">
        <v>1029</v>
      </c>
      <c r="D130" s="453" t="s">
        <v>1082</v>
      </c>
      <c r="E130" s="453" t="s">
        <v>1083</v>
      </c>
      <c r="F130" s="456">
        <v>26</v>
      </c>
      <c r="G130" s="456">
        <v>3016</v>
      </c>
      <c r="H130" s="456">
        <v>2.1481481481481484</v>
      </c>
      <c r="I130" s="456">
        <v>116</v>
      </c>
      <c r="J130" s="456">
        <v>12</v>
      </c>
      <c r="K130" s="456">
        <v>1404</v>
      </c>
      <c r="L130" s="456">
        <v>1</v>
      </c>
      <c r="M130" s="456">
        <v>117</v>
      </c>
      <c r="N130" s="456">
        <v>12</v>
      </c>
      <c r="O130" s="456">
        <v>1632</v>
      </c>
      <c r="P130" s="478">
        <v>1.1623931623931625</v>
      </c>
      <c r="Q130" s="457">
        <v>136</v>
      </c>
    </row>
    <row r="131" spans="1:17" ht="14.4" customHeight="1" x14ac:dyDescent="0.3">
      <c r="A131" s="452" t="s">
        <v>1180</v>
      </c>
      <c r="B131" s="453" t="s">
        <v>1028</v>
      </c>
      <c r="C131" s="453" t="s">
        <v>1029</v>
      </c>
      <c r="D131" s="453" t="s">
        <v>1084</v>
      </c>
      <c r="E131" s="453" t="s">
        <v>1085</v>
      </c>
      <c r="F131" s="456">
        <v>3</v>
      </c>
      <c r="G131" s="456">
        <v>255</v>
      </c>
      <c r="H131" s="456">
        <v>1.401098901098901</v>
      </c>
      <c r="I131" s="456">
        <v>85</v>
      </c>
      <c r="J131" s="456">
        <v>2</v>
      </c>
      <c r="K131" s="456">
        <v>182</v>
      </c>
      <c r="L131" s="456">
        <v>1</v>
      </c>
      <c r="M131" s="456">
        <v>91</v>
      </c>
      <c r="N131" s="456">
        <v>2</v>
      </c>
      <c r="O131" s="456">
        <v>182</v>
      </c>
      <c r="P131" s="478">
        <v>1</v>
      </c>
      <c r="Q131" s="457">
        <v>91</v>
      </c>
    </row>
    <row r="132" spans="1:17" ht="14.4" customHeight="1" x14ac:dyDescent="0.3">
      <c r="A132" s="452" t="s">
        <v>1180</v>
      </c>
      <c r="B132" s="453" t="s">
        <v>1028</v>
      </c>
      <c r="C132" s="453" t="s">
        <v>1029</v>
      </c>
      <c r="D132" s="453" t="s">
        <v>1088</v>
      </c>
      <c r="E132" s="453" t="s">
        <v>1089</v>
      </c>
      <c r="F132" s="456">
        <v>1</v>
      </c>
      <c r="G132" s="456">
        <v>21</v>
      </c>
      <c r="H132" s="456"/>
      <c r="I132" s="456">
        <v>21</v>
      </c>
      <c r="J132" s="456"/>
      <c r="K132" s="456"/>
      <c r="L132" s="456"/>
      <c r="M132" s="456"/>
      <c r="N132" s="456"/>
      <c r="O132" s="456"/>
      <c r="P132" s="478"/>
      <c r="Q132" s="457"/>
    </row>
    <row r="133" spans="1:17" ht="14.4" customHeight="1" x14ac:dyDescent="0.3">
      <c r="A133" s="452" t="s">
        <v>1180</v>
      </c>
      <c r="B133" s="453" t="s">
        <v>1028</v>
      </c>
      <c r="C133" s="453" t="s">
        <v>1029</v>
      </c>
      <c r="D133" s="453" t="s">
        <v>1090</v>
      </c>
      <c r="E133" s="453" t="s">
        <v>1091</v>
      </c>
      <c r="F133" s="456">
        <v>4</v>
      </c>
      <c r="G133" s="456">
        <v>1948</v>
      </c>
      <c r="H133" s="456">
        <v>0.99795081967213117</v>
      </c>
      <c r="I133" s="456">
        <v>487</v>
      </c>
      <c r="J133" s="456">
        <v>4</v>
      </c>
      <c r="K133" s="456">
        <v>1952</v>
      </c>
      <c r="L133" s="456">
        <v>1</v>
      </c>
      <c r="M133" s="456">
        <v>488</v>
      </c>
      <c r="N133" s="456">
        <v>4</v>
      </c>
      <c r="O133" s="456">
        <v>1312</v>
      </c>
      <c r="P133" s="478">
        <v>0.67213114754098358</v>
      </c>
      <c r="Q133" s="457">
        <v>328</v>
      </c>
    </row>
    <row r="134" spans="1:17" ht="14.4" customHeight="1" x14ac:dyDescent="0.3">
      <c r="A134" s="452" t="s">
        <v>1180</v>
      </c>
      <c r="B134" s="453" t="s">
        <v>1028</v>
      </c>
      <c r="C134" s="453" t="s">
        <v>1029</v>
      </c>
      <c r="D134" s="453" t="s">
        <v>1098</v>
      </c>
      <c r="E134" s="453" t="s">
        <v>1099</v>
      </c>
      <c r="F134" s="456"/>
      <c r="G134" s="456"/>
      <c r="H134" s="456"/>
      <c r="I134" s="456"/>
      <c r="J134" s="456">
        <v>1</v>
      </c>
      <c r="K134" s="456">
        <v>41</v>
      </c>
      <c r="L134" s="456">
        <v>1</v>
      </c>
      <c r="M134" s="456">
        <v>41</v>
      </c>
      <c r="N134" s="456">
        <v>4</v>
      </c>
      <c r="O134" s="456">
        <v>204</v>
      </c>
      <c r="P134" s="478">
        <v>4.975609756097561</v>
      </c>
      <c r="Q134" s="457">
        <v>51</v>
      </c>
    </row>
    <row r="135" spans="1:17" ht="14.4" customHeight="1" x14ac:dyDescent="0.3">
      <c r="A135" s="452" t="s">
        <v>1180</v>
      </c>
      <c r="B135" s="453" t="s">
        <v>1028</v>
      </c>
      <c r="C135" s="453" t="s">
        <v>1029</v>
      </c>
      <c r="D135" s="453" t="s">
        <v>1106</v>
      </c>
      <c r="E135" s="453" t="s">
        <v>1107</v>
      </c>
      <c r="F135" s="456"/>
      <c r="G135" s="456"/>
      <c r="H135" s="456"/>
      <c r="I135" s="456"/>
      <c r="J135" s="456">
        <v>1</v>
      </c>
      <c r="K135" s="456">
        <v>223</v>
      </c>
      <c r="L135" s="456">
        <v>1</v>
      </c>
      <c r="M135" s="456">
        <v>223</v>
      </c>
      <c r="N135" s="456"/>
      <c r="O135" s="456"/>
      <c r="P135" s="478"/>
      <c r="Q135" s="457"/>
    </row>
    <row r="136" spans="1:17" ht="14.4" customHeight="1" x14ac:dyDescent="0.3">
      <c r="A136" s="452" t="s">
        <v>1181</v>
      </c>
      <c r="B136" s="453" t="s">
        <v>1028</v>
      </c>
      <c r="C136" s="453" t="s">
        <v>1029</v>
      </c>
      <c r="D136" s="453" t="s">
        <v>1030</v>
      </c>
      <c r="E136" s="453" t="s">
        <v>1031</v>
      </c>
      <c r="F136" s="456">
        <v>321</v>
      </c>
      <c r="G136" s="456">
        <v>51681</v>
      </c>
      <c r="H136" s="456">
        <v>1.0408853799520654</v>
      </c>
      <c r="I136" s="456">
        <v>161</v>
      </c>
      <c r="J136" s="456">
        <v>287</v>
      </c>
      <c r="K136" s="456">
        <v>49651</v>
      </c>
      <c r="L136" s="456">
        <v>1</v>
      </c>
      <c r="M136" s="456">
        <v>173</v>
      </c>
      <c r="N136" s="456">
        <v>317</v>
      </c>
      <c r="O136" s="456">
        <v>54841</v>
      </c>
      <c r="P136" s="478">
        <v>1.1045296167247387</v>
      </c>
      <c r="Q136" s="457">
        <v>173</v>
      </c>
    </row>
    <row r="137" spans="1:17" ht="14.4" customHeight="1" x14ac:dyDescent="0.3">
      <c r="A137" s="452" t="s">
        <v>1181</v>
      </c>
      <c r="B137" s="453" t="s">
        <v>1028</v>
      </c>
      <c r="C137" s="453" t="s">
        <v>1029</v>
      </c>
      <c r="D137" s="453" t="s">
        <v>1044</v>
      </c>
      <c r="E137" s="453" t="s">
        <v>1045</v>
      </c>
      <c r="F137" s="456">
        <v>1</v>
      </c>
      <c r="G137" s="456">
        <v>1169</v>
      </c>
      <c r="H137" s="456"/>
      <c r="I137" s="456">
        <v>1169</v>
      </c>
      <c r="J137" s="456"/>
      <c r="K137" s="456"/>
      <c r="L137" s="456"/>
      <c r="M137" s="456"/>
      <c r="N137" s="456"/>
      <c r="O137" s="456"/>
      <c r="P137" s="478"/>
      <c r="Q137" s="457"/>
    </row>
    <row r="138" spans="1:17" ht="14.4" customHeight="1" x14ac:dyDescent="0.3">
      <c r="A138" s="452" t="s">
        <v>1181</v>
      </c>
      <c r="B138" s="453" t="s">
        <v>1028</v>
      </c>
      <c r="C138" s="453" t="s">
        <v>1029</v>
      </c>
      <c r="D138" s="453" t="s">
        <v>1046</v>
      </c>
      <c r="E138" s="453" t="s">
        <v>1047</v>
      </c>
      <c r="F138" s="456">
        <v>33</v>
      </c>
      <c r="G138" s="456">
        <v>1320</v>
      </c>
      <c r="H138" s="456">
        <v>1.7886178861788617</v>
      </c>
      <c r="I138" s="456">
        <v>40</v>
      </c>
      <c r="J138" s="456">
        <v>18</v>
      </c>
      <c r="K138" s="456">
        <v>738</v>
      </c>
      <c r="L138" s="456">
        <v>1</v>
      </c>
      <c r="M138" s="456">
        <v>41</v>
      </c>
      <c r="N138" s="456">
        <v>11</v>
      </c>
      <c r="O138" s="456">
        <v>506</v>
      </c>
      <c r="P138" s="478">
        <v>0.68563685636856364</v>
      </c>
      <c r="Q138" s="457">
        <v>46</v>
      </c>
    </row>
    <row r="139" spans="1:17" ht="14.4" customHeight="1" x14ac:dyDescent="0.3">
      <c r="A139" s="452" t="s">
        <v>1181</v>
      </c>
      <c r="B139" s="453" t="s">
        <v>1028</v>
      </c>
      <c r="C139" s="453" t="s">
        <v>1029</v>
      </c>
      <c r="D139" s="453" t="s">
        <v>1048</v>
      </c>
      <c r="E139" s="453" t="s">
        <v>1049</v>
      </c>
      <c r="F139" s="456">
        <v>3</v>
      </c>
      <c r="G139" s="456">
        <v>1149</v>
      </c>
      <c r="H139" s="456">
        <v>0.99739583333333337</v>
      </c>
      <c r="I139" s="456">
        <v>383</v>
      </c>
      <c r="J139" s="456">
        <v>3</v>
      </c>
      <c r="K139" s="456">
        <v>1152</v>
      </c>
      <c r="L139" s="456">
        <v>1</v>
      </c>
      <c r="M139" s="456">
        <v>384</v>
      </c>
      <c r="N139" s="456">
        <v>4</v>
      </c>
      <c r="O139" s="456">
        <v>1388</v>
      </c>
      <c r="P139" s="478">
        <v>1.2048611111111112</v>
      </c>
      <c r="Q139" s="457">
        <v>347</v>
      </c>
    </row>
    <row r="140" spans="1:17" ht="14.4" customHeight="1" x14ac:dyDescent="0.3">
      <c r="A140" s="452" t="s">
        <v>1181</v>
      </c>
      <c r="B140" s="453" t="s">
        <v>1028</v>
      </c>
      <c r="C140" s="453" t="s">
        <v>1029</v>
      </c>
      <c r="D140" s="453" t="s">
        <v>1050</v>
      </c>
      <c r="E140" s="453" t="s">
        <v>1051</v>
      </c>
      <c r="F140" s="456"/>
      <c r="G140" s="456"/>
      <c r="H140" s="456"/>
      <c r="I140" s="456"/>
      <c r="J140" s="456"/>
      <c r="K140" s="456"/>
      <c r="L140" s="456"/>
      <c r="M140" s="456"/>
      <c r="N140" s="456">
        <v>4</v>
      </c>
      <c r="O140" s="456">
        <v>204</v>
      </c>
      <c r="P140" s="478"/>
      <c r="Q140" s="457">
        <v>51</v>
      </c>
    </row>
    <row r="141" spans="1:17" ht="14.4" customHeight="1" x14ac:dyDescent="0.3">
      <c r="A141" s="452" t="s">
        <v>1181</v>
      </c>
      <c r="B141" s="453" t="s">
        <v>1028</v>
      </c>
      <c r="C141" s="453" t="s">
        <v>1029</v>
      </c>
      <c r="D141" s="453" t="s">
        <v>1054</v>
      </c>
      <c r="E141" s="453" t="s">
        <v>1055</v>
      </c>
      <c r="F141" s="456"/>
      <c r="G141" s="456"/>
      <c r="H141" s="456"/>
      <c r="I141" s="456"/>
      <c r="J141" s="456"/>
      <c r="K141" s="456"/>
      <c r="L141" s="456"/>
      <c r="M141" s="456"/>
      <c r="N141" s="456">
        <v>4</v>
      </c>
      <c r="O141" s="456">
        <v>1508</v>
      </c>
      <c r="P141" s="478"/>
      <c r="Q141" s="457">
        <v>377</v>
      </c>
    </row>
    <row r="142" spans="1:17" ht="14.4" customHeight="1" x14ac:dyDescent="0.3">
      <c r="A142" s="452" t="s">
        <v>1181</v>
      </c>
      <c r="B142" s="453" t="s">
        <v>1028</v>
      </c>
      <c r="C142" s="453" t="s">
        <v>1029</v>
      </c>
      <c r="D142" s="453" t="s">
        <v>1056</v>
      </c>
      <c r="E142" s="453" t="s">
        <v>1057</v>
      </c>
      <c r="F142" s="456">
        <v>14</v>
      </c>
      <c r="G142" s="456">
        <v>574</v>
      </c>
      <c r="H142" s="456">
        <v>0.97619047619047616</v>
      </c>
      <c r="I142" s="456">
        <v>41</v>
      </c>
      <c r="J142" s="456">
        <v>14</v>
      </c>
      <c r="K142" s="456">
        <v>588</v>
      </c>
      <c r="L142" s="456">
        <v>1</v>
      </c>
      <c r="M142" s="456">
        <v>42</v>
      </c>
      <c r="N142" s="456">
        <v>7</v>
      </c>
      <c r="O142" s="456">
        <v>238</v>
      </c>
      <c r="P142" s="478">
        <v>0.40476190476190477</v>
      </c>
      <c r="Q142" s="457">
        <v>34</v>
      </c>
    </row>
    <row r="143" spans="1:17" ht="14.4" customHeight="1" x14ac:dyDescent="0.3">
      <c r="A143" s="452" t="s">
        <v>1181</v>
      </c>
      <c r="B143" s="453" t="s">
        <v>1028</v>
      </c>
      <c r="C143" s="453" t="s">
        <v>1029</v>
      </c>
      <c r="D143" s="453" t="s">
        <v>1058</v>
      </c>
      <c r="E143" s="453" t="s">
        <v>1059</v>
      </c>
      <c r="F143" s="456">
        <v>1</v>
      </c>
      <c r="G143" s="456">
        <v>491</v>
      </c>
      <c r="H143" s="456">
        <v>0.33265582655826559</v>
      </c>
      <c r="I143" s="456">
        <v>491</v>
      </c>
      <c r="J143" s="456">
        <v>3</v>
      </c>
      <c r="K143" s="456">
        <v>1476</v>
      </c>
      <c r="L143" s="456">
        <v>1</v>
      </c>
      <c r="M143" s="456">
        <v>492</v>
      </c>
      <c r="N143" s="456">
        <v>1</v>
      </c>
      <c r="O143" s="456">
        <v>524</v>
      </c>
      <c r="P143" s="478">
        <v>0.35501355013550134</v>
      </c>
      <c r="Q143" s="457">
        <v>524</v>
      </c>
    </row>
    <row r="144" spans="1:17" ht="14.4" customHeight="1" x14ac:dyDescent="0.3">
      <c r="A144" s="452" t="s">
        <v>1181</v>
      </c>
      <c r="B144" s="453" t="s">
        <v>1028</v>
      </c>
      <c r="C144" s="453" t="s">
        <v>1029</v>
      </c>
      <c r="D144" s="453" t="s">
        <v>1060</v>
      </c>
      <c r="E144" s="453" t="s">
        <v>1061</v>
      </c>
      <c r="F144" s="456">
        <v>19</v>
      </c>
      <c r="G144" s="456">
        <v>589</v>
      </c>
      <c r="H144" s="456"/>
      <c r="I144" s="456">
        <v>31</v>
      </c>
      <c r="J144" s="456"/>
      <c r="K144" s="456"/>
      <c r="L144" s="456"/>
      <c r="M144" s="456"/>
      <c r="N144" s="456">
        <v>3</v>
      </c>
      <c r="O144" s="456">
        <v>171</v>
      </c>
      <c r="P144" s="478"/>
      <c r="Q144" s="457">
        <v>57</v>
      </c>
    </row>
    <row r="145" spans="1:17" ht="14.4" customHeight="1" x14ac:dyDescent="0.3">
      <c r="A145" s="452" t="s">
        <v>1181</v>
      </c>
      <c r="B145" s="453" t="s">
        <v>1028</v>
      </c>
      <c r="C145" s="453" t="s">
        <v>1029</v>
      </c>
      <c r="D145" s="453" t="s">
        <v>1062</v>
      </c>
      <c r="E145" s="453" t="s">
        <v>1063</v>
      </c>
      <c r="F145" s="456">
        <v>3</v>
      </c>
      <c r="G145" s="456">
        <v>621</v>
      </c>
      <c r="H145" s="456"/>
      <c r="I145" s="456">
        <v>207</v>
      </c>
      <c r="J145" s="456"/>
      <c r="K145" s="456"/>
      <c r="L145" s="456"/>
      <c r="M145" s="456"/>
      <c r="N145" s="456"/>
      <c r="O145" s="456"/>
      <c r="P145" s="478"/>
      <c r="Q145" s="457"/>
    </row>
    <row r="146" spans="1:17" ht="14.4" customHeight="1" x14ac:dyDescent="0.3">
      <c r="A146" s="452" t="s">
        <v>1181</v>
      </c>
      <c r="B146" s="453" t="s">
        <v>1028</v>
      </c>
      <c r="C146" s="453" t="s">
        <v>1029</v>
      </c>
      <c r="D146" s="453" t="s">
        <v>1064</v>
      </c>
      <c r="E146" s="453" t="s">
        <v>1065</v>
      </c>
      <c r="F146" s="456">
        <v>3</v>
      </c>
      <c r="G146" s="456">
        <v>1140</v>
      </c>
      <c r="H146" s="456"/>
      <c r="I146" s="456">
        <v>380</v>
      </c>
      <c r="J146" s="456"/>
      <c r="K146" s="456"/>
      <c r="L146" s="456"/>
      <c r="M146" s="456"/>
      <c r="N146" s="456"/>
      <c r="O146" s="456"/>
      <c r="P146" s="478"/>
      <c r="Q146" s="457"/>
    </row>
    <row r="147" spans="1:17" ht="14.4" customHeight="1" x14ac:dyDescent="0.3">
      <c r="A147" s="452" t="s">
        <v>1181</v>
      </c>
      <c r="B147" s="453" t="s">
        <v>1028</v>
      </c>
      <c r="C147" s="453" t="s">
        <v>1029</v>
      </c>
      <c r="D147" s="453" t="s">
        <v>1074</v>
      </c>
      <c r="E147" s="453" t="s">
        <v>1075</v>
      </c>
      <c r="F147" s="456">
        <v>59</v>
      </c>
      <c r="G147" s="456">
        <v>944</v>
      </c>
      <c r="H147" s="456">
        <v>1.0678733031674208</v>
      </c>
      <c r="I147" s="456">
        <v>16</v>
      </c>
      <c r="J147" s="456">
        <v>52</v>
      </c>
      <c r="K147" s="456">
        <v>884</v>
      </c>
      <c r="L147" s="456">
        <v>1</v>
      </c>
      <c r="M147" s="456">
        <v>17</v>
      </c>
      <c r="N147" s="456">
        <v>36</v>
      </c>
      <c r="O147" s="456">
        <v>612</v>
      </c>
      <c r="P147" s="478">
        <v>0.69230769230769229</v>
      </c>
      <c r="Q147" s="457">
        <v>17</v>
      </c>
    </row>
    <row r="148" spans="1:17" ht="14.4" customHeight="1" x14ac:dyDescent="0.3">
      <c r="A148" s="452" t="s">
        <v>1181</v>
      </c>
      <c r="B148" s="453" t="s">
        <v>1028</v>
      </c>
      <c r="C148" s="453" t="s">
        <v>1029</v>
      </c>
      <c r="D148" s="453" t="s">
        <v>1078</v>
      </c>
      <c r="E148" s="453" t="s">
        <v>1079</v>
      </c>
      <c r="F148" s="456">
        <v>11</v>
      </c>
      <c r="G148" s="456">
        <v>1133</v>
      </c>
      <c r="H148" s="456">
        <v>11</v>
      </c>
      <c r="I148" s="456">
        <v>103</v>
      </c>
      <c r="J148" s="456">
        <v>1</v>
      </c>
      <c r="K148" s="456">
        <v>103</v>
      </c>
      <c r="L148" s="456">
        <v>1</v>
      </c>
      <c r="M148" s="456">
        <v>103</v>
      </c>
      <c r="N148" s="456"/>
      <c r="O148" s="456"/>
      <c r="P148" s="478"/>
      <c r="Q148" s="457"/>
    </row>
    <row r="149" spans="1:17" ht="14.4" customHeight="1" x14ac:dyDescent="0.3">
      <c r="A149" s="452" t="s">
        <v>1181</v>
      </c>
      <c r="B149" s="453" t="s">
        <v>1028</v>
      </c>
      <c r="C149" s="453" t="s">
        <v>1029</v>
      </c>
      <c r="D149" s="453" t="s">
        <v>1082</v>
      </c>
      <c r="E149" s="453" t="s">
        <v>1083</v>
      </c>
      <c r="F149" s="456">
        <v>95</v>
      </c>
      <c r="G149" s="456">
        <v>11020</v>
      </c>
      <c r="H149" s="456">
        <v>0.77203306711503428</v>
      </c>
      <c r="I149" s="456">
        <v>116</v>
      </c>
      <c r="J149" s="456">
        <v>122</v>
      </c>
      <c r="K149" s="456">
        <v>14274</v>
      </c>
      <c r="L149" s="456">
        <v>1</v>
      </c>
      <c r="M149" s="456">
        <v>117</v>
      </c>
      <c r="N149" s="456">
        <v>123</v>
      </c>
      <c r="O149" s="456">
        <v>16728</v>
      </c>
      <c r="P149" s="478">
        <v>1.1719209751996638</v>
      </c>
      <c r="Q149" s="457">
        <v>136</v>
      </c>
    </row>
    <row r="150" spans="1:17" ht="14.4" customHeight="1" x14ac:dyDescent="0.3">
      <c r="A150" s="452" t="s">
        <v>1181</v>
      </c>
      <c r="B150" s="453" t="s">
        <v>1028</v>
      </c>
      <c r="C150" s="453" t="s">
        <v>1029</v>
      </c>
      <c r="D150" s="453" t="s">
        <v>1084</v>
      </c>
      <c r="E150" s="453" t="s">
        <v>1085</v>
      </c>
      <c r="F150" s="456">
        <v>67</v>
      </c>
      <c r="G150" s="456">
        <v>5695</v>
      </c>
      <c r="H150" s="456">
        <v>1.0259412718429113</v>
      </c>
      <c r="I150" s="456">
        <v>85</v>
      </c>
      <c r="J150" s="456">
        <v>61</v>
      </c>
      <c r="K150" s="456">
        <v>5551</v>
      </c>
      <c r="L150" s="456">
        <v>1</v>
      </c>
      <c r="M150" s="456">
        <v>91</v>
      </c>
      <c r="N150" s="456">
        <v>69</v>
      </c>
      <c r="O150" s="456">
        <v>6279</v>
      </c>
      <c r="P150" s="478">
        <v>1.1311475409836065</v>
      </c>
      <c r="Q150" s="457">
        <v>91</v>
      </c>
    </row>
    <row r="151" spans="1:17" ht="14.4" customHeight="1" x14ac:dyDescent="0.3">
      <c r="A151" s="452" t="s">
        <v>1181</v>
      </c>
      <c r="B151" s="453" t="s">
        <v>1028</v>
      </c>
      <c r="C151" s="453" t="s">
        <v>1029</v>
      </c>
      <c r="D151" s="453" t="s">
        <v>1086</v>
      </c>
      <c r="E151" s="453" t="s">
        <v>1087</v>
      </c>
      <c r="F151" s="456"/>
      <c r="G151" s="456"/>
      <c r="H151" s="456"/>
      <c r="I151" s="456"/>
      <c r="J151" s="456">
        <v>1</v>
      </c>
      <c r="K151" s="456">
        <v>99</v>
      </c>
      <c r="L151" s="456">
        <v>1</v>
      </c>
      <c r="M151" s="456">
        <v>99</v>
      </c>
      <c r="N151" s="456">
        <v>2</v>
      </c>
      <c r="O151" s="456">
        <v>274</v>
      </c>
      <c r="P151" s="478">
        <v>2.7676767676767677</v>
      </c>
      <c r="Q151" s="457">
        <v>137</v>
      </c>
    </row>
    <row r="152" spans="1:17" ht="14.4" customHeight="1" x14ac:dyDescent="0.3">
      <c r="A152" s="452" t="s">
        <v>1181</v>
      </c>
      <c r="B152" s="453" t="s">
        <v>1028</v>
      </c>
      <c r="C152" s="453" t="s">
        <v>1029</v>
      </c>
      <c r="D152" s="453" t="s">
        <v>1088</v>
      </c>
      <c r="E152" s="453" t="s">
        <v>1089</v>
      </c>
      <c r="F152" s="456">
        <v>24</v>
      </c>
      <c r="G152" s="456">
        <v>504</v>
      </c>
      <c r="H152" s="456">
        <v>1.5</v>
      </c>
      <c r="I152" s="456">
        <v>21</v>
      </c>
      <c r="J152" s="456">
        <v>16</v>
      </c>
      <c r="K152" s="456">
        <v>336</v>
      </c>
      <c r="L152" s="456">
        <v>1</v>
      </c>
      <c r="M152" s="456">
        <v>21</v>
      </c>
      <c r="N152" s="456">
        <v>9</v>
      </c>
      <c r="O152" s="456">
        <v>594</v>
      </c>
      <c r="P152" s="478">
        <v>1.7678571428571428</v>
      </c>
      <c r="Q152" s="457">
        <v>66</v>
      </c>
    </row>
    <row r="153" spans="1:17" ht="14.4" customHeight="1" x14ac:dyDescent="0.3">
      <c r="A153" s="452" t="s">
        <v>1181</v>
      </c>
      <c r="B153" s="453" t="s">
        <v>1028</v>
      </c>
      <c r="C153" s="453" t="s">
        <v>1029</v>
      </c>
      <c r="D153" s="453" t="s">
        <v>1090</v>
      </c>
      <c r="E153" s="453" t="s">
        <v>1091</v>
      </c>
      <c r="F153" s="456">
        <v>7</v>
      </c>
      <c r="G153" s="456">
        <v>3409</v>
      </c>
      <c r="H153" s="456">
        <v>0.77618397085610202</v>
      </c>
      <c r="I153" s="456">
        <v>487</v>
      </c>
      <c r="J153" s="456">
        <v>9</v>
      </c>
      <c r="K153" s="456">
        <v>4392</v>
      </c>
      <c r="L153" s="456">
        <v>1</v>
      </c>
      <c r="M153" s="456">
        <v>488</v>
      </c>
      <c r="N153" s="456">
        <v>3</v>
      </c>
      <c r="O153" s="456">
        <v>984</v>
      </c>
      <c r="P153" s="478">
        <v>0.22404371584699453</v>
      </c>
      <c r="Q153" s="457">
        <v>328</v>
      </c>
    </row>
    <row r="154" spans="1:17" ht="14.4" customHeight="1" x14ac:dyDescent="0.3">
      <c r="A154" s="452" t="s">
        <v>1181</v>
      </c>
      <c r="B154" s="453" t="s">
        <v>1028</v>
      </c>
      <c r="C154" s="453" t="s">
        <v>1029</v>
      </c>
      <c r="D154" s="453" t="s">
        <v>1098</v>
      </c>
      <c r="E154" s="453" t="s">
        <v>1099</v>
      </c>
      <c r="F154" s="456">
        <v>13</v>
      </c>
      <c r="G154" s="456">
        <v>533</v>
      </c>
      <c r="H154" s="456">
        <v>2.1666666666666665</v>
      </c>
      <c r="I154" s="456">
        <v>41</v>
      </c>
      <c r="J154" s="456">
        <v>6</v>
      </c>
      <c r="K154" s="456">
        <v>246</v>
      </c>
      <c r="L154" s="456">
        <v>1</v>
      </c>
      <c r="M154" s="456">
        <v>41</v>
      </c>
      <c r="N154" s="456">
        <v>5</v>
      </c>
      <c r="O154" s="456">
        <v>255</v>
      </c>
      <c r="P154" s="478">
        <v>1.0365853658536586</v>
      </c>
      <c r="Q154" s="457">
        <v>51</v>
      </c>
    </row>
    <row r="155" spans="1:17" ht="14.4" customHeight="1" x14ac:dyDescent="0.3">
      <c r="A155" s="452" t="s">
        <v>1181</v>
      </c>
      <c r="B155" s="453" t="s">
        <v>1028</v>
      </c>
      <c r="C155" s="453" t="s">
        <v>1029</v>
      </c>
      <c r="D155" s="453" t="s">
        <v>1112</v>
      </c>
      <c r="E155" s="453" t="s">
        <v>1113</v>
      </c>
      <c r="F155" s="456"/>
      <c r="G155" s="456"/>
      <c r="H155" s="456"/>
      <c r="I155" s="456"/>
      <c r="J155" s="456">
        <v>2</v>
      </c>
      <c r="K155" s="456">
        <v>1228</v>
      </c>
      <c r="L155" s="456">
        <v>1</v>
      </c>
      <c r="M155" s="456">
        <v>614</v>
      </c>
      <c r="N155" s="456">
        <v>2</v>
      </c>
      <c r="O155" s="456">
        <v>1224</v>
      </c>
      <c r="P155" s="478">
        <v>0.99674267100977199</v>
      </c>
      <c r="Q155" s="457">
        <v>612</v>
      </c>
    </row>
    <row r="156" spans="1:17" ht="14.4" customHeight="1" x14ac:dyDescent="0.3">
      <c r="A156" s="452" t="s">
        <v>1182</v>
      </c>
      <c r="B156" s="453" t="s">
        <v>1028</v>
      </c>
      <c r="C156" s="453" t="s">
        <v>1029</v>
      </c>
      <c r="D156" s="453" t="s">
        <v>1030</v>
      </c>
      <c r="E156" s="453" t="s">
        <v>1031</v>
      </c>
      <c r="F156" s="456">
        <v>195</v>
      </c>
      <c r="G156" s="456">
        <v>31395</v>
      </c>
      <c r="H156" s="456">
        <v>0.64581490547795861</v>
      </c>
      <c r="I156" s="456">
        <v>161</v>
      </c>
      <c r="J156" s="456">
        <v>281</v>
      </c>
      <c r="K156" s="456">
        <v>48613</v>
      </c>
      <c r="L156" s="456">
        <v>1</v>
      </c>
      <c r="M156" s="456">
        <v>173</v>
      </c>
      <c r="N156" s="456">
        <v>276</v>
      </c>
      <c r="O156" s="456">
        <v>47748</v>
      </c>
      <c r="P156" s="478">
        <v>0.98220640569395012</v>
      </c>
      <c r="Q156" s="457">
        <v>173</v>
      </c>
    </row>
    <row r="157" spans="1:17" ht="14.4" customHeight="1" x14ac:dyDescent="0.3">
      <c r="A157" s="452" t="s">
        <v>1182</v>
      </c>
      <c r="B157" s="453" t="s">
        <v>1028</v>
      </c>
      <c r="C157" s="453" t="s">
        <v>1029</v>
      </c>
      <c r="D157" s="453" t="s">
        <v>1044</v>
      </c>
      <c r="E157" s="453" t="s">
        <v>1045</v>
      </c>
      <c r="F157" s="456">
        <v>20</v>
      </c>
      <c r="G157" s="456">
        <v>23380</v>
      </c>
      <c r="H157" s="456">
        <v>0.49829497016197782</v>
      </c>
      <c r="I157" s="456">
        <v>1169</v>
      </c>
      <c r="J157" s="456">
        <v>40</v>
      </c>
      <c r="K157" s="456">
        <v>46920</v>
      </c>
      <c r="L157" s="456">
        <v>1</v>
      </c>
      <c r="M157" s="456">
        <v>1173</v>
      </c>
      <c r="N157" s="456">
        <v>18</v>
      </c>
      <c r="O157" s="456">
        <v>19260</v>
      </c>
      <c r="P157" s="478">
        <v>0.41048593350383633</v>
      </c>
      <c r="Q157" s="457">
        <v>1070</v>
      </c>
    </row>
    <row r="158" spans="1:17" ht="14.4" customHeight="1" x14ac:dyDescent="0.3">
      <c r="A158" s="452" t="s">
        <v>1182</v>
      </c>
      <c r="B158" s="453" t="s">
        <v>1028</v>
      </c>
      <c r="C158" s="453" t="s">
        <v>1029</v>
      </c>
      <c r="D158" s="453" t="s">
        <v>1046</v>
      </c>
      <c r="E158" s="453" t="s">
        <v>1047</v>
      </c>
      <c r="F158" s="456">
        <v>45</v>
      </c>
      <c r="G158" s="456">
        <v>1800</v>
      </c>
      <c r="H158" s="456">
        <v>0.87804878048780488</v>
      </c>
      <c r="I158" s="456">
        <v>40</v>
      </c>
      <c r="J158" s="456">
        <v>50</v>
      </c>
      <c r="K158" s="456">
        <v>2050</v>
      </c>
      <c r="L158" s="456">
        <v>1</v>
      </c>
      <c r="M158" s="456">
        <v>41</v>
      </c>
      <c r="N158" s="456">
        <v>12</v>
      </c>
      <c r="O158" s="456">
        <v>552</v>
      </c>
      <c r="P158" s="478">
        <v>0.26926829268292685</v>
      </c>
      <c r="Q158" s="457">
        <v>46</v>
      </c>
    </row>
    <row r="159" spans="1:17" ht="14.4" customHeight="1" x14ac:dyDescent="0.3">
      <c r="A159" s="452" t="s">
        <v>1182</v>
      </c>
      <c r="B159" s="453" t="s">
        <v>1028</v>
      </c>
      <c r="C159" s="453" t="s">
        <v>1029</v>
      </c>
      <c r="D159" s="453" t="s">
        <v>1048</v>
      </c>
      <c r="E159" s="453" t="s">
        <v>1049</v>
      </c>
      <c r="F159" s="456">
        <v>11</v>
      </c>
      <c r="G159" s="456">
        <v>4213</v>
      </c>
      <c r="H159" s="456">
        <v>1.5673363095238095</v>
      </c>
      <c r="I159" s="456">
        <v>383</v>
      </c>
      <c r="J159" s="456">
        <v>7</v>
      </c>
      <c r="K159" s="456">
        <v>2688</v>
      </c>
      <c r="L159" s="456">
        <v>1</v>
      </c>
      <c r="M159" s="456">
        <v>384</v>
      </c>
      <c r="N159" s="456">
        <v>5</v>
      </c>
      <c r="O159" s="456">
        <v>1735</v>
      </c>
      <c r="P159" s="478">
        <v>0.64546130952380953</v>
      </c>
      <c r="Q159" s="457">
        <v>347</v>
      </c>
    </row>
    <row r="160" spans="1:17" ht="14.4" customHeight="1" x14ac:dyDescent="0.3">
      <c r="A160" s="452" t="s">
        <v>1182</v>
      </c>
      <c r="B160" s="453" t="s">
        <v>1028</v>
      </c>
      <c r="C160" s="453" t="s">
        <v>1029</v>
      </c>
      <c r="D160" s="453" t="s">
        <v>1050</v>
      </c>
      <c r="E160" s="453" t="s">
        <v>1051</v>
      </c>
      <c r="F160" s="456"/>
      <c r="G160" s="456"/>
      <c r="H160" s="456"/>
      <c r="I160" s="456"/>
      <c r="J160" s="456">
        <v>24</v>
      </c>
      <c r="K160" s="456">
        <v>888</v>
      </c>
      <c r="L160" s="456">
        <v>1</v>
      </c>
      <c r="M160" s="456">
        <v>37</v>
      </c>
      <c r="N160" s="456"/>
      <c r="O160" s="456"/>
      <c r="P160" s="478"/>
      <c r="Q160" s="457"/>
    </row>
    <row r="161" spans="1:17" ht="14.4" customHeight="1" x14ac:dyDescent="0.3">
      <c r="A161" s="452" t="s">
        <v>1182</v>
      </c>
      <c r="B161" s="453" t="s">
        <v>1028</v>
      </c>
      <c r="C161" s="453" t="s">
        <v>1029</v>
      </c>
      <c r="D161" s="453" t="s">
        <v>1054</v>
      </c>
      <c r="E161" s="453" t="s">
        <v>1055</v>
      </c>
      <c r="F161" s="456">
        <v>15</v>
      </c>
      <c r="G161" s="456">
        <v>6675</v>
      </c>
      <c r="H161" s="456">
        <v>0.99775784753363228</v>
      </c>
      <c r="I161" s="456">
        <v>445</v>
      </c>
      <c r="J161" s="456">
        <v>15</v>
      </c>
      <c r="K161" s="456">
        <v>6690</v>
      </c>
      <c r="L161" s="456">
        <v>1</v>
      </c>
      <c r="M161" s="456">
        <v>446</v>
      </c>
      <c r="N161" s="456">
        <v>27</v>
      </c>
      <c r="O161" s="456">
        <v>10179</v>
      </c>
      <c r="P161" s="478">
        <v>1.52152466367713</v>
      </c>
      <c r="Q161" s="457">
        <v>377</v>
      </c>
    </row>
    <row r="162" spans="1:17" ht="14.4" customHeight="1" x14ac:dyDescent="0.3">
      <c r="A162" s="452" t="s">
        <v>1182</v>
      </c>
      <c r="B162" s="453" t="s">
        <v>1028</v>
      </c>
      <c r="C162" s="453" t="s">
        <v>1029</v>
      </c>
      <c r="D162" s="453" t="s">
        <v>1056</v>
      </c>
      <c r="E162" s="453" t="s">
        <v>1057</v>
      </c>
      <c r="F162" s="456">
        <v>23</v>
      </c>
      <c r="G162" s="456">
        <v>943</v>
      </c>
      <c r="H162" s="456">
        <v>0.86355311355311359</v>
      </c>
      <c r="I162" s="456">
        <v>41</v>
      </c>
      <c r="J162" s="456">
        <v>26</v>
      </c>
      <c r="K162" s="456">
        <v>1092</v>
      </c>
      <c r="L162" s="456">
        <v>1</v>
      </c>
      <c r="M162" s="456">
        <v>42</v>
      </c>
      <c r="N162" s="456">
        <v>34</v>
      </c>
      <c r="O162" s="456">
        <v>1156</v>
      </c>
      <c r="P162" s="478">
        <v>1.0586080586080586</v>
      </c>
      <c r="Q162" s="457">
        <v>34</v>
      </c>
    </row>
    <row r="163" spans="1:17" ht="14.4" customHeight="1" x14ac:dyDescent="0.3">
      <c r="A163" s="452" t="s">
        <v>1182</v>
      </c>
      <c r="B163" s="453" t="s">
        <v>1028</v>
      </c>
      <c r="C163" s="453" t="s">
        <v>1029</v>
      </c>
      <c r="D163" s="453" t="s">
        <v>1058</v>
      </c>
      <c r="E163" s="453" t="s">
        <v>1059</v>
      </c>
      <c r="F163" s="456">
        <v>10</v>
      </c>
      <c r="G163" s="456">
        <v>4910</v>
      </c>
      <c r="H163" s="456">
        <v>0.71283391405342622</v>
      </c>
      <c r="I163" s="456">
        <v>491</v>
      </c>
      <c r="J163" s="456">
        <v>14</v>
      </c>
      <c r="K163" s="456">
        <v>6888</v>
      </c>
      <c r="L163" s="456">
        <v>1</v>
      </c>
      <c r="M163" s="456">
        <v>492</v>
      </c>
      <c r="N163" s="456">
        <v>16</v>
      </c>
      <c r="O163" s="456">
        <v>8384</v>
      </c>
      <c r="P163" s="478">
        <v>1.2171893147502904</v>
      </c>
      <c r="Q163" s="457">
        <v>524</v>
      </c>
    </row>
    <row r="164" spans="1:17" ht="14.4" customHeight="1" x14ac:dyDescent="0.3">
      <c r="A164" s="452" t="s">
        <v>1182</v>
      </c>
      <c r="B164" s="453" t="s">
        <v>1028</v>
      </c>
      <c r="C164" s="453" t="s">
        <v>1029</v>
      </c>
      <c r="D164" s="453" t="s">
        <v>1060</v>
      </c>
      <c r="E164" s="453" t="s">
        <v>1061</v>
      </c>
      <c r="F164" s="456">
        <v>23</v>
      </c>
      <c r="G164" s="456">
        <v>713</v>
      </c>
      <c r="H164" s="456">
        <v>1.0952380952380953</v>
      </c>
      <c r="I164" s="456">
        <v>31</v>
      </c>
      <c r="J164" s="456">
        <v>21</v>
      </c>
      <c r="K164" s="456">
        <v>651</v>
      </c>
      <c r="L164" s="456">
        <v>1</v>
      </c>
      <c r="M164" s="456">
        <v>31</v>
      </c>
      <c r="N164" s="456">
        <v>9</v>
      </c>
      <c r="O164" s="456">
        <v>513</v>
      </c>
      <c r="P164" s="478">
        <v>0.78801843317972353</v>
      </c>
      <c r="Q164" s="457">
        <v>57</v>
      </c>
    </row>
    <row r="165" spans="1:17" ht="14.4" customHeight="1" x14ac:dyDescent="0.3">
      <c r="A165" s="452" t="s">
        <v>1182</v>
      </c>
      <c r="B165" s="453" t="s">
        <v>1028</v>
      </c>
      <c r="C165" s="453" t="s">
        <v>1029</v>
      </c>
      <c r="D165" s="453" t="s">
        <v>1062</v>
      </c>
      <c r="E165" s="453" t="s">
        <v>1063</v>
      </c>
      <c r="F165" s="456">
        <v>2</v>
      </c>
      <c r="G165" s="456">
        <v>414</v>
      </c>
      <c r="H165" s="456">
        <v>0.49759615384615385</v>
      </c>
      <c r="I165" s="456">
        <v>207</v>
      </c>
      <c r="J165" s="456">
        <v>4</v>
      </c>
      <c r="K165" s="456">
        <v>832</v>
      </c>
      <c r="L165" s="456">
        <v>1</v>
      </c>
      <c r="M165" s="456">
        <v>208</v>
      </c>
      <c r="N165" s="456"/>
      <c r="O165" s="456"/>
      <c r="P165" s="478"/>
      <c r="Q165" s="457"/>
    </row>
    <row r="166" spans="1:17" ht="14.4" customHeight="1" x14ac:dyDescent="0.3">
      <c r="A166" s="452" t="s">
        <v>1182</v>
      </c>
      <c r="B166" s="453" t="s">
        <v>1028</v>
      </c>
      <c r="C166" s="453" t="s">
        <v>1029</v>
      </c>
      <c r="D166" s="453" t="s">
        <v>1064</v>
      </c>
      <c r="E166" s="453" t="s">
        <v>1065</v>
      </c>
      <c r="F166" s="456">
        <v>2</v>
      </c>
      <c r="G166" s="456">
        <v>760</v>
      </c>
      <c r="H166" s="456">
        <v>0.39583333333333331</v>
      </c>
      <c r="I166" s="456">
        <v>380</v>
      </c>
      <c r="J166" s="456">
        <v>5</v>
      </c>
      <c r="K166" s="456">
        <v>1920</v>
      </c>
      <c r="L166" s="456">
        <v>1</v>
      </c>
      <c r="M166" s="456">
        <v>384</v>
      </c>
      <c r="N166" s="456">
        <v>1</v>
      </c>
      <c r="O166" s="456">
        <v>553</v>
      </c>
      <c r="P166" s="478">
        <v>0.28802083333333334</v>
      </c>
      <c r="Q166" s="457">
        <v>553</v>
      </c>
    </row>
    <row r="167" spans="1:17" ht="14.4" customHeight="1" x14ac:dyDescent="0.3">
      <c r="A167" s="452" t="s">
        <v>1182</v>
      </c>
      <c r="B167" s="453" t="s">
        <v>1028</v>
      </c>
      <c r="C167" s="453" t="s">
        <v>1029</v>
      </c>
      <c r="D167" s="453" t="s">
        <v>1074</v>
      </c>
      <c r="E167" s="453" t="s">
        <v>1075</v>
      </c>
      <c r="F167" s="456">
        <v>107</v>
      </c>
      <c r="G167" s="456">
        <v>1712</v>
      </c>
      <c r="H167" s="456">
        <v>1.0490196078431373</v>
      </c>
      <c r="I167" s="456">
        <v>16</v>
      </c>
      <c r="J167" s="456">
        <v>96</v>
      </c>
      <c r="K167" s="456">
        <v>1632</v>
      </c>
      <c r="L167" s="456">
        <v>1</v>
      </c>
      <c r="M167" s="456">
        <v>17</v>
      </c>
      <c r="N167" s="456">
        <v>113</v>
      </c>
      <c r="O167" s="456">
        <v>1921</v>
      </c>
      <c r="P167" s="478">
        <v>1.1770833333333333</v>
      </c>
      <c r="Q167" s="457">
        <v>17</v>
      </c>
    </row>
    <row r="168" spans="1:17" ht="14.4" customHeight="1" x14ac:dyDescent="0.3">
      <c r="A168" s="452" t="s">
        <v>1182</v>
      </c>
      <c r="B168" s="453" t="s">
        <v>1028</v>
      </c>
      <c r="C168" s="453" t="s">
        <v>1029</v>
      </c>
      <c r="D168" s="453" t="s">
        <v>1076</v>
      </c>
      <c r="E168" s="453" t="s">
        <v>1077</v>
      </c>
      <c r="F168" s="456">
        <v>36</v>
      </c>
      <c r="G168" s="456">
        <v>4896</v>
      </c>
      <c r="H168" s="456">
        <v>0.67736579966795796</v>
      </c>
      <c r="I168" s="456">
        <v>136</v>
      </c>
      <c r="J168" s="456">
        <v>52</v>
      </c>
      <c r="K168" s="456">
        <v>7228</v>
      </c>
      <c r="L168" s="456">
        <v>1</v>
      </c>
      <c r="M168" s="456">
        <v>139</v>
      </c>
      <c r="N168" s="456">
        <v>44</v>
      </c>
      <c r="O168" s="456">
        <v>6292</v>
      </c>
      <c r="P168" s="478">
        <v>0.87050359712230219</v>
      </c>
      <c r="Q168" s="457">
        <v>143</v>
      </c>
    </row>
    <row r="169" spans="1:17" ht="14.4" customHeight="1" x14ac:dyDescent="0.3">
      <c r="A169" s="452" t="s">
        <v>1182</v>
      </c>
      <c r="B169" s="453" t="s">
        <v>1028</v>
      </c>
      <c r="C169" s="453" t="s">
        <v>1029</v>
      </c>
      <c r="D169" s="453" t="s">
        <v>1078</v>
      </c>
      <c r="E169" s="453" t="s">
        <v>1079</v>
      </c>
      <c r="F169" s="456">
        <v>37</v>
      </c>
      <c r="G169" s="456">
        <v>3811</v>
      </c>
      <c r="H169" s="456">
        <v>1.1212121212121211</v>
      </c>
      <c r="I169" s="456">
        <v>103</v>
      </c>
      <c r="J169" s="456">
        <v>33</v>
      </c>
      <c r="K169" s="456">
        <v>3399</v>
      </c>
      <c r="L169" s="456">
        <v>1</v>
      </c>
      <c r="M169" s="456">
        <v>103</v>
      </c>
      <c r="N169" s="456">
        <v>27</v>
      </c>
      <c r="O169" s="456">
        <v>1755</v>
      </c>
      <c r="P169" s="478">
        <v>0.51632833186231242</v>
      </c>
      <c r="Q169" s="457">
        <v>65</v>
      </c>
    </row>
    <row r="170" spans="1:17" ht="14.4" customHeight="1" x14ac:dyDescent="0.3">
      <c r="A170" s="452" t="s">
        <v>1182</v>
      </c>
      <c r="B170" s="453" t="s">
        <v>1028</v>
      </c>
      <c r="C170" s="453" t="s">
        <v>1029</v>
      </c>
      <c r="D170" s="453" t="s">
        <v>1082</v>
      </c>
      <c r="E170" s="453" t="s">
        <v>1083</v>
      </c>
      <c r="F170" s="456">
        <v>322</v>
      </c>
      <c r="G170" s="456">
        <v>37352</v>
      </c>
      <c r="H170" s="456">
        <v>1.0102780482527318</v>
      </c>
      <c r="I170" s="456">
        <v>116</v>
      </c>
      <c r="J170" s="456">
        <v>316</v>
      </c>
      <c r="K170" s="456">
        <v>36972</v>
      </c>
      <c r="L170" s="456">
        <v>1</v>
      </c>
      <c r="M170" s="456">
        <v>117</v>
      </c>
      <c r="N170" s="456">
        <v>377</v>
      </c>
      <c r="O170" s="456">
        <v>51272</v>
      </c>
      <c r="P170" s="478">
        <v>1.3867791842475388</v>
      </c>
      <c r="Q170" s="457">
        <v>136</v>
      </c>
    </row>
    <row r="171" spans="1:17" ht="14.4" customHeight="1" x14ac:dyDescent="0.3">
      <c r="A171" s="452" t="s">
        <v>1182</v>
      </c>
      <c r="B171" s="453" t="s">
        <v>1028</v>
      </c>
      <c r="C171" s="453" t="s">
        <v>1029</v>
      </c>
      <c r="D171" s="453" t="s">
        <v>1084</v>
      </c>
      <c r="E171" s="453" t="s">
        <v>1085</v>
      </c>
      <c r="F171" s="456">
        <v>118</v>
      </c>
      <c r="G171" s="456">
        <v>10030</v>
      </c>
      <c r="H171" s="456">
        <v>0.64081267569639666</v>
      </c>
      <c r="I171" s="456">
        <v>85</v>
      </c>
      <c r="J171" s="456">
        <v>172</v>
      </c>
      <c r="K171" s="456">
        <v>15652</v>
      </c>
      <c r="L171" s="456">
        <v>1</v>
      </c>
      <c r="M171" s="456">
        <v>91</v>
      </c>
      <c r="N171" s="456">
        <v>165</v>
      </c>
      <c r="O171" s="456">
        <v>15015</v>
      </c>
      <c r="P171" s="478">
        <v>0.95930232558139539</v>
      </c>
      <c r="Q171" s="457">
        <v>91</v>
      </c>
    </row>
    <row r="172" spans="1:17" ht="14.4" customHeight="1" x14ac:dyDescent="0.3">
      <c r="A172" s="452" t="s">
        <v>1182</v>
      </c>
      <c r="B172" s="453" t="s">
        <v>1028</v>
      </c>
      <c r="C172" s="453" t="s">
        <v>1029</v>
      </c>
      <c r="D172" s="453" t="s">
        <v>1086</v>
      </c>
      <c r="E172" s="453" t="s">
        <v>1087</v>
      </c>
      <c r="F172" s="456">
        <v>4</v>
      </c>
      <c r="G172" s="456">
        <v>392</v>
      </c>
      <c r="H172" s="456">
        <v>1.9797979797979799</v>
      </c>
      <c r="I172" s="456">
        <v>98</v>
      </c>
      <c r="J172" s="456">
        <v>2</v>
      </c>
      <c r="K172" s="456">
        <v>198</v>
      </c>
      <c r="L172" s="456">
        <v>1</v>
      </c>
      <c r="M172" s="456">
        <v>99</v>
      </c>
      <c r="N172" s="456">
        <v>3</v>
      </c>
      <c r="O172" s="456">
        <v>411</v>
      </c>
      <c r="P172" s="478">
        <v>2.0757575757575757</v>
      </c>
      <c r="Q172" s="457">
        <v>137</v>
      </c>
    </row>
    <row r="173" spans="1:17" ht="14.4" customHeight="1" x14ac:dyDescent="0.3">
      <c r="A173" s="452" t="s">
        <v>1182</v>
      </c>
      <c r="B173" s="453" t="s">
        <v>1028</v>
      </c>
      <c r="C173" s="453" t="s">
        <v>1029</v>
      </c>
      <c r="D173" s="453" t="s">
        <v>1088</v>
      </c>
      <c r="E173" s="453" t="s">
        <v>1089</v>
      </c>
      <c r="F173" s="456">
        <v>24</v>
      </c>
      <c r="G173" s="456">
        <v>504</v>
      </c>
      <c r="H173" s="456">
        <v>0.68571428571428572</v>
      </c>
      <c r="I173" s="456">
        <v>21</v>
      </c>
      <c r="J173" s="456">
        <v>35</v>
      </c>
      <c r="K173" s="456">
        <v>735</v>
      </c>
      <c r="L173" s="456">
        <v>1</v>
      </c>
      <c r="M173" s="456">
        <v>21</v>
      </c>
      <c r="N173" s="456">
        <v>27</v>
      </c>
      <c r="O173" s="456">
        <v>1782</v>
      </c>
      <c r="P173" s="478">
        <v>2.4244897959183676</v>
      </c>
      <c r="Q173" s="457">
        <v>66</v>
      </c>
    </row>
    <row r="174" spans="1:17" ht="14.4" customHeight="1" x14ac:dyDescent="0.3">
      <c r="A174" s="452" t="s">
        <v>1182</v>
      </c>
      <c r="B174" s="453" t="s">
        <v>1028</v>
      </c>
      <c r="C174" s="453" t="s">
        <v>1029</v>
      </c>
      <c r="D174" s="453" t="s">
        <v>1090</v>
      </c>
      <c r="E174" s="453" t="s">
        <v>1091</v>
      </c>
      <c r="F174" s="456">
        <v>96</v>
      </c>
      <c r="G174" s="456">
        <v>46752</v>
      </c>
      <c r="H174" s="456">
        <v>1.4738965952080707</v>
      </c>
      <c r="I174" s="456">
        <v>487</v>
      </c>
      <c r="J174" s="456">
        <v>65</v>
      </c>
      <c r="K174" s="456">
        <v>31720</v>
      </c>
      <c r="L174" s="456">
        <v>1</v>
      </c>
      <c r="M174" s="456">
        <v>488</v>
      </c>
      <c r="N174" s="456">
        <v>66</v>
      </c>
      <c r="O174" s="456">
        <v>21648</v>
      </c>
      <c r="P174" s="478">
        <v>0.68247162673392181</v>
      </c>
      <c r="Q174" s="457">
        <v>328</v>
      </c>
    </row>
    <row r="175" spans="1:17" ht="14.4" customHeight="1" x14ac:dyDescent="0.3">
      <c r="A175" s="452" t="s">
        <v>1182</v>
      </c>
      <c r="B175" s="453" t="s">
        <v>1028</v>
      </c>
      <c r="C175" s="453" t="s">
        <v>1029</v>
      </c>
      <c r="D175" s="453" t="s">
        <v>1098</v>
      </c>
      <c r="E175" s="453" t="s">
        <v>1099</v>
      </c>
      <c r="F175" s="456">
        <v>34</v>
      </c>
      <c r="G175" s="456">
        <v>1394</v>
      </c>
      <c r="H175" s="456">
        <v>1.3076923076923077</v>
      </c>
      <c r="I175" s="456">
        <v>41</v>
      </c>
      <c r="J175" s="456">
        <v>26</v>
      </c>
      <c r="K175" s="456">
        <v>1066</v>
      </c>
      <c r="L175" s="456">
        <v>1</v>
      </c>
      <c r="M175" s="456">
        <v>41</v>
      </c>
      <c r="N175" s="456">
        <v>31</v>
      </c>
      <c r="O175" s="456">
        <v>1581</v>
      </c>
      <c r="P175" s="478">
        <v>1.4831144465290806</v>
      </c>
      <c r="Q175" s="457">
        <v>51</v>
      </c>
    </row>
    <row r="176" spans="1:17" ht="14.4" customHeight="1" x14ac:dyDescent="0.3">
      <c r="A176" s="452" t="s">
        <v>1182</v>
      </c>
      <c r="B176" s="453" t="s">
        <v>1028</v>
      </c>
      <c r="C176" s="453" t="s">
        <v>1029</v>
      </c>
      <c r="D176" s="453" t="s">
        <v>1106</v>
      </c>
      <c r="E176" s="453" t="s">
        <v>1107</v>
      </c>
      <c r="F176" s="456">
        <v>7</v>
      </c>
      <c r="G176" s="456">
        <v>1533</v>
      </c>
      <c r="H176" s="456">
        <v>1.7186098654708519</v>
      </c>
      <c r="I176" s="456">
        <v>219</v>
      </c>
      <c r="J176" s="456">
        <v>4</v>
      </c>
      <c r="K176" s="456">
        <v>892</v>
      </c>
      <c r="L176" s="456">
        <v>1</v>
      </c>
      <c r="M176" s="456">
        <v>223</v>
      </c>
      <c r="N176" s="456">
        <v>12</v>
      </c>
      <c r="O176" s="456">
        <v>2484</v>
      </c>
      <c r="P176" s="478">
        <v>2.7847533632286994</v>
      </c>
      <c r="Q176" s="457">
        <v>207</v>
      </c>
    </row>
    <row r="177" spans="1:17" ht="14.4" customHeight="1" x14ac:dyDescent="0.3">
      <c r="A177" s="452" t="s">
        <v>1182</v>
      </c>
      <c r="B177" s="453" t="s">
        <v>1028</v>
      </c>
      <c r="C177" s="453" t="s">
        <v>1029</v>
      </c>
      <c r="D177" s="453" t="s">
        <v>1112</v>
      </c>
      <c r="E177" s="453" t="s">
        <v>1113</v>
      </c>
      <c r="F177" s="456">
        <v>4</v>
      </c>
      <c r="G177" s="456">
        <v>2432</v>
      </c>
      <c r="H177" s="456">
        <v>0.49511400651465798</v>
      </c>
      <c r="I177" s="456">
        <v>608</v>
      </c>
      <c r="J177" s="456">
        <v>8</v>
      </c>
      <c r="K177" s="456">
        <v>4912</v>
      </c>
      <c r="L177" s="456">
        <v>1</v>
      </c>
      <c r="M177" s="456">
        <v>614</v>
      </c>
      <c r="N177" s="456">
        <v>9</v>
      </c>
      <c r="O177" s="456">
        <v>5508</v>
      </c>
      <c r="P177" s="478">
        <v>1.1213355048859934</v>
      </c>
      <c r="Q177" s="457">
        <v>612</v>
      </c>
    </row>
    <row r="178" spans="1:17" ht="14.4" customHeight="1" x14ac:dyDescent="0.3">
      <c r="A178" s="452" t="s">
        <v>1182</v>
      </c>
      <c r="B178" s="453" t="s">
        <v>1028</v>
      </c>
      <c r="C178" s="453" t="s">
        <v>1029</v>
      </c>
      <c r="D178" s="453" t="s">
        <v>1116</v>
      </c>
      <c r="E178" s="453" t="s">
        <v>1117</v>
      </c>
      <c r="F178" s="456">
        <v>1</v>
      </c>
      <c r="G178" s="456">
        <v>509</v>
      </c>
      <c r="H178" s="456"/>
      <c r="I178" s="456">
        <v>509</v>
      </c>
      <c r="J178" s="456"/>
      <c r="K178" s="456"/>
      <c r="L178" s="456"/>
      <c r="M178" s="456"/>
      <c r="N178" s="456"/>
      <c r="O178" s="456"/>
      <c r="P178" s="478"/>
      <c r="Q178" s="457"/>
    </row>
    <row r="179" spans="1:17" ht="14.4" customHeight="1" x14ac:dyDescent="0.3">
      <c r="A179" s="452" t="s">
        <v>1182</v>
      </c>
      <c r="B179" s="453" t="s">
        <v>1028</v>
      </c>
      <c r="C179" s="453" t="s">
        <v>1029</v>
      </c>
      <c r="D179" s="453" t="s">
        <v>1136</v>
      </c>
      <c r="E179" s="453" t="s">
        <v>1137</v>
      </c>
      <c r="F179" s="456">
        <v>1</v>
      </c>
      <c r="G179" s="456">
        <v>328</v>
      </c>
      <c r="H179" s="456">
        <v>0.14242292661745548</v>
      </c>
      <c r="I179" s="456">
        <v>328</v>
      </c>
      <c r="J179" s="456">
        <v>7</v>
      </c>
      <c r="K179" s="456">
        <v>2303</v>
      </c>
      <c r="L179" s="456">
        <v>1</v>
      </c>
      <c r="M179" s="456">
        <v>329</v>
      </c>
      <c r="N179" s="456">
        <v>2</v>
      </c>
      <c r="O179" s="456">
        <v>754</v>
      </c>
      <c r="P179" s="478">
        <v>0.32739904472427267</v>
      </c>
      <c r="Q179" s="457">
        <v>377</v>
      </c>
    </row>
    <row r="180" spans="1:17" ht="14.4" customHeight="1" x14ac:dyDescent="0.3">
      <c r="A180" s="452" t="s">
        <v>1182</v>
      </c>
      <c r="B180" s="453" t="s">
        <v>1028</v>
      </c>
      <c r="C180" s="453" t="s">
        <v>1029</v>
      </c>
      <c r="D180" s="453" t="s">
        <v>1144</v>
      </c>
      <c r="E180" s="453"/>
      <c r="F180" s="456"/>
      <c r="G180" s="456"/>
      <c r="H180" s="456"/>
      <c r="I180" s="456"/>
      <c r="J180" s="456"/>
      <c r="K180" s="456"/>
      <c r="L180" s="456"/>
      <c r="M180" s="456"/>
      <c r="N180" s="456">
        <v>5</v>
      </c>
      <c r="O180" s="456">
        <v>7465</v>
      </c>
      <c r="P180" s="478"/>
      <c r="Q180" s="457">
        <v>1493</v>
      </c>
    </row>
    <row r="181" spans="1:17" ht="14.4" customHeight="1" x14ac:dyDescent="0.3">
      <c r="A181" s="452" t="s">
        <v>1182</v>
      </c>
      <c r="B181" s="453" t="s">
        <v>1028</v>
      </c>
      <c r="C181" s="453" t="s">
        <v>1029</v>
      </c>
      <c r="D181" s="453" t="s">
        <v>1146</v>
      </c>
      <c r="E181" s="453"/>
      <c r="F181" s="456"/>
      <c r="G181" s="456"/>
      <c r="H181" s="456"/>
      <c r="I181" s="456"/>
      <c r="J181" s="456"/>
      <c r="K181" s="456"/>
      <c r="L181" s="456"/>
      <c r="M181" s="456"/>
      <c r="N181" s="456">
        <v>3</v>
      </c>
      <c r="O181" s="456">
        <v>2661</v>
      </c>
      <c r="P181" s="478"/>
      <c r="Q181" s="457">
        <v>887</v>
      </c>
    </row>
    <row r="182" spans="1:17" ht="14.4" customHeight="1" x14ac:dyDescent="0.3">
      <c r="A182" s="452" t="s">
        <v>1183</v>
      </c>
      <c r="B182" s="453" t="s">
        <v>1028</v>
      </c>
      <c r="C182" s="453" t="s">
        <v>1029</v>
      </c>
      <c r="D182" s="453" t="s">
        <v>1030</v>
      </c>
      <c r="E182" s="453" t="s">
        <v>1031</v>
      </c>
      <c r="F182" s="456">
        <v>27</v>
      </c>
      <c r="G182" s="456">
        <v>4347</v>
      </c>
      <c r="H182" s="456">
        <v>0.47409750245392079</v>
      </c>
      <c r="I182" s="456">
        <v>161</v>
      </c>
      <c r="J182" s="456">
        <v>53</v>
      </c>
      <c r="K182" s="456">
        <v>9169</v>
      </c>
      <c r="L182" s="456">
        <v>1</v>
      </c>
      <c r="M182" s="456">
        <v>173</v>
      </c>
      <c r="N182" s="456">
        <v>61</v>
      </c>
      <c r="O182" s="456">
        <v>10553</v>
      </c>
      <c r="P182" s="478">
        <v>1.1509433962264151</v>
      </c>
      <c r="Q182" s="457">
        <v>173</v>
      </c>
    </row>
    <row r="183" spans="1:17" ht="14.4" customHeight="1" x14ac:dyDescent="0.3">
      <c r="A183" s="452" t="s">
        <v>1183</v>
      </c>
      <c r="B183" s="453" t="s">
        <v>1028</v>
      </c>
      <c r="C183" s="453" t="s">
        <v>1029</v>
      </c>
      <c r="D183" s="453" t="s">
        <v>1044</v>
      </c>
      <c r="E183" s="453" t="s">
        <v>1045</v>
      </c>
      <c r="F183" s="456"/>
      <c r="G183" s="456"/>
      <c r="H183" s="456"/>
      <c r="I183" s="456"/>
      <c r="J183" s="456"/>
      <c r="K183" s="456"/>
      <c r="L183" s="456"/>
      <c r="M183" s="456"/>
      <c r="N183" s="456">
        <v>36</v>
      </c>
      <c r="O183" s="456">
        <v>38520</v>
      </c>
      <c r="P183" s="478"/>
      <c r="Q183" s="457">
        <v>1070</v>
      </c>
    </row>
    <row r="184" spans="1:17" ht="14.4" customHeight="1" x14ac:dyDescent="0.3">
      <c r="A184" s="452" t="s">
        <v>1183</v>
      </c>
      <c r="B184" s="453" t="s">
        <v>1028</v>
      </c>
      <c r="C184" s="453" t="s">
        <v>1029</v>
      </c>
      <c r="D184" s="453" t="s">
        <v>1046</v>
      </c>
      <c r="E184" s="453" t="s">
        <v>1047</v>
      </c>
      <c r="F184" s="456">
        <v>23</v>
      </c>
      <c r="G184" s="456">
        <v>920</v>
      </c>
      <c r="H184" s="456">
        <v>1.726078799249531</v>
      </c>
      <c r="I184" s="456">
        <v>40</v>
      </c>
      <c r="J184" s="456">
        <v>13</v>
      </c>
      <c r="K184" s="456">
        <v>533</v>
      </c>
      <c r="L184" s="456">
        <v>1</v>
      </c>
      <c r="M184" s="456">
        <v>41</v>
      </c>
      <c r="N184" s="456">
        <v>8</v>
      </c>
      <c r="O184" s="456">
        <v>368</v>
      </c>
      <c r="P184" s="478">
        <v>0.69043151969981242</v>
      </c>
      <c r="Q184" s="457">
        <v>46</v>
      </c>
    </row>
    <row r="185" spans="1:17" ht="14.4" customHeight="1" x14ac:dyDescent="0.3">
      <c r="A185" s="452" t="s">
        <v>1183</v>
      </c>
      <c r="B185" s="453" t="s">
        <v>1028</v>
      </c>
      <c r="C185" s="453" t="s">
        <v>1029</v>
      </c>
      <c r="D185" s="453" t="s">
        <v>1048</v>
      </c>
      <c r="E185" s="453" t="s">
        <v>1049</v>
      </c>
      <c r="F185" s="456">
        <v>2</v>
      </c>
      <c r="G185" s="456">
        <v>766</v>
      </c>
      <c r="H185" s="456">
        <v>0.28497023809523808</v>
      </c>
      <c r="I185" s="456">
        <v>383</v>
      </c>
      <c r="J185" s="456">
        <v>7</v>
      </c>
      <c r="K185" s="456">
        <v>2688</v>
      </c>
      <c r="L185" s="456">
        <v>1</v>
      </c>
      <c r="M185" s="456">
        <v>384</v>
      </c>
      <c r="N185" s="456">
        <v>6</v>
      </c>
      <c r="O185" s="456">
        <v>2082</v>
      </c>
      <c r="P185" s="478">
        <v>0.7745535714285714</v>
      </c>
      <c r="Q185" s="457">
        <v>347</v>
      </c>
    </row>
    <row r="186" spans="1:17" ht="14.4" customHeight="1" x14ac:dyDescent="0.3">
      <c r="A186" s="452" t="s">
        <v>1183</v>
      </c>
      <c r="B186" s="453" t="s">
        <v>1028</v>
      </c>
      <c r="C186" s="453" t="s">
        <v>1029</v>
      </c>
      <c r="D186" s="453" t="s">
        <v>1050</v>
      </c>
      <c r="E186" s="453" t="s">
        <v>1051</v>
      </c>
      <c r="F186" s="456"/>
      <c r="G186" s="456"/>
      <c r="H186" s="456"/>
      <c r="I186" s="456"/>
      <c r="J186" s="456"/>
      <c r="K186" s="456"/>
      <c r="L186" s="456"/>
      <c r="M186" s="456"/>
      <c r="N186" s="456">
        <v>6</v>
      </c>
      <c r="O186" s="456">
        <v>306</v>
      </c>
      <c r="P186" s="478"/>
      <c r="Q186" s="457">
        <v>51</v>
      </c>
    </row>
    <row r="187" spans="1:17" ht="14.4" customHeight="1" x14ac:dyDescent="0.3">
      <c r="A187" s="452" t="s">
        <v>1183</v>
      </c>
      <c r="B187" s="453" t="s">
        <v>1028</v>
      </c>
      <c r="C187" s="453" t="s">
        <v>1029</v>
      </c>
      <c r="D187" s="453" t="s">
        <v>1054</v>
      </c>
      <c r="E187" s="453" t="s">
        <v>1055</v>
      </c>
      <c r="F187" s="456"/>
      <c r="G187" s="456"/>
      <c r="H187" s="456"/>
      <c r="I187" s="456"/>
      <c r="J187" s="456">
        <v>9</v>
      </c>
      <c r="K187" s="456">
        <v>4014</v>
      </c>
      <c r="L187" s="456">
        <v>1</v>
      </c>
      <c r="M187" s="456">
        <v>446</v>
      </c>
      <c r="N187" s="456">
        <v>11</v>
      </c>
      <c r="O187" s="456">
        <v>4147</v>
      </c>
      <c r="P187" s="478">
        <v>1.0331340308918784</v>
      </c>
      <c r="Q187" s="457">
        <v>377</v>
      </c>
    </row>
    <row r="188" spans="1:17" ht="14.4" customHeight="1" x14ac:dyDescent="0.3">
      <c r="A188" s="452" t="s">
        <v>1183</v>
      </c>
      <c r="B188" s="453" t="s">
        <v>1028</v>
      </c>
      <c r="C188" s="453" t="s">
        <v>1029</v>
      </c>
      <c r="D188" s="453" t="s">
        <v>1056</v>
      </c>
      <c r="E188" s="453" t="s">
        <v>1057</v>
      </c>
      <c r="F188" s="456">
        <v>1</v>
      </c>
      <c r="G188" s="456">
        <v>41</v>
      </c>
      <c r="H188" s="456"/>
      <c r="I188" s="456">
        <v>41</v>
      </c>
      <c r="J188" s="456"/>
      <c r="K188" s="456"/>
      <c r="L188" s="456"/>
      <c r="M188" s="456"/>
      <c r="N188" s="456">
        <v>4</v>
      </c>
      <c r="O188" s="456">
        <v>136</v>
      </c>
      <c r="P188" s="478"/>
      <c r="Q188" s="457">
        <v>34</v>
      </c>
    </row>
    <row r="189" spans="1:17" ht="14.4" customHeight="1" x14ac:dyDescent="0.3">
      <c r="A189" s="452" t="s">
        <v>1183</v>
      </c>
      <c r="B189" s="453" t="s">
        <v>1028</v>
      </c>
      <c r="C189" s="453" t="s">
        <v>1029</v>
      </c>
      <c r="D189" s="453" t="s">
        <v>1058</v>
      </c>
      <c r="E189" s="453" t="s">
        <v>1059</v>
      </c>
      <c r="F189" s="456">
        <v>26</v>
      </c>
      <c r="G189" s="456">
        <v>12766</v>
      </c>
      <c r="H189" s="456">
        <v>1.2973577235772358</v>
      </c>
      <c r="I189" s="456">
        <v>491</v>
      </c>
      <c r="J189" s="456">
        <v>20</v>
      </c>
      <c r="K189" s="456">
        <v>9840</v>
      </c>
      <c r="L189" s="456">
        <v>1</v>
      </c>
      <c r="M189" s="456">
        <v>492</v>
      </c>
      <c r="N189" s="456">
        <v>1</v>
      </c>
      <c r="O189" s="456">
        <v>524</v>
      </c>
      <c r="P189" s="478">
        <v>5.3252032520325204E-2</v>
      </c>
      <c r="Q189" s="457">
        <v>524</v>
      </c>
    </row>
    <row r="190" spans="1:17" ht="14.4" customHeight="1" x14ac:dyDescent="0.3">
      <c r="A190" s="452" t="s">
        <v>1183</v>
      </c>
      <c r="B190" s="453" t="s">
        <v>1028</v>
      </c>
      <c r="C190" s="453" t="s">
        <v>1029</v>
      </c>
      <c r="D190" s="453" t="s">
        <v>1060</v>
      </c>
      <c r="E190" s="453" t="s">
        <v>1061</v>
      </c>
      <c r="F190" s="456">
        <v>2</v>
      </c>
      <c r="G190" s="456">
        <v>62</v>
      </c>
      <c r="H190" s="456"/>
      <c r="I190" s="456">
        <v>31</v>
      </c>
      <c r="J190" s="456"/>
      <c r="K190" s="456"/>
      <c r="L190" s="456"/>
      <c r="M190" s="456"/>
      <c r="N190" s="456">
        <v>1</v>
      </c>
      <c r="O190" s="456">
        <v>57</v>
      </c>
      <c r="P190" s="478"/>
      <c r="Q190" s="457">
        <v>57</v>
      </c>
    </row>
    <row r="191" spans="1:17" ht="14.4" customHeight="1" x14ac:dyDescent="0.3">
      <c r="A191" s="452" t="s">
        <v>1183</v>
      </c>
      <c r="B191" s="453" t="s">
        <v>1028</v>
      </c>
      <c r="C191" s="453" t="s">
        <v>1029</v>
      </c>
      <c r="D191" s="453" t="s">
        <v>1062</v>
      </c>
      <c r="E191" s="453" t="s">
        <v>1063</v>
      </c>
      <c r="F191" s="456"/>
      <c r="G191" s="456"/>
      <c r="H191" s="456"/>
      <c r="I191" s="456"/>
      <c r="J191" s="456"/>
      <c r="K191" s="456"/>
      <c r="L191" s="456"/>
      <c r="M191" s="456"/>
      <c r="N191" s="456">
        <v>1</v>
      </c>
      <c r="O191" s="456">
        <v>224</v>
      </c>
      <c r="P191" s="478"/>
      <c r="Q191" s="457">
        <v>224</v>
      </c>
    </row>
    <row r="192" spans="1:17" ht="14.4" customHeight="1" x14ac:dyDescent="0.3">
      <c r="A192" s="452" t="s">
        <v>1183</v>
      </c>
      <c r="B192" s="453" t="s">
        <v>1028</v>
      </c>
      <c r="C192" s="453" t="s">
        <v>1029</v>
      </c>
      <c r="D192" s="453" t="s">
        <v>1064</v>
      </c>
      <c r="E192" s="453" t="s">
        <v>1065</v>
      </c>
      <c r="F192" s="456"/>
      <c r="G192" s="456"/>
      <c r="H192" s="456"/>
      <c r="I192" s="456"/>
      <c r="J192" s="456"/>
      <c r="K192" s="456"/>
      <c r="L192" s="456"/>
      <c r="M192" s="456"/>
      <c r="N192" s="456">
        <v>1</v>
      </c>
      <c r="O192" s="456">
        <v>553</v>
      </c>
      <c r="P192" s="478"/>
      <c r="Q192" s="457">
        <v>553</v>
      </c>
    </row>
    <row r="193" spans="1:17" ht="14.4" customHeight="1" x14ac:dyDescent="0.3">
      <c r="A193" s="452" t="s">
        <v>1183</v>
      </c>
      <c r="B193" s="453" t="s">
        <v>1028</v>
      </c>
      <c r="C193" s="453" t="s">
        <v>1029</v>
      </c>
      <c r="D193" s="453" t="s">
        <v>1066</v>
      </c>
      <c r="E193" s="453" t="s">
        <v>1067</v>
      </c>
      <c r="F193" s="456">
        <v>2</v>
      </c>
      <c r="G193" s="456">
        <v>468</v>
      </c>
      <c r="H193" s="456">
        <v>7.0823244552058115E-2</v>
      </c>
      <c r="I193" s="456">
        <v>234</v>
      </c>
      <c r="J193" s="456">
        <v>28</v>
      </c>
      <c r="K193" s="456">
        <v>6608</v>
      </c>
      <c r="L193" s="456">
        <v>1</v>
      </c>
      <c r="M193" s="456">
        <v>236</v>
      </c>
      <c r="N193" s="456">
        <v>34</v>
      </c>
      <c r="O193" s="456">
        <v>7242</v>
      </c>
      <c r="P193" s="478">
        <v>1.0959443099273607</v>
      </c>
      <c r="Q193" s="457">
        <v>213</v>
      </c>
    </row>
    <row r="194" spans="1:17" ht="14.4" customHeight="1" x14ac:dyDescent="0.3">
      <c r="A194" s="452" t="s">
        <v>1183</v>
      </c>
      <c r="B194" s="453" t="s">
        <v>1028</v>
      </c>
      <c r="C194" s="453" t="s">
        <v>1029</v>
      </c>
      <c r="D194" s="453" t="s">
        <v>1074</v>
      </c>
      <c r="E194" s="453" t="s">
        <v>1075</v>
      </c>
      <c r="F194" s="456">
        <v>3</v>
      </c>
      <c r="G194" s="456">
        <v>48</v>
      </c>
      <c r="H194" s="456">
        <v>0.18823529411764706</v>
      </c>
      <c r="I194" s="456">
        <v>16</v>
      </c>
      <c r="J194" s="456">
        <v>15</v>
      </c>
      <c r="K194" s="456">
        <v>255</v>
      </c>
      <c r="L194" s="456">
        <v>1</v>
      </c>
      <c r="M194" s="456">
        <v>17</v>
      </c>
      <c r="N194" s="456">
        <v>27</v>
      </c>
      <c r="O194" s="456">
        <v>459</v>
      </c>
      <c r="P194" s="478">
        <v>1.8</v>
      </c>
      <c r="Q194" s="457">
        <v>17</v>
      </c>
    </row>
    <row r="195" spans="1:17" ht="14.4" customHeight="1" x14ac:dyDescent="0.3">
      <c r="A195" s="452" t="s">
        <v>1183</v>
      </c>
      <c r="B195" s="453" t="s">
        <v>1028</v>
      </c>
      <c r="C195" s="453" t="s">
        <v>1029</v>
      </c>
      <c r="D195" s="453" t="s">
        <v>1076</v>
      </c>
      <c r="E195" s="453" t="s">
        <v>1077</v>
      </c>
      <c r="F195" s="456">
        <v>1</v>
      </c>
      <c r="G195" s="456">
        <v>136</v>
      </c>
      <c r="H195" s="456"/>
      <c r="I195" s="456">
        <v>136</v>
      </c>
      <c r="J195" s="456"/>
      <c r="K195" s="456"/>
      <c r="L195" s="456"/>
      <c r="M195" s="456"/>
      <c r="N195" s="456">
        <v>1</v>
      </c>
      <c r="O195" s="456">
        <v>143</v>
      </c>
      <c r="P195" s="478"/>
      <c r="Q195" s="457">
        <v>143</v>
      </c>
    </row>
    <row r="196" spans="1:17" ht="14.4" customHeight="1" x14ac:dyDescent="0.3">
      <c r="A196" s="452" t="s">
        <v>1183</v>
      </c>
      <c r="B196" s="453" t="s">
        <v>1028</v>
      </c>
      <c r="C196" s="453" t="s">
        <v>1029</v>
      </c>
      <c r="D196" s="453" t="s">
        <v>1078</v>
      </c>
      <c r="E196" s="453" t="s">
        <v>1079</v>
      </c>
      <c r="F196" s="456">
        <v>4</v>
      </c>
      <c r="G196" s="456">
        <v>412</v>
      </c>
      <c r="H196" s="456">
        <v>4</v>
      </c>
      <c r="I196" s="456">
        <v>103</v>
      </c>
      <c r="J196" s="456">
        <v>1</v>
      </c>
      <c r="K196" s="456">
        <v>103</v>
      </c>
      <c r="L196" s="456">
        <v>1</v>
      </c>
      <c r="M196" s="456">
        <v>103</v>
      </c>
      <c r="N196" s="456"/>
      <c r="O196" s="456"/>
      <c r="P196" s="478"/>
      <c r="Q196" s="457"/>
    </row>
    <row r="197" spans="1:17" ht="14.4" customHeight="1" x14ac:dyDescent="0.3">
      <c r="A197" s="452" t="s">
        <v>1183</v>
      </c>
      <c r="B197" s="453" t="s">
        <v>1028</v>
      </c>
      <c r="C197" s="453" t="s">
        <v>1029</v>
      </c>
      <c r="D197" s="453" t="s">
        <v>1082</v>
      </c>
      <c r="E197" s="453" t="s">
        <v>1083</v>
      </c>
      <c r="F197" s="456">
        <v>60</v>
      </c>
      <c r="G197" s="456">
        <v>6960</v>
      </c>
      <c r="H197" s="456">
        <v>0.94424094424094429</v>
      </c>
      <c r="I197" s="456">
        <v>116</v>
      </c>
      <c r="J197" s="456">
        <v>63</v>
      </c>
      <c r="K197" s="456">
        <v>7371</v>
      </c>
      <c r="L197" s="456">
        <v>1</v>
      </c>
      <c r="M197" s="456">
        <v>117</v>
      </c>
      <c r="N197" s="456">
        <v>117</v>
      </c>
      <c r="O197" s="456">
        <v>15912</v>
      </c>
      <c r="P197" s="478">
        <v>2.1587301587301586</v>
      </c>
      <c r="Q197" s="457">
        <v>136</v>
      </c>
    </row>
    <row r="198" spans="1:17" ht="14.4" customHeight="1" x14ac:dyDescent="0.3">
      <c r="A198" s="452" t="s">
        <v>1183</v>
      </c>
      <c r="B198" s="453" t="s">
        <v>1028</v>
      </c>
      <c r="C198" s="453" t="s">
        <v>1029</v>
      </c>
      <c r="D198" s="453" t="s">
        <v>1084</v>
      </c>
      <c r="E198" s="453" t="s">
        <v>1085</v>
      </c>
      <c r="F198" s="456">
        <v>10</v>
      </c>
      <c r="G198" s="456">
        <v>850</v>
      </c>
      <c r="H198" s="456">
        <v>0.84915084915084915</v>
      </c>
      <c r="I198" s="456">
        <v>85</v>
      </c>
      <c r="J198" s="456">
        <v>11</v>
      </c>
      <c r="K198" s="456">
        <v>1001</v>
      </c>
      <c r="L198" s="456">
        <v>1</v>
      </c>
      <c r="M198" s="456">
        <v>91</v>
      </c>
      <c r="N198" s="456">
        <v>20</v>
      </c>
      <c r="O198" s="456">
        <v>1820</v>
      </c>
      <c r="P198" s="478">
        <v>1.8181818181818181</v>
      </c>
      <c r="Q198" s="457">
        <v>91</v>
      </c>
    </row>
    <row r="199" spans="1:17" ht="14.4" customHeight="1" x14ac:dyDescent="0.3">
      <c r="A199" s="452" t="s">
        <v>1183</v>
      </c>
      <c r="B199" s="453" t="s">
        <v>1028</v>
      </c>
      <c r="C199" s="453" t="s">
        <v>1029</v>
      </c>
      <c r="D199" s="453" t="s">
        <v>1086</v>
      </c>
      <c r="E199" s="453" t="s">
        <v>1087</v>
      </c>
      <c r="F199" s="456">
        <v>81</v>
      </c>
      <c r="G199" s="456">
        <v>7938</v>
      </c>
      <c r="H199" s="456">
        <v>1.7059961315280465</v>
      </c>
      <c r="I199" s="456">
        <v>98</v>
      </c>
      <c r="J199" s="456">
        <v>47</v>
      </c>
      <c r="K199" s="456">
        <v>4653</v>
      </c>
      <c r="L199" s="456">
        <v>1</v>
      </c>
      <c r="M199" s="456">
        <v>99</v>
      </c>
      <c r="N199" s="456">
        <v>66</v>
      </c>
      <c r="O199" s="456">
        <v>9042</v>
      </c>
      <c r="P199" s="478">
        <v>1.9432624113475176</v>
      </c>
      <c r="Q199" s="457">
        <v>137</v>
      </c>
    </row>
    <row r="200" spans="1:17" ht="14.4" customHeight="1" x14ac:dyDescent="0.3">
      <c r="A200" s="452" t="s">
        <v>1183</v>
      </c>
      <c r="B200" s="453" t="s">
        <v>1028</v>
      </c>
      <c r="C200" s="453" t="s">
        <v>1029</v>
      </c>
      <c r="D200" s="453" t="s">
        <v>1088</v>
      </c>
      <c r="E200" s="453" t="s">
        <v>1089</v>
      </c>
      <c r="F200" s="456">
        <v>1</v>
      </c>
      <c r="G200" s="456">
        <v>21</v>
      </c>
      <c r="H200" s="456">
        <v>0.16666666666666666</v>
      </c>
      <c r="I200" s="456">
        <v>21</v>
      </c>
      <c r="J200" s="456">
        <v>6</v>
      </c>
      <c r="K200" s="456">
        <v>126</v>
      </c>
      <c r="L200" s="456">
        <v>1</v>
      </c>
      <c r="M200" s="456">
        <v>21</v>
      </c>
      <c r="N200" s="456"/>
      <c r="O200" s="456"/>
      <c r="P200" s="478"/>
      <c r="Q200" s="457"/>
    </row>
    <row r="201" spans="1:17" ht="14.4" customHeight="1" x14ac:dyDescent="0.3">
      <c r="A201" s="452" t="s">
        <v>1183</v>
      </c>
      <c r="B201" s="453" t="s">
        <v>1028</v>
      </c>
      <c r="C201" s="453" t="s">
        <v>1029</v>
      </c>
      <c r="D201" s="453" t="s">
        <v>1090</v>
      </c>
      <c r="E201" s="453" t="s">
        <v>1091</v>
      </c>
      <c r="F201" s="456"/>
      <c r="G201" s="456"/>
      <c r="H201" s="456"/>
      <c r="I201" s="456"/>
      <c r="J201" s="456">
        <v>6</v>
      </c>
      <c r="K201" s="456">
        <v>2928</v>
      </c>
      <c r="L201" s="456">
        <v>1</v>
      </c>
      <c r="M201" s="456">
        <v>488</v>
      </c>
      <c r="N201" s="456">
        <v>11</v>
      </c>
      <c r="O201" s="456">
        <v>3608</v>
      </c>
      <c r="P201" s="478">
        <v>1.2322404371584699</v>
      </c>
      <c r="Q201" s="457">
        <v>328</v>
      </c>
    </row>
    <row r="202" spans="1:17" ht="14.4" customHeight="1" x14ac:dyDescent="0.3">
      <c r="A202" s="452" t="s">
        <v>1183</v>
      </c>
      <c r="B202" s="453" t="s">
        <v>1028</v>
      </c>
      <c r="C202" s="453" t="s">
        <v>1029</v>
      </c>
      <c r="D202" s="453" t="s">
        <v>1098</v>
      </c>
      <c r="E202" s="453" t="s">
        <v>1099</v>
      </c>
      <c r="F202" s="456">
        <v>32</v>
      </c>
      <c r="G202" s="456">
        <v>1312</v>
      </c>
      <c r="H202" s="456">
        <v>1.4545454545454546</v>
      </c>
      <c r="I202" s="456">
        <v>41</v>
      </c>
      <c r="J202" s="456">
        <v>22</v>
      </c>
      <c r="K202" s="456">
        <v>902</v>
      </c>
      <c r="L202" s="456">
        <v>1</v>
      </c>
      <c r="M202" s="456">
        <v>41</v>
      </c>
      <c r="N202" s="456">
        <v>24</v>
      </c>
      <c r="O202" s="456">
        <v>1224</v>
      </c>
      <c r="P202" s="478">
        <v>1.3569844789356984</v>
      </c>
      <c r="Q202" s="457">
        <v>51</v>
      </c>
    </row>
    <row r="203" spans="1:17" ht="14.4" customHeight="1" x14ac:dyDescent="0.3">
      <c r="A203" s="452" t="s">
        <v>1183</v>
      </c>
      <c r="B203" s="453" t="s">
        <v>1028</v>
      </c>
      <c r="C203" s="453" t="s">
        <v>1029</v>
      </c>
      <c r="D203" s="453" t="s">
        <v>1114</v>
      </c>
      <c r="E203" s="453" t="s">
        <v>1115</v>
      </c>
      <c r="F203" s="456">
        <v>1</v>
      </c>
      <c r="G203" s="456">
        <v>962</v>
      </c>
      <c r="H203" s="456"/>
      <c r="I203" s="456">
        <v>962</v>
      </c>
      <c r="J203" s="456"/>
      <c r="K203" s="456"/>
      <c r="L203" s="456"/>
      <c r="M203" s="456"/>
      <c r="N203" s="456"/>
      <c r="O203" s="456"/>
      <c r="P203" s="478"/>
      <c r="Q203" s="457"/>
    </row>
    <row r="204" spans="1:17" ht="14.4" customHeight="1" x14ac:dyDescent="0.3">
      <c r="A204" s="452" t="s">
        <v>1183</v>
      </c>
      <c r="B204" s="453" t="s">
        <v>1028</v>
      </c>
      <c r="C204" s="453" t="s">
        <v>1029</v>
      </c>
      <c r="D204" s="453" t="s">
        <v>1124</v>
      </c>
      <c r="E204" s="453" t="s">
        <v>1125</v>
      </c>
      <c r="F204" s="456">
        <v>2</v>
      </c>
      <c r="G204" s="456">
        <v>496</v>
      </c>
      <c r="H204" s="456">
        <v>7.1141709695926564E-2</v>
      </c>
      <c r="I204" s="456">
        <v>248</v>
      </c>
      <c r="J204" s="456">
        <v>28</v>
      </c>
      <c r="K204" s="456">
        <v>6972</v>
      </c>
      <c r="L204" s="456">
        <v>1</v>
      </c>
      <c r="M204" s="456">
        <v>249</v>
      </c>
      <c r="N204" s="456">
        <v>34</v>
      </c>
      <c r="O204" s="456">
        <v>9214</v>
      </c>
      <c r="P204" s="478">
        <v>1.3215720022948938</v>
      </c>
      <c r="Q204" s="457">
        <v>271</v>
      </c>
    </row>
    <row r="205" spans="1:17" ht="14.4" customHeight="1" x14ac:dyDescent="0.3">
      <c r="A205" s="452" t="s">
        <v>1183</v>
      </c>
      <c r="B205" s="453" t="s">
        <v>1028</v>
      </c>
      <c r="C205" s="453" t="s">
        <v>1029</v>
      </c>
      <c r="D205" s="453" t="s">
        <v>1144</v>
      </c>
      <c r="E205" s="453"/>
      <c r="F205" s="456"/>
      <c r="G205" s="456"/>
      <c r="H205" s="456"/>
      <c r="I205" s="456"/>
      <c r="J205" s="456"/>
      <c r="K205" s="456"/>
      <c r="L205" s="456"/>
      <c r="M205" s="456"/>
      <c r="N205" s="456">
        <v>6</v>
      </c>
      <c r="O205" s="456">
        <v>8958</v>
      </c>
      <c r="P205" s="478"/>
      <c r="Q205" s="457">
        <v>1493</v>
      </c>
    </row>
    <row r="206" spans="1:17" ht="14.4" customHeight="1" x14ac:dyDescent="0.3">
      <c r="A206" s="452" t="s">
        <v>1183</v>
      </c>
      <c r="B206" s="453" t="s">
        <v>1028</v>
      </c>
      <c r="C206" s="453" t="s">
        <v>1029</v>
      </c>
      <c r="D206" s="453" t="s">
        <v>1145</v>
      </c>
      <c r="E206" s="453"/>
      <c r="F206" s="456"/>
      <c r="G206" s="456"/>
      <c r="H206" s="456"/>
      <c r="I206" s="456"/>
      <c r="J206" s="456"/>
      <c r="K206" s="456"/>
      <c r="L206" s="456"/>
      <c r="M206" s="456"/>
      <c r="N206" s="456">
        <v>14</v>
      </c>
      <c r="O206" s="456">
        <v>4578</v>
      </c>
      <c r="P206" s="478"/>
      <c r="Q206" s="457">
        <v>327</v>
      </c>
    </row>
    <row r="207" spans="1:17" ht="14.4" customHeight="1" x14ac:dyDescent="0.3">
      <c r="A207" s="452" t="s">
        <v>1027</v>
      </c>
      <c r="B207" s="453" t="s">
        <v>1028</v>
      </c>
      <c r="C207" s="453" t="s">
        <v>1029</v>
      </c>
      <c r="D207" s="453" t="s">
        <v>1030</v>
      </c>
      <c r="E207" s="453" t="s">
        <v>1031</v>
      </c>
      <c r="F207" s="456">
        <v>41</v>
      </c>
      <c r="G207" s="456">
        <v>6601</v>
      </c>
      <c r="H207" s="456">
        <v>1.5262427745664739</v>
      </c>
      <c r="I207" s="456">
        <v>161</v>
      </c>
      <c r="J207" s="456">
        <v>25</v>
      </c>
      <c r="K207" s="456">
        <v>4325</v>
      </c>
      <c r="L207" s="456">
        <v>1</v>
      </c>
      <c r="M207" s="456">
        <v>173</v>
      </c>
      <c r="N207" s="456">
        <v>27</v>
      </c>
      <c r="O207" s="456">
        <v>4671</v>
      </c>
      <c r="P207" s="478">
        <v>1.08</v>
      </c>
      <c r="Q207" s="457">
        <v>173</v>
      </c>
    </row>
    <row r="208" spans="1:17" ht="14.4" customHeight="1" x14ac:dyDescent="0.3">
      <c r="A208" s="452" t="s">
        <v>1027</v>
      </c>
      <c r="B208" s="453" t="s">
        <v>1028</v>
      </c>
      <c r="C208" s="453" t="s">
        <v>1029</v>
      </c>
      <c r="D208" s="453" t="s">
        <v>1044</v>
      </c>
      <c r="E208" s="453" t="s">
        <v>1045</v>
      </c>
      <c r="F208" s="456">
        <v>7</v>
      </c>
      <c r="G208" s="456">
        <v>8183</v>
      </c>
      <c r="H208" s="456">
        <v>2.3253765274225633</v>
      </c>
      <c r="I208" s="456">
        <v>1169</v>
      </c>
      <c r="J208" s="456">
        <v>3</v>
      </c>
      <c r="K208" s="456">
        <v>3519</v>
      </c>
      <c r="L208" s="456">
        <v>1</v>
      </c>
      <c r="M208" s="456">
        <v>1173</v>
      </c>
      <c r="N208" s="456">
        <v>11</v>
      </c>
      <c r="O208" s="456">
        <v>11770</v>
      </c>
      <c r="P208" s="478">
        <v>3.3447001989201479</v>
      </c>
      <c r="Q208" s="457">
        <v>1070</v>
      </c>
    </row>
    <row r="209" spans="1:17" ht="14.4" customHeight="1" x14ac:dyDescent="0.3">
      <c r="A209" s="452" t="s">
        <v>1027</v>
      </c>
      <c r="B209" s="453" t="s">
        <v>1028</v>
      </c>
      <c r="C209" s="453" t="s">
        <v>1029</v>
      </c>
      <c r="D209" s="453" t="s">
        <v>1046</v>
      </c>
      <c r="E209" s="453" t="s">
        <v>1047</v>
      </c>
      <c r="F209" s="456">
        <v>351</v>
      </c>
      <c r="G209" s="456">
        <v>14040</v>
      </c>
      <c r="H209" s="456">
        <v>0.71639963261557305</v>
      </c>
      <c r="I209" s="456">
        <v>40</v>
      </c>
      <c r="J209" s="456">
        <v>478</v>
      </c>
      <c r="K209" s="456">
        <v>19598</v>
      </c>
      <c r="L209" s="456">
        <v>1</v>
      </c>
      <c r="M209" s="456">
        <v>41</v>
      </c>
      <c r="N209" s="456">
        <v>659</v>
      </c>
      <c r="O209" s="456">
        <v>30314</v>
      </c>
      <c r="P209" s="478">
        <v>1.5467904888253903</v>
      </c>
      <c r="Q209" s="457">
        <v>46</v>
      </c>
    </row>
    <row r="210" spans="1:17" ht="14.4" customHeight="1" x14ac:dyDescent="0.3">
      <c r="A210" s="452" t="s">
        <v>1027</v>
      </c>
      <c r="B210" s="453" t="s">
        <v>1028</v>
      </c>
      <c r="C210" s="453" t="s">
        <v>1029</v>
      </c>
      <c r="D210" s="453" t="s">
        <v>1048</v>
      </c>
      <c r="E210" s="453" t="s">
        <v>1049</v>
      </c>
      <c r="F210" s="456">
        <v>1</v>
      </c>
      <c r="G210" s="456">
        <v>383</v>
      </c>
      <c r="H210" s="456">
        <v>0.49869791666666669</v>
      </c>
      <c r="I210" s="456">
        <v>383</v>
      </c>
      <c r="J210" s="456">
        <v>2</v>
      </c>
      <c r="K210" s="456">
        <v>768</v>
      </c>
      <c r="L210" s="456">
        <v>1</v>
      </c>
      <c r="M210" s="456">
        <v>384</v>
      </c>
      <c r="N210" s="456"/>
      <c r="O210" s="456"/>
      <c r="P210" s="478"/>
      <c r="Q210" s="457"/>
    </row>
    <row r="211" spans="1:17" ht="14.4" customHeight="1" x14ac:dyDescent="0.3">
      <c r="A211" s="452" t="s">
        <v>1027</v>
      </c>
      <c r="B211" s="453" t="s">
        <v>1028</v>
      </c>
      <c r="C211" s="453" t="s">
        <v>1029</v>
      </c>
      <c r="D211" s="453" t="s">
        <v>1050</v>
      </c>
      <c r="E211" s="453" t="s">
        <v>1051</v>
      </c>
      <c r="F211" s="456">
        <v>2</v>
      </c>
      <c r="G211" s="456">
        <v>74</v>
      </c>
      <c r="H211" s="456"/>
      <c r="I211" s="456">
        <v>37</v>
      </c>
      <c r="J211" s="456"/>
      <c r="K211" s="456"/>
      <c r="L211" s="456"/>
      <c r="M211" s="456"/>
      <c r="N211" s="456"/>
      <c r="O211" s="456"/>
      <c r="P211" s="478"/>
      <c r="Q211" s="457"/>
    </row>
    <row r="212" spans="1:17" ht="14.4" customHeight="1" x14ac:dyDescent="0.3">
      <c r="A212" s="452" t="s">
        <v>1027</v>
      </c>
      <c r="B212" s="453" t="s">
        <v>1028</v>
      </c>
      <c r="C212" s="453" t="s">
        <v>1029</v>
      </c>
      <c r="D212" s="453" t="s">
        <v>1054</v>
      </c>
      <c r="E212" s="453" t="s">
        <v>1055</v>
      </c>
      <c r="F212" s="456">
        <v>3</v>
      </c>
      <c r="G212" s="456">
        <v>1335</v>
      </c>
      <c r="H212" s="456"/>
      <c r="I212" s="456">
        <v>445</v>
      </c>
      <c r="J212" s="456"/>
      <c r="K212" s="456"/>
      <c r="L212" s="456"/>
      <c r="M212" s="456"/>
      <c r="N212" s="456">
        <v>4</v>
      </c>
      <c r="O212" s="456">
        <v>1508</v>
      </c>
      <c r="P212" s="478"/>
      <c r="Q212" s="457">
        <v>377</v>
      </c>
    </row>
    <row r="213" spans="1:17" ht="14.4" customHeight="1" x14ac:dyDescent="0.3">
      <c r="A213" s="452" t="s">
        <v>1027</v>
      </c>
      <c r="B213" s="453" t="s">
        <v>1028</v>
      </c>
      <c r="C213" s="453" t="s">
        <v>1029</v>
      </c>
      <c r="D213" s="453" t="s">
        <v>1058</v>
      </c>
      <c r="E213" s="453" t="s">
        <v>1059</v>
      </c>
      <c r="F213" s="456">
        <v>2</v>
      </c>
      <c r="G213" s="456">
        <v>982</v>
      </c>
      <c r="H213" s="456">
        <v>0.39918699186991868</v>
      </c>
      <c r="I213" s="456">
        <v>491</v>
      </c>
      <c r="J213" s="456">
        <v>5</v>
      </c>
      <c r="K213" s="456">
        <v>2460</v>
      </c>
      <c r="L213" s="456">
        <v>1</v>
      </c>
      <c r="M213" s="456">
        <v>492</v>
      </c>
      <c r="N213" s="456">
        <v>1</v>
      </c>
      <c r="O213" s="456">
        <v>524</v>
      </c>
      <c r="P213" s="478">
        <v>0.21300813008130082</v>
      </c>
      <c r="Q213" s="457">
        <v>524</v>
      </c>
    </row>
    <row r="214" spans="1:17" ht="14.4" customHeight="1" x14ac:dyDescent="0.3">
      <c r="A214" s="452" t="s">
        <v>1027</v>
      </c>
      <c r="B214" s="453" t="s">
        <v>1028</v>
      </c>
      <c r="C214" s="453" t="s">
        <v>1029</v>
      </c>
      <c r="D214" s="453" t="s">
        <v>1060</v>
      </c>
      <c r="E214" s="453" t="s">
        <v>1061</v>
      </c>
      <c r="F214" s="456">
        <v>1</v>
      </c>
      <c r="G214" s="456">
        <v>31</v>
      </c>
      <c r="H214" s="456">
        <v>1</v>
      </c>
      <c r="I214" s="456">
        <v>31</v>
      </c>
      <c r="J214" s="456">
        <v>1</v>
      </c>
      <c r="K214" s="456">
        <v>31</v>
      </c>
      <c r="L214" s="456">
        <v>1</v>
      </c>
      <c r="M214" s="456">
        <v>31</v>
      </c>
      <c r="N214" s="456">
        <v>4</v>
      </c>
      <c r="O214" s="456">
        <v>228</v>
      </c>
      <c r="P214" s="478">
        <v>7.354838709677419</v>
      </c>
      <c r="Q214" s="457">
        <v>57</v>
      </c>
    </row>
    <row r="215" spans="1:17" ht="14.4" customHeight="1" x14ac:dyDescent="0.3">
      <c r="A215" s="452" t="s">
        <v>1027</v>
      </c>
      <c r="B215" s="453" t="s">
        <v>1028</v>
      </c>
      <c r="C215" s="453" t="s">
        <v>1029</v>
      </c>
      <c r="D215" s="453" t="s">
        <v>1066</v>
      </c>
      <c r="E215" s="453" t="s">
        <v>1067</v>
      </c>
      <c r="F215" s="456"/>
      <c r="G215" s="456"/>
      <c r="H215" s="456"/>
      <c r="I215" s="456"/>
      <c r="J215" s="456">
        <v>4</v>
      </c>
      <c r="K215" s="456">
        <v>944</v>
      </c>
      <c r="L215" s="456">
        <v>1</v>
      </c>
      <c r="M215" s="456">
        <v>236</v>
      </c>
      <c r="N215" s="456"/>
      <c r="O215" s="456"/>
      <c r="P215" s="478"/>
      <c r="Q215" s="457"/>
    </row>
    <row r="216" spans="1:17" ht="14.4" customHeight="1" x14ac:dyDescent="0.3">
      <c r="A216" s="452" t="s">
        <v>1027</v>
      </c>
      <c r="B216" s="453" t="s">
        <v>1028</v>
      </c>
      <c r="C216" s="453" t="s">
        <v>1029</v>
      </c>
      <c r="D216" s="453" t="s">
        <v>1074</v>
      </c>
      <c r="E216" s="453" t="s">
        <v>1075</v>
      </c>
      <c r="F216" s="456">
        <v>23</v>
      </c>
      <c r="G216" s="456">
        <v>368</v>
      </c>
      <c r="H216" s="456">
        <v>4.3294117647058821</v>
      </c>
      <c r="I216" s="456">
        <v>16</v>
      </c>
      <c r="J216" s="456">
        <v>5</v>
      </c>
      <c r="K216" s="456">
        <v>85</v>
      </c>
      <c r="L216" s="456">
        <v>1</v>
      </c>
      <c r="M216" s="456">
        <v>17</v>
      </c>
      <c r="N216" s="456">
        <v>3</v>
      </c>
      <c r="O216" s="456">
        <v>51</v>
      </c>
      <c r="P216" s="478">
        <v>0.6</v>
      </c>
      <c r="Q216" s="457">
        <v>17</v>
      </c>
    </row>
    <row r="217" spans="1:17" ht="14.4" customHeight="1" x14ac:dyDescent="0.3">
      <c r="A217" s="452" t="s">
        <v>1027</v>
      </c>
      <c r="B217" s="453" t="s">
        <v>1028</v>
      </c>
      <c r="C217" s="453" t="s">
        <v>1029</v>
      </c>
      <c r="D217" s="453" t="s">
        <v>1076</v>
      </c>
      <c r="E217" s="453" t="s">
        <v>1077</v>
      </c>
      <c r="F217" s="456"/>
      <c r="G217" s="456"/>
      <c r="H217" s="456"/>
      <c r="I217" s="456"/>
      <c r="J217" s="456">
        <v>1</v>
      </c>
      <c r="K217" s="456">
        <v>139</v>
      </c>
      <c r="L217" s="456">
        <v>1</v>
      </c>
      <c r="M217" s="456">
        <v>139</v>
      </c>
      <c r="N217" s="456"/>
      <c r="O217" s="456"/>
      <c r="P217" s="478"/>
      <c r="Q217" s="457"/>
    </row>
    <row r="218" spans="1:17" ht="14.4" customHeight="1" x14ac:dyDescent="0.3">
      <c r="A218" s="452" t="s">
        <v>1027</v>
      </c>
      <c r="B218" s="453" t="s">
        <v>1028</v>
      </c>
      <c r="C218" s="453" t="s">
        <v>1029</v>
      </c>
      <c r="D218" s="453" t="s">
        <v>1078</v>
      </c>
      <c r="E218" s="453" t="s">
        <v>1079</v>
      </c>
      <c r="F218" s="456">
        <v>3</v>
      </c>
      <c r="G218" s="456">
        <v>309</v>
      </c>
      <c r="H218" s="456">
        <v>3</v>
      </c>
      <c r="I218" s="456">
        <v>103</v>
      </c>
      <c r="J218" s="456">
        <v>1</v>
      </c>
      <c r="K218" s="456">
        <v>103</v>
      </c>
      <c r="L218" s="456">
        <v>1</v>
      </c>
      <c r="M218" s="456">
        <v>103</v>
      </c>
      <c r="N218" s="456"/>
      <c r="O218" s="456"/>
      <c r="P218" s="478"/>
      <c r="Q218" s="457"/>
    </row>
    <row r="219" spans="1:17" ht="14.4" customHeight="1" x14ac:dyDescent="0.3">
      <c r="A219" s="452" t="s">
        <v>1027</v>
      </c>
      <c r="B219" s="453" t="s">
        <v>1028</v>
      </c>
      <c r="C219" s="453" t="s">
        <v>1029</v>
      </c>
      <c r="D219" s="453" t="s">
        <v>1082</v>
      </c>
      <c r="E219" s="453" t="s">
        <v>1083</v>
      </c>
      <c r="F219" s="456">
        <v>270</v>
      </c>
      <c r="G219" s="456">
        <v>31320</v>
      </c>
      <c r="H219" s="456">
        <v>0.67770204479065244</v>
      </c>
      <c r="I219" s="456">
        <v>116</v>
      </c>
      <c r="J219" s="456">
        <v>395</v>
      </c>
      <c r="K219" s="456">
        <v>46215</v>
      </c>
      <c r="L219" s="456">
        <v>1</v>
      </c>
      <c r="M219" s="456">
        <v>117</v>
      </c>
      <c r="N219" s="456">
        <v>328</v>
      </c>
      <c r="O219" s="456">
        <v>44608</v>
      </c>
      <c r="P219" s="478">
        <v>0.96522773991128419</v>
      </c>
      <c r="Q219" s="457">
        <v>136</v>
      </c>
    </row>
    <row r="220" spans="1:17" ht="14.4" customHeight="1" x14ac:dyDescent="0.3">
      <c r="A220" s="452" t="s">
        <v>1027</v>
      </c>
      <c r="B220" s="453" t="s">
        <v>1028</v>
      </c>
      <c r="C220" s="453" t="s">
        <v>1029</v>
      </c>
      <c r="D220" s="453" t="s">
        <v>1084</v>
      </c>
      <c r="E220" s="453" t="s">
        <v>1085</v>
      </c>
      <c r="F220" s="456">
        <v>22</v>
      </c>
      <c r="G220" s="456">
        <v>1870</v>
      </c>
      <c r="H220" s="456">
        <v>2.0549450549450547</v>
      </c>
      <c r="I220" s="456">
        <v>85</v>
      </c>
      <c r="J220" s="456">
        <v>10</v>
      </c>
      <c r="K220" s="456">
        <v>910</v>
      </c>
      <c r="L220" s="456">
        <v>1</v>
      </c>
      <c r="M220" s="456">
        <v>91</v>
      </c>
      <c r="N220" s="456">
        <v>14</v>
      </c>
      <c r="O220" s="456">
        <v>1274</v>
      </c>
      <c r="P220" s="478">
        <v>1.4</v>
      </c>
      <c r="Q220" s="457">
        <v>91</v>
      </c>
    </row>
    <row r="221" spans="1:17" ht="14.4" customHeight="1" x14ac:dyDescent="0.3">
      <c r="A221" s="452" t="s">
        <v>1027</v>
      </c>
      <c r="B221" s="453" t="s">
        <v>1028</v>
      </c>
      <c r="C221" s="453" t="s">
        <v>1029</v>
      </c>
      <c r="D221" s="453" t="s">
        <v>1086</v>
      </c>
      <c r="E221" s="453" t="s">
        <v>1087</v>
      </c>
      <c r="F221" s="456">
        <v>1</v>
      </c>
      <c r="G221" s="456">
        <v>98</v>
      </c>
      <c r="H221" s="456">
        <v>0.10998877665544332</v>
      </c>
      <c r="I221" s="456">
        <v>98</v>
      </c>
      <c r="J221" s="456">
        <v>9</v>
      </c>
      <c r="K221" s="456">
        <v>891</v>
      </c>
      <c r="L221" s="456">
        <v>1</v>
      </c>
      <c r="M221" s="456">
        <v>99</v>
      </c>
      <c r="N221" s="456"/>
      <c r="O221" s="456"/>
      <c r="P221" s="478"/>
      <c r="Q221" s="457"/>
    </row>
    <row r="222" spans="1:17" ht="14.4" customHeight="1" x14ac:dyDescent="0.3">
      <c r="A222" s="452" t="s">
        <v>1027</v>
      </c>
      <c r="B222" s="453" t="s">
        <v>1028</v>
      </c>
      <c r="C222" s="453" t="s">
        <v>1029</v>
      </c>
      <c r="D222" s="453" t="s">
        <v>1088</v>
      </c>
      <c r="E222" s="453" t="s">
        <v>1089</v>
      </c>
      <c r="F222" s="456">
        <v>2</v>
      </c>
      <c r="G222" s="456">
        <v>42</v>
      </c>
      <c r="H222" s="456">
        <v>0.18181818181818182</v>
      </c>
      <c r="I222" s="456">
        <v>21</v>
      </c>
      <c r="J222" s="456">
        <v>11</v>
      </c>
      <c r="K222" s="456">
        <v>231</v>
      </c>
      <c r="L222" s="456">
        <v>1</v>
      </c>
      <c r="M222" s="456">
        <v>21</v>
      </c>
      <c r="N222" s="456"/>
      <c r="O222" s="456"/>
      <c r="P222" s="478"/>
      <c r="Q222" s="457"/>
    </row>
    <row r="223" spans="1:17" ht="14.4" customHeight="1" x14ac:dyDescent="0.3">
      <c r="A223" s="452" t="s">
        <v>1027</v>
      </c>
      <c r="B223" s="453" t="s">
        <v>1028</v>
      </c>
      <c r="C223" s="453" t="s">
        <v>1029</v>
      </c>
      <c r="D223" s="453" t="s">
        <v>1090</v>
      </c>
      <c r="E223" s="453" t="s">
        <v>1091</v>
      </c>
      <c r="F223" s="456">
        <v>45</v>
      </c>
      <c r="G223" s="456">
        <v>21915</v>
      </c>
      <c r="H223" s="456">
        <v>3.7423155737704916</v>
      </c>
      <c r="I223" s="456">
        <v>487</v>
      </c>
      <c r="J223" s="456">
        <v>12</v>
      </c>
      <c r="K223" s="456">
        <v>5856</v>
      </c>
      <c r="L223" s="456">
        <v>1</v>
      </c>
      <c r="M223" s="456">
        <v>488</v>
      </c>
      <c r="N223" s="456"/>
      <c r="O223" s="456"/>
      <c r="P223" s="478"/>
      <c r="Q223" s="457"/>
    </row>
    <row r="224" spans="1:17" ht="14.4" customHeight="1" x14ac:dyDescent="0.3">
      <c r="A224" s="452" t="s">
        <v>1027</v>
      </c>
      <c r="B224" s="453" t="s">
        <v>1028</v>
      </c>
      <c r="C224" s="453" t="s">
        <v>1029</v>
      </c>
      <c r="D224" s="453" t="s">
        <v>1098</v>
      </c>
      <c r="E224" s="453" t="s">
        <v>1099</v>
      </c>
      <c r="F224" s="456">
        <v>17</v>
      </c>
      <c r="G224" s="456">
        <v>697</v>
      </c>
      <c r="H224" s="456">
        <v>0.73913043478260865</v>
      </c>
      <c r="I224" s="456">
        <v>41</v>
      </c>
      <c r="J224" s="456">
        <v>23</v>
      </c>
      <c r="K224" s="456">
        <v>943</v>
      </c>
      <c r="L224" s="456">
        <v>1</v>
      </c>
      <c r="M224" s="456">
        <v>41</v>
      </c>
      <c r="N224" s="456">
        <v>9</v>
      </c>
      <c r="O224" s="456">
        <v>459</v>
      </c>
      <c r="P224" s="478">
        <v>0.48674443266171791</v>
      </c>
      <c r="Q224" s="457">
        <v>51</v>
      </c>
    </row>
    <row r="225" spans="1:17" ht="14.4" customHeight="1" x14ac:dyDescent="0.3">
      <c r="A225" s="452" t="s">
        <v>1027</v>
      </c>
      <c r="B225" s="453" t="s">
        <v>1028</v>
      </c>
      <c r="C225" s="453" t="s">
        <v>1029</v>
      </c>
      <c r="D225" s="453" t="s">
        <v>1112</v>
      </c>
      <c r="E225" s="453" t="s">
        <v>1113</v>
      </c>
      <c r="F225" s="456">
        <v>1</v>
      </c>
      <c r="G225" s="456">
        <v>608</v>
      </c>
      <c r="H225" s="456">
        <v>0.19804560260586318</v>
      </c>
      <c r="I225" s="456">
        <v>608</v>
      </c>
      <c r="J225" s="456">
        <v>5</v>
      </c>
      <c r="K225" s="456">
        <v>3070</v>
      </c>
      <c r="L225" s="456">
        <v>1</v>
      </c>
      <c r="M225" s="456">
        <v>614</v>
      </c>
      <c r="N225" s="456">
        <v>1</v>
      </c>
      <c r="O225" s="456">
        <v>612</v>
      </c>
      <c r="P225" s="478">
        <v>0.19934853420195439</v>
      </c>
      <c r="Q225" s="457">
        <v>612</v>
      </c>
    </row>
    <row r="226" spans="1:17" ht="14.4" customHeight="1" x14ac:dyDescent="0.3">
      <c r="A226" s="452" t="s">
        <v>1027</v>
      </c>
      <c r="B226" s="453" t="s">
        <v>1028</v>
      </c>
      <c r="C226" s="453" t="s">
        <v>1029</v>
      </c>
      <c r="D226" s="453" t="s">
        <v>1124</v>
      </c>
      <c r="E226" s="453" t="s">
        <v>1125</v>
      </c>
      <c r="F226" s="456"/>
      <c r="G226" s="456"/>
      <c r="H226" s="456"/>
      <c r="I226" s="456"/>
      <c r="J226" s="456">
        <v>4</v>
      </c>
      <c r="K226" s="456">
        <v>996</v>
      </c>
      <c r="L226" s="456">
        <v>1</v>
      </c>
      <c r="M226" s="456">
        <v>249</v>
      </c>
      <c r="N226" s="456"/>
      <c r="O226" s="456"/>
      <c r="P226" s="478"/>
      <c r="Q226" s="457"/>
    </row>
    <row r="227" spans="1:17" ht="14.4" customHeight="1" x14ac:dyDescent="0.3">
      <c r="A227" s="452" t="s">
        <v>1027</v>
      </c>
      <c r="B227" s="453" t="s">
        <v>1028</v>
      </c>
      <c r="C227" s="453" t="s">
        <v>1029</v>
      </c>
      <c r="D227" s="453" t="s">
        <v>1132</v>
      </c>
      <c r="E227" s="453" t="s">
        <v>1133</v>
      </c>
      <c r="F227" s="456">
        <v>35</v>
      </c>
      <c r="G227" s="456">
        <v>945</v>
      </c>
      <c r="H227" s="456">
        <v>0.74468085106382975</v>
      </c>
      <c r="I227" s="456">
        <v>27</v>
      </c>
      <c r="J227" s="456">
        <v>47</v>
      </c>
      <c r="K227" s="456">
        <v>1269</v>
      </c>
      <c r="L227" s="456">
        <v>1</v>
      </c>
      <c r="M227" s="456">
        <v>27</v>
      </c>
      <c r="N227" s="456">
        <v>86</v>
      </c>
      <c r="O227" s="456">
        <v>4042</v>
      </c>
      <c r="P227" s="478">
        <v>3.1851851851851851</v>
      </c>
      <c r="Q227" s="457">
        <v>47</v>
      </c>
    </row>
    <row r="228" spans="1:17" ht="14.4" customHeight="1" x14ac:dyDescent="0.3">
      <c r="A228" s="452" t="s">
        <v>1027</v>
      </c>
      <c r="B228" s="453" t="s">
        <v>1028</v>
      </c>
      <c r="C228" s="453" t="s">
        <v>1029</v>
      </c>
      <c r="D228" s="453" t="s">
        <v>1144</v>
      </c>
      <c r="E228" s="453"/>
      <c r="F228" s="456"/>
      <c r="G228" s="456"/>
      <c r="H228" s="456"/>
      <c r="I228" s="456"/>
      <c r="J228" s="456"/>
      <c r="K228" s="456"/>
      <c r="L228" s="456"/>
      <c r="M228" s="456"/>
      <c r="N228" s="456">
        <v>4</v>
      </c>
      <c r="O228" s="456">
        <v>5972</v>
      </c>
      <c r="P228" s="478"/>
      <c r="Q228" s="457">
        <v>1493</v>
      </c>
    </row>
    <row r="229" spans="1:17" ht="14.4" customHeight="1" x14ac:dyDescent="0.3">
      <c r="A229" s="452" t="s">
        <v>1027</v>
      </c>
      <c r="B229" s="453" t="s">
        <v>1028</v>
      </c>
      <c r="C229" s="453" t="s">
        <v>1029</v>
      </c>
      <c r="D229" s="453" t="s">
        <v>1145</v>
      </c>
      <c r="E229" s="453"/>
      <c r="F229" s="456"/>
      <c r="G229" s="456"/>
      <c r="H229" s="456"/>
      <c r="I229" s="456"/>
      <c r="J229" s="456"/>
      <c r="K229" s="456"/>
      <c r="L229" s="456"/>
      <c r="M229" s="456"/>
      <c r="N229" s="456">
        <v>2</v>
      </c>
      <c r="O229" s="456">
        <v>654</v>
      </c>
      <c r="P229" s="478"/>
      <c r="Q229" s="457">
        <v>327</v>
      </c>
    </row>
    <row r="230" spans="1:17" ht="14.4" customHeight="1" x14ac:dyDescent="0.3">
      <c r="A230" s="452" t="s">
        <v>1184</v>
      </c>
      <c r="B230" s="453" t="s">
        <v>1028</v>
      </c>
      <c r="C230" s="453" t="s">
        <v>1029</v>
      </c>
      <c r="D230" s="453" t="s">
        <v>1030</v>
      </c>
      <c r="E230" s="453" t="s">
        <v>1031</v>
      </c>
      <c r="F230" s="456">
        <v>151</v>
      </c>
      <c r="G230" s="456">
        <v>24311</v>
      </c>
      <c r="H230" s="456">
        <v>0.70616086211403839</v>
      </c>
      <c r="I230" s="456">
        <v>161</v>
      </c>
      <c r="J230" s="456">
        <v>199</v>
      </c>
      <c r="K230" s="456">
        <v>34427</v>
      </c>
      <c r="L230" s="456">
        <v>1</v>
      </c>
      <c r="M230" s="456">
        <v>173</v>
      </c>
      <c r="N230" s="456">
        <v>192</v>
      </c>
      <c r="O230" s="456">
        <v>33216</v>
      </c>
      <c r="P230" s="478">
        <v>0.96482412060301503</v>
      </c>
      <c r="Q230" s="457">
        <v>173</v>
      </c>
    </row>
    <row r="231" spans="1:17" ht="14.4" customHeight="1" x14ac:dyDescent="0.3">
      <c r="A231" s="452" t="s">
        <v>1184</v>
      </c>
      <c r="B231" s="453" t="s">
        <v>1028</v>
      </c>
      <c r="C231" s="453" t="s">
        <v>1029</v>
      </c>
      <c r="D231" s="453" t="s">
        <v>1044</v>
      </c>
      <c r="E231" s="453" t="s">
        <v>1045</v>
      </c>
      <c r="F231" s="456">
        <v>37</v>
      </c>
      <c r="G231" s="456">
        <v>43253</v>
      </c>
      <c r="H231" s="456">
        <v>0.97036388926279893</v>
      </c>
      <c r="I231" s="456">
        <v>1169</v>
      </c>
      <c r="J231" s="456">
        <v>38</v>
      </c>
      <c r="K231" s="456">
        <v>44574</v>
      </c>
      <c r="L231" s="456">
        <v>1</v>
      </c>
      <c r="M231" s="456">
        <v>1173</v>
      </c>
      <c r="N231" s="456">
        <v>164</v>
      </c>
      <c r="O231" s="456">
        <v>175480</v>
      </c>
      <c r="P231" s="478">
        <v>3.9368241575806522</v>
      </c>
      <c r="Q231" s="457">
        <v>1070</v>
      </c>
    </row>
    <row r="232" spans="1:17" ht="14.4" customHeight="1" x14ac:dyDescent="0.3">
      <c r="A232" s="452" t="s">
        <v>1184</v>
      </c>
      <c r="B232" s="453" t="s">
        <v>1028</v>
      </c>
      <c r="C232" s="453" t="s">
        <v>1029</v>
      </c>
      <c r="D232" s="453" t="s">
        <v>1046</v>
      </c>
      <c r="E232" s="453" t="s">
        <v>1047</v>
      </c>
      <c r="F232" s="456">
        <v>891</v>
      </c>
      <c r="G232" s="456">
        <v>35640</v>
      </c>
      <c r="H232" s="456">
        <v>1.2974153622133235</v>
      </c>
      <c r="I232" s="456">
        <v>40</v>
      </c>
      <c r="J232" s="456">
        <v>670</v>
      </c>
      <c r="K232" s="456">
        <v>27470</v>
      </c>
      <c r="L232" s="456">
        <v>1</v>
      </c>
      <c r="M232" s="456">
        <v>41</v>
      </c>
      <c r="N232" s="456">
        <v>682</v>
      </c>
      <c r="O232" s="456">
        <v>31372</v>
      </c>
      <c r="P232" s="478">
        <v>1.1420458682198762</v>
      </c>
      <c r="Q232" s="457">
        <v>46</v>
      </c>
    </row>
    <row r="233" spans="1:17" ht="14.4" customHeight="1" x14ac:dyDescent="0.3">
      <c r="A233" s="452" t="s">
        <v>1184</v>
      </c>
      <c r="B233" s="453" t="s">
        <v>1028</v>
      </c>
      <c r="C233" s="453" t="s">
        <v>1029</v>
      </c>
      <c r="D233" s="453" t="s">
        <v>1048</v>
      </c>
      <c r="E233" s="453" t="s">
        <v>1049</v>
      </c>
      <c r="F233" s="456">
        <v>14</v>
      </c>
      <c r="G233" s="456">
        <v>5362</v>
      </c>
      <c r="H233" s="456">
        <v>0.63470643939393945</v>
      </c>
      <c r="I233" s="456">
        <v>383</v>
      </c>
      <c r="J233" s="456">
        <v>22</v>
      </c>
      <c r="K233" s="456">
        <v>8448</v>
      </c>
      <c r="L233" s="456">
        <v>1</v>
      </c>
      <c r="M233" s="456">
        <v>384</v>
      </c>
      <c r="N233" s="456">
        <v>23</v>
      </c>
      <c r="O233" s="456">
        <v>7981</v>
      </c>
      <c r="P233" s="478">
        <v>0.94472064393939392</v>
      </c>
      <c r="Q233" s="457">
        <v>347</v>
      </c>
    </row>
    <row r="234" spans="1:17" ht="14.4" customHeight="1" x14ac:dyDescent="0.3">
      <c r="A234" s="452" t="s">
        <v>1184</v>
      </c>
      <c r="B234" s="453" t="s">
        <v>1028</v>
      </c>
      <c r="C234" s="453" t="s">
        <v>1029</v>
      </c>
      <c r="D234" s="453" t="s">
        <v>1050</v>
      </c>
      <c r="E234" s="453" t="s">
        <v>1051</v>
      </c>
      <c r="F234" s="456">
        <v>88</v>
      </c>
      <c r="G234" s="456">
        <v>3256</v>
      </c>
      <c r="H234" s="456">
        <v>0.62411347517730498</v>
      </c>
      <c r="I234" s="456">
        <v>37</v>
      </c>
      <c r="J234" s="456">
        <v>141</v>
      </c>
      <c r="K234" s="456">
        <v>5217</v>
      </c>
      <c r="L234" s="456">
        <v>1</v>
      </c>
      <c r="M234" s="456">
        <v>37</v>
      </c>
      <c r="N234" s="456">
        <v>54</v>
      </c>
      <c r="O234" s="456">
        <v>2754</v>
      </c>
      <c r="P234" s="478">
        <v>0.52788959171937899</v>
      </c>
      <c r="Q234" s="457">
        <v>51</v>
      </c>
    </row>
    <row r="235" spans="1:17" ht="14.4" customHeight="1" x14ac:dyDescent="0.3">
      <c r="A235" s="452" t="s">
        <v>1184</v>
      </c>
      <c r="B235" s="453" t="s">
        <v>1028</v>
      </c>
      <c r="C235" s="453" t="s">
        <v>1029</v>
      </c>
      <c r="D235" s="453" t="s">
        <v>1054</v>
      </c>
      <c r="E235" s="453" t="s">
        <v>1055</v>
      </c>
      <c r="F235" s="456">
        <v>76</v>
      </c>
      <c r="G235" s="456">
        <v>33820</v>
      </c>
      <c r="H235" s="456">
        <v>0.45957331159124881</v>
      </c>
      <c r="I235" s="456">
        <v>445</v>
      </c>
      <c r="J235" s="456">
        <v>165</v>
      </c>
      <c r="K235" s="456">
        <v>73590</v>
      </c>
      <c r="L235" s="456">
        <v>1</v>
      </c>
      <c r="M235" s="456">
        <v>446</v>
      </c>
      <c r="N235" s="456">
        <v>245</v>
      </c>
      <c r="O235" s="456">
        <v>92365</v>
      </c>
      <c r="P235" s="478">
        <v>1.2551297730669928</v>
      </c>
      <c r="Q235" s="457">
        <v>377</v>
      </c>
    </row>
    <row r="236" spans="1:17" ht="14.4" customHeight="1" x14ac:dyDescent="0.3">
      <c r="A236" s="452" t="s">
        <v>1184</v>
      </c>
      <c r="B236" s="453" t="s">
        <v>1028</v>
      </c>
      <c r="C236" s="453" t="s">
        <v>1029</v>
      </c>
      <c r="D236" s="453" t="s">
        <v>1058</v>
      </c>
      <c r="E236" s="453" t="s">
        <v>1059</v>
      </c>
      <c r="F236" s="456">
        <v>29</v>
      </c>
      <c r="G236" s="456">
        <v>14239</v>
      </c>
      <c r="H236" s="456">
        <v>0.16632791327913279</v>
      </c>
      <c r="I236" s="456">
        <v>491</v>
      </c>
      <c r="J236" s="456">
        <v>174</v>
      </c>
      <c r="K236" s="456">
        <v>85608</v>
      </c>
      <c r="L236" s="456">
        <v>1</v>
      </c>
      <c r="M236" s="456">
        <v>492</v>
      </c>
      <c r="N236" s="456">
        <v>237</v>
      </c>
      <c r="O236" s="456">
        <v>124188</v>
      </c>
      <c r="P236" s="478">
        <v>1.4506588169329968</v>
      </c>
      <c r="Q236" s="457">
        <v>524</v>
      </c>
    </row>
    <row r="237" spans="1:17" ht="14.4" customHeight="1" x14ac:dyDescent="0.3">
      <c r="A237" s="452" t="s">
        <v>1184</v>
      </c>
      <c r="B237" s="453" t="s">
        <v>1028</v>
      </c>
      <c r="C237" s="453" t="s">
        <v>1029</v>
      </c>
      <c r="D237" s="453" t="s">
        <v>1060</v>
      </c>
      <c r="E237" s="453" t="s">
        <v>1061</v>
      </c>
      <c r="F237" s="456">
        <v>52</v>
      </c>
      <c r="G237" s="456">
        <v>1612</v>
      </c>
      <c r="H237" s="456">
        <v>1.2682926829268293</v>
      </c>
      <c r="I237" s="456">
        <v>31</v>
      </c>
      <c r="J237" s="456">
        <v>41</v>
      </c>
      <c r="K237" s="456">
        <v>1271</v>
      </c>
      <c r="L237" s="456">
        <v>1</v>
      </c>
      <c r="M237" s="456">
        <v>31</v>
      </c>
      <c r="N237" s="456">
        <v>28</v>
      </c>
      <c r="O237" s="456">
        <v>1596</v>
      </c>
      <c r="P237" s="478">
        <v>1.2557041699449252</v>
      </c>
      <c r="Q237" s="457">
        <v>57</v>
      </c>
    </row>
    <row r="238" spans="1:17" ht="14.4" customHeight="1" x14ac:dyDescent="0.3">
      <c r="A238" s="452" t="s">
        <v>1184</v>
      </c>
      <c r="B238" s="453" t="s">
        <v>1028</v>
      </c>
      <c r="C238" s="453" t="s">
        <v>1029</v>
      </c>
      <c r="D238" s="453" t="s">
        <v>1062</v>
      </c>
      <c r="E238" s="453" t="s">
        <v>1063</v>
      </c>
      <c r="F238" s="456">
        <v>3</v>
      </c>
      <c r="G238" s="456">
        <v>621</v>
      </c>
      <c r="H238" s="456">
        <v>2.9855769230769229</v>
      </c>
      <c r="I238" s="456">
        <v>207</v>
      </c>
      <c r="J238" s="456">
        <v>1</v>
      </c>
      <c r="K238" s="456">
        <v>208</v>
      </c>
      <c r="L238" s="456">
        <v>1</v>
      </c>
      <c r="M238" s="456">
        <v>208</v>
      </c>
      <c r="N238" s="456">
        <v>1</v>
      </c>
      <c r="O238" s="456">
        <v>224</v>
      </c>
      <c r="P238" s="478">
        <v>1.0769230769230769</v>
      </c>
      <c r="Q238" s="457">
        <v>224</v>
      </c>
    </row>
    <row r="239" spans="1:17" ht="14.4" customHeight="1" x14ac:dyDescent="0.3">
      <c r="A239" s="452" t="s">
        <v>1184</v>
      </c>
      <c r="B239" s="453" t="s">
        <v>1028</v>
      </c>
      <c r="C239" s="453" t="s">
        <v>1029</v>
      </c>
      <c r="D239" s="453" t="s">
        <v>1064</v>
      </c>
      <c r="E239" s="453" t="s">
        <v>1065</v>
      </c>
      <c r="F239" s="456">
        <v>3</v>
      </c>
      <c r="G239" s="456">
        <v>1140</v>
      </c>
      <c r="H239" s="456">
        <v>1.484375</v>
      </c>
      <c r="I239" s="456">
        <v>380</v>
      </c>
      <c r="J239" s="456">
        <v>2</v>
      </c>
      <c r="K239" s="456">
        <v>768</v>
      </c>
      <c r="L239" s="456">
        <v>1</v>
      </c>
      <c r="M239" s="456">
        <v>384</v>
      </c>
      <c r="N239" s="456">
        <v>1</v>
      </c>
      <c r="O239" s="456">
        <v>553</v>
      </c>
      <c r="P239" s="478">
        <v>0.72005208333333337</v>
      </c>
      <c r="Q239" s="457">
        <v>553</v>
      </c>
    </row>
    <row r="240" spans="1:17" ht="14.4" customHeight="1" x14ac:dyDescent="0.3">
      <c r="A240" s="452" t="s">
        <v>1184</v>
      </c>
      <c r="B240" s="453" t="s">
        <v>1028</v>
      </c>
      <c r="C240" s="453" t="s">
        <v>1029</v>
      </c>
      <c r="D240" s="453" t="s">
        <v>1068</v>
      </c>
      <c r="E240" s="453" t="s">
        <v>1069</v>
      </c>
      <c r="F240" s="456">
        <v>34</v>
      </c>
      <c r="G240" s="456">
        <v>4454</v>
      </c>
      <c r="H240" s="456">
        <v>2.0319343065693429</v>
      </c>
      <c r="I240" s="456">
        <v>131</v>
      </c>
      <c r="J240" s="456">
        <v>16</v>
      </c>
      <c r="K240" s="456">
        <v>2192</v>
      </c>
      <c r="L240" s="456">
        <v>1</v>
      </c>
      <c r="M240" s="456">
        <v>137</v>
      </c>
      <c r="N240" s="456">
        <v>15</v>
      </c>
      <c r="O240" s="456">
        <v>2115</v>
      </c>
      <c r="P240" s="478">
        <v>0.96487226277372262</v>
      </c>
      <c r="Q240" s="457">
        <v>141</v>
      </c>
    </row>
    <row r="241" spans="1:17" ht="14.4" customHeight="1" x14ac:dyDescent="0.3">
      <c r="A241" s="452" t="s">
        <v>1184</v>
      </c>
      <c r="B241" s="453" t="s">
        <v>1028</v>
      </c>
      <c r="C241" s="453" t="s">
        <v>1029</v>
      </c>
      <c r="D241" s="453" t="s">
        <v>1070</v>
      </c>
      <c r="E241" s="453" t="s">
        <v>1071</v>
      </c>
      <c r="F241" s="456"/>
      <c r="G241" s="456"/>
      <c r="H241" s="456"/>
      <c r="I241" s="456"/>
      <c r="J241" s="456">
        <v>2</v>
      </c>
      <c r="K241" s="456">
        <v>410</v>
      </c>
      <c r="L241" s="456">
        <v>1</v>
      </c>
      <c r="M241" s="456">
        <v>205</v>
      </c>
      <c r="N241" s="456"/>
      <c r="O241" s="456"/>
      <c r="P241" s="478"/>
      <c r="Q241" s="457"/>
    </row>
    <row r="242" spans="1:17" ht="14.4" customHeight="1" x14ac:dyDescent="0.3">
      <c r="A242" s="452" t="s">
        <v>1184</v>
      </c>
      <c r="B242" s="453" t="s">
        <v>1028</v>
      </c>
      <c r="C242" s="453" t="s">
        <v>1029</v>
      </c>
      <c r="D242" s="453" t="s">
        <v>1074</v>
      </c>
      <c r="E242" s="453" t="s">
        <v>1075</v>
      </c>
      <c r="F242" s="456">
        <v>308</v>
      </c>
      <c r="G242" s="456">
        <v>4928</v>
      </c>
      <c r="H242" s="456">
        <v>0.67414500683994527</v>
      </c>
      <c r="I242" s="456">
        <v>16</v>
      </c>
      <c r="J242" s="456">
        <v>430</v>
      </c>
      <c r="K242" s="456">
        <v>7310</v>
      </c>
      <c r="L242" s="456">
        <v>1</v>
      </c>
      <c r="M242" s="456">
        <v>17</v>
      </c>
      <c r="N242" s="456">
        <v>408</v>
      </c>
      <c r="O242" s="456">
        <v>6936</v>
      </c>
      <c r="P242" s="478">
        <v>0.94883720930232562</v>
      </c>
      <c r="Q242" s="457">
        <v>17</v>
      </c>
    </row>
    <row r="243" spans="1:17" ht="14.4" customHeight="1" x14ac:dyDescent="0.3">
      <c r="A243" s="452" t="s">
        <v>1184</v>
      </c>
      <c r="B243" s="453" t="s">
        <v>1028</v>
      </c>
      <c r="C243" s="453" t="s">
        <v>1029</v>
      </c>
      <c r="D243" s="453" t="s">
        <v>1076</v>
      </c>
      <c r="E243" s="453" t="s">
        <v>1077</v>
      </c>
      <c r="F243" s="456">
        <v>6</v>
      </c>
      <c r="G243" s="456">
        <v>816</v>
      </c>
      <c r="H243" s="456">
        <v>6.5227817745803357E-2</v>
      </c>
      <c r="I243" s="456">
        <v>136</v>
      </c>
      <c r="J243" s="456">
        <v>90</v>
      </c>
      <c r="K243" s="456">
        <v>12510</v>
      </c>
      <c r="L243" s="456">
        <v>1</v>
      </c>
      <c r="M243" s="456">
        <v>139</v>
      </c>
      <c r="N243" s="456">
        <v>179</v>
      </c>
      <c r="O243" s="456">
        <v>25597</v>
      </c>
      <c r="P243" s="478">
        <v>2.0461231015187851</v>
      </c>
      <c r="Q243" s="457">
        <v>143</v>
      </c>
    </row>
    <row r="244" spans="1:17" ht="14.4" customHeight="1" x14ac:dyDescent="0.3">
      <c r="A244" s="452" t="s">
        <v>1184</v>
      </c>
      <c r="B244" s="453" t="s">
        <v>1028</v>
      </c>
      <c r="C244" s="453" t="s">
        <v>1029</v>
      </c>
      <c r="D244" s="453" t="s">
        <v>1078</v>
      </c>
      <c r="E244" s="453" t="s">
        <v>1079</v>
      </c>
      <c r="F244" s="456">
        <v>14</v>
      </c>
      <c r="G244" s="456">
        <v>1442</v>
      </c>
      <c r="H244" s="456">
        <v>1.0769230769230769</v>
      </c>
      <c r="I244" s="456">
        <v>103</v>
      </c>
      <c r="J244" s="456">
        <v>13</v>
      </c>
      <c r="K244" s="456">
        <v>1339</v>
      </c>
      <c r="L244" s="456">
        <v>1</v>
      </c>
      <c r="M244" s="456">
        <v>103</v>
      </c>
      <c r="N244" s="456">
        <v>16</v>
      </c>
      <c r="O244" s="456">
        <v>1040</v>
      </c>
      <c r="P244" s="478">
        <v>0.77669902912621358</v>
      </c>
      <c r="Q244" s="457">
        <v>65</v>
      </c>
    </row>
    <row r="245" spans="1:17" ht="14.4" customHeight="1" x14ac:dyDescent="0.3">
      <c r="A245" s="452" t="s">
        <v>1184</v>
      </c>
      <c r="B245" s="453" t="s">
        <v>1028</v>
      </c>
      <c r="C245" s="453" t="s">
        <v>1029</v>
      </c>
      <c r="D245" s="453" t="s">
        <v>1082</v>
      </c>
      <c r="E245" s="453" t="s">
        <v>1083</v>
      </c>
      <c r="F245" s="456">
        <v>356</v>
      </c>
      <c r="G245" s="456">
        <v>41296</v>
      </c>
      <c r="H245" s="456">
        <v>0.9670062053623697</v>
      </c>
      <c r="I245" s="456">
        <v>116</v>
      </c>
      <c r="J245" s="456">
        <v>365</v>
      </c>
      <c r="K245" s="456">
        <v>42705</v>
      </c>
      <c r="L245" s="456">
        <v>1</v>
      </c>
      <c r="M245" s="456">
        <v>117</v>
      </c>
      <c r="N245" s="456">
        <v>434</v>
      </c>
      <c r="O245" s="456">
        <v>59024</v>
      </c>
      <c r="P245" s="478">
        <v>1.3821332396674861</v>
      </c>
      <c r="Q245" s="457">
        <v>136</v>
      </c>
    </row>
    <row r="246" spans="1:17" ht="14.4" customHeight="1" x14ac:dyDescent="0.3">
      <c r="A246" s="452" t="s">
        <v>1184</v>
      </c>
      <c r="B246" s="453" t="s">
        <v>1028</v>
      </c>
      <c r="C246" s="453" t="s">
        <v>1029</v>
      </c>
      <c r="D246" s="453" t="s">
        <v>1084</v>
      </c>
      <c r="E246" s="453" t="s">
        <v>1085</v>
      </c>
      <c r="F246" s="456">
        <v>51</v>
      </c>
      <c r="G246" s="456">
        <v>4335</v>
      </c>
      <c r="H246" s="456">
        <v>0.80741292605699388</v>
      </c>
      <c r="I246" s="456">
        <v>85</v>
      </c>
      <c r="J246" s="456">
        <v>59</v>
      </c>
      <c r="K246" s="456">
        <v>5369</v>
      </c>
      <c r="L246" s="456">
        <v>1</v>
      </c>
      <c r="M246" s="456">
        <v>91</v>
      </c>
      <c r="N246" s="456">
        <v>46</v>
      </c>
      <c r="O246" s="456">
        <v>4186</v>
      </c>
      <c r="P246" s="478">
        <v>0.77966101694915257</v>
      </c>
      <c r="Q246" s="457">
        <v>91</v>
      </c>
    </row>
    <row r="247" spans="1:17" ht="14.4" customHeight="1" x14ac:dyDescent="0.3">
      <c r="A247" s="452" t="s">
        <v>1184</v>
      </c>
      <c r="B247" s="453" t="s">
        <v>1028</v>
      </c>
      <c r="C247" s="453" t="s">
        <v>1029</v>
      </c>
      <c r="D247" s="453" t="s">
        <v>1086</v>
      </c>
      <c r="E247" s="453" t="s">
        <v>1087</v>
      </c>
      <c r="F247" s="456">
        <v>12</v>
      </c>
      <c r="G247" s="456">
        <v>1176</v>
      </c>
      <c r="H247" s="456">
        <v>1.696969696969697</v>
      </c>
      <c r="I247" s="456">
        <v>98</v>
      </c>
      <c r="J247" s="456">
        <v>7</v>
      </c>
      <c r="K247" s="456">
        <v>693</v>
      </c>
      <c r="L247" s="456">
        <v>1</v>
      </c>
      <c r="M247" s="456">
        <v>99</v>
      </c>
      <c r="N247" s="456">
        <v>6</v>
      </c>
      <c r="O247" s="456">
        <v>822</v>
      </c>
      <c r="P247" s="478">
        <v>1.1861471861471862</v>
      </c>
      <c r="Q247" s="457">
        <v>137</v>
      </c>
    </row>
    <row r="248" spans="1:17" ht="14.4" customHeight="1" x14ac:dyDescent="0.3">
      <c r="A248" s="452" t="s">
        <v>1184</v>
      </c>
      <c r="B248" s="453" t="s">
        <v>1028</v>
      </c>
      <c r="C248" s="453" t="s">
        <v>1029</v>
      </c>
      <c r="D248" s="453" t="s">
        <v>1088</v>
      </c>
      <c r="E248" s="453" t="s">
        <v>1089</v>
      </c>
      <c r="F248" s="456">
        <v>90</v>
      </c>
      <c r="G248" s="456">
        <v>1890</v>
      </c>
      <c r="H248" s="456">
        <v>1.5789473684210527</v>
      </c>
      <c r="I248" s="456">
        <v>21</v>
      </c>
      <c r="J248" s="456">
        <v>57</v>
      </c>
      <c r="K248" s="456">
        <v>1197</v>
      </c>
      <c r="L248" s="456">
        <v>1</v>
      </c>
      <c r="M248" s="456">
        <v>21</v>
      </c>
      <c r="N248" s="456">
        <v>38</v>
      </c>
      <c r="O248" s="456">
        <v>2508</v>
      </c>
      <c r="P248" s="478">
        <v>2.0952380952380953</v>
      </c>
      <c r="Q248" s="457">
        <v>66</v>
      </c>
    </row>
    <row r="249" spans="1:17" ht="14.4" customHeight="1" x14ac:dyDescent="0.3">
      <c r="A249" s="452" t="s">
        <v>1184</v>
      </c>
      <c r="B249" s="453" t="s">
        <v>1028</v>
      </c>
      <c r="C249" s="453" t="s">
        <v>1029</v>
      </c>
      <c r="D249" s="453" t="s">
        <v>1090</v>
      </c>
      <c r="E249" s="453" t="s">
        <v>1091</v>
      </c>
      <c r="F249" s="456">
        <v>611</v>
      </c>
      <c r="G249" s="456">
        <v>297557</v>
      </c>
      <c r="H249" s="456">
        <v>0.84335816157631005</v>
      </c>
      <c r="I249" s="456">
        <v>487</v>
      </c>
      <c r="J249" s="456">
        <v>723</v>
      </c>
      <c r="K249" s="456">
        <v>352824</v>
      </c>
      <c r="L249" s="456">
        <v>1</v>
      </c>
      <c r="M249" s="456">
        <v>488</v>
      </c>
      <c r="N249" s="456">
        <v>514</v>
      </c>
      <c r="O249" s="456">
        <v>168592</v>
      </c>
      <c r="P249" s="478">
        <v>0.47783597487699248</v>
      </c>
      <c r="Q249" s="457">
        <v>328</v>
      </c>
    </row>
    <row r="250" spans="1:17" ht="14.4" customHeight="1" x14ac:dyDescent="0.3">
      <c r="A250" s="452" t="s">
        <v>1184</v>
      </c>
      <c r="B250" s="453" t="s">
        <v>1028</v>
      </c>
      <c r="C250" s="453" t="s">
        <v>1029</v>
      </c>
      <c r="D250" s="453" t="s">
        <v>1098</v>
      </c>
      <c r="E250" s="453" t="s">
        <v>1099</v>
      </c>
      <c r="F250" s="456">
        <v>136</v>
      </c>
      <c r="G250" s="456">
        <v>5576</v>
      </c>
      <c r="H250" s="456">
        <v>1.2363636363636363</v>
      </c>
      <c r="I250" s="456">
        <v>41</v>
      </c>
      <c r="J250" s="456">
        <v>110</v>
      </c>
      <c r="K250" s="456">
        <v>4510</v>
      </c>
      <c r="L250" s="456">
        <v>1</v>
      </c>
      <c r="M250" s="456">
        <v>41</v>
      </c>
      <c r="N250" s="456">
        <v>84</v>
      </c>
      <c r="O250" s="456">
        <v>4284</v>
      </c>
      <c r="P250" s="478">
        <v>0.94988913525498886</v>
      </c>
      <c r="Q250" s="457">
        <v>51</v>
      </c>
    </row>
    <row r="251" spans="1:17" ht="14.4" customHeight="1" x14ac:dyDescent="0.3">
      <c r="A251" s="452" t="s">
        <v>1184</v>
      </c>
      <c r="B251" s="453" t="s">
        <v>1028</v>
      </c>
      <c r="C251" s="453" t="s">
        <v>1029</v>
      </c>
      <c r="D251" s="453" t="s">
        <v>1104</v>
      </c>
      <c r="E251" s="453" t="s">
        <v>1105</v>
      </c>
      <c r="F251" s="456"/>
      <c r="G251" s="456"/>
      <c r="H251" s="456"/>
      <c r="I251" s="456"/>
      <c r="J251" s="456"/>
      <c r="K251" s="456"/>
      <c r="L251" s="456"/>
      <c r="M251" s="456"/>
      <c r="N251" s="456">
        <v>3</v>
      </c>
      <c r="O251" s="456">
        <v>1440</v>
      </c>
      <c r="P251" s="478"/>
      <c r="Q251" s="457">
        <v>480</v>
      </c>
    </row>
    <row r="252" spans="1:17" ht="14.4" customHeight="1" x14ac:dyDescent="0.3">
      <c r="A252" s="452" t="s">
        <v>1184</v>
      </c>
      <c r="B252" s="453" t="s">
        <v>1028</v>
      </c>
      <c r="C252" s="453" t="s">
        <v>1029</v>
      </c>
      <c r="D252" s="453" t="s">
        <v>1106</v>
      </c>
      <c r="E252" s="453" t="s">
        <v>1107</v>
      </c>
      <c r="F252" s="456">
        <v>2</v>
      </c>
      <c r="G252" s="456">
        <v>438</v>
      </c>
      <c r="H252" s="456">
        <v>1.9641255605381165</v>
      </c>
      <c r="I252" s="456">
        <v>219</v>
      </c>
      <c r="J252" s="456">
        <v>1</v>
      </c>
      <c r="K252" s="456">
        <v>223</v>
      </c>
      <c r="L252" s="456">
        <v>1</v>
      </c>
      <c r="M252" s="456">
        <v>223</v>
      </c>
      <c r="N252" s="456">
        <v>1</v>
      </c>
      <c r="O252" s="456">
        <v>207</v>
      </c>
      <c r="P252" s="478">
        <v>0.9282511210762332</v>
      </c>
      <c r="Q252" s="457">
        <v>207</v>
      </c>
    </row>
    <row r="253" spans="1:17" ht="14.4" customHeight="1" x14ac:dyDescent="0.3">
      <c r="A253" s="452" t="s">
        <v>1184</v>
      </c>
      <c r="B253" s="453" t="s">
        <v>1028</v>
      </c>
      <c r="C253" s="453" t="s">
        <v>1029</v>
      </c>
      <c r="D253" s="453" t="s">
        <v>1108</v>
      </c>
      <c r="E253" s="453" t="s">
        <v>1109</v>
      </c>
      <c r="F253" s="456">
        <v>12</v>
      </c>
      <c r="G253" s="456">
        <v>9144</v>
      </c>
      <c r="H253" s="456">
        <v>1.3315858453473133</v>
      </c>
      <c r="I253" s="456">
        <v>762</v>
      </c>
      <c r="J253" s="456">
        <v>9</v>
      </c>
      <c r="K253" s="456">
        <v>6867</v>
      </c>
      <c r="L253" s="456">
        <v>1</v>
      </c>
      <c r="M253" s="456">
        <v>763</v>
      </c>
      <c r="N253" s="456">
        <v>6</v>
      </c>
      <c r="O253" s="456">
        <v>4578</v>
      </c>
      <c r="P253" s="478">
        <v>0.66666666666666663</v>
      </c>
      <c r="Q253" s="457">
        <v>763</v>
      </c>
    </row>
    <row r="254" spans="1:17" ht="14.4" customHeight="1" x14ac:dyDescent="0.3">
      <c r="A254" s="452" t="s">
        <v>1184</v>
      </c>
      <c r="B254" s="453" t="s">
        <v>1028</v>
      </c>
      <c r="C254" s="453" t="s">
        <v>1029</v>
      </c>
      <c r="D254" s="453" t="s">
        <v>1110</v>
      </c>
      <c r="E254" s="453" t="s">
        <v>1111</v>
      </c>
      <c r="F254" s="456">
        <v>6</v>
      </c>
      <c r="G254" s="456">
        <v>12432</v>
      </c>
      <c r="H254" s="456">
        <v>0.98106060606060608</v>
      </c>
      <c r="I254" s="456">
        <v>2072</v>
      </c>
      <c r="J254" s="456">
        <v>6</v>
      </c>
      <c r="K254" s="456">
        <v>12672</v>
      </c>
      <c r="L254" s="456">
        <v>1</v>
      </c>
      <c r="M254" s="456">
        <v>2112</v>
      </c>
      <c r="N254" s="456">
        <v>2</v>
      </c>
      <c r="O254" s="456">
        <v>4232</v>
      </c>
      <c r="P254" s="478">
        <v>0.33396464646464646</v>
      </c>
      <c r="Q254" s="457">
        <v>2116</v>
      </c>
    </row>
    <row r="255" spans="1:17" ht="14.4" customHeight="1" x14ac:dyDescent="0.3">
      <c r="A255" s="452" t="s">
        <v>1184</v>
      </c>
      <c r="B255" s="453" t="s">
        <v>1028</v>
      </c>
      <c r="C255" s="453" t="s">
        <v>1029</v>
      </c>
      <c r="D255" s="453" t="s">
        <v>1112</v>
      </c>
      <c r="E255" s="453" t="s">
        <v>1113</v>
      </c>
      <c r="F255" s="456">
        <v>24</v>
      </c>
      <c r="G255" s="456">
        <v>14592</v>
      </c>
      <c r="H255" s="456">
        <v>0.72016582765768433</v>
      </c>
      <c r="I255" s="456">
        <v>608</v>
      </c>
      <c r="J255" s="456">
        <v>33</v>
      </c>
      <c r="K255" s="456">
        <v>20262</v>
      </c>
      <c r="L255" s="456">
        <v>1</v>
      </c>
      <c r="M255" s="456">
        <v>614</v>
      </c>
      <c r="N255" s="456">
        <v>34</v>
      </c>
      <c r="O255" s="456">
        <v>20808</v>
      </c>
      <c r="P255" s="478">
        <v>1.0269469943737044</v>
      </c>
      <c r="Q255" s="457">
        <v>612</v>
      </c>
    </row>
    <row r="256" spans="1:17" ht="14.4" customHeight="1" x14ac:dyDescent="0.3">
      <c r="A256" s="452" t="s">
        <v>1184</v>
      </c>
      <c r="B256" s="453" t="s">
        <v>1028</v>
      </c>
      <c r="C256" s="453" t="s">
        <v>1029</v>
      </c>
      <c r="D256" s="453" t="s">
        <v>1114</v>
      </c>
      <c r="E256" s="453" t="s">
        <v>1115</v>
      </c>
      <c r="F256" s="456"/>
      <c r="G256" s="456"/>
      <c r="H256" s="456"/>
      <c r="I256" s="456"/>
      <c r="J256" s="456">
        <v>2</v>
      </c>
      <c r="K256" s="456">
        <v>1926</v>
      </c>
      <c r="L256" s="456">
        <v>1</v>
      </c>
      <c r="M256" s="456">
        <v>963</v>
      </c>
      <c r="N256" s="456"/>
      <c r="O256" s="456"/>
      <c r="P256" s="478"/>
      <c r="Q256" s="457"/>
    </row>
    <row r="257" spans="1:17" ht="14.4" customHeight="1" x14ac:dyDescent="0.3">
      <c r="A257" s="452" t="s">
        <v>1184</v>
      </c>
      <c r="B257" s="453" t="s">
        <v>1028</v>
      </c>
      <c r="C257" s="453" t="s">
        <v>1029</v>
      </c>
      <c r="D257" s="453" t="s">
        <v>1118</v>
      </c>
      <c r="E257" s="453" t="s">
        <v>1119</v>
      </c>
      <c r="F257" s="456">
        <v>2</v>
      </c>
      <c r="G257" s="456">
        <v>3484</v>
      </c>
      <c r="H257" s="456"/>
      <c r="I257" s="456">
        <v>1742</v>
      </c>
      <c r="J257" s="456"/>
      <c r="K257" s="456"/>
      <c r="L257" s="456"/>
      <c r="M257" s="456"/>
      <c r="N257" s="456">
        <v>1</v>
      </c>
      <c r="O257" s="456">
        <v>1763</v>
      </c>
      <c r="P257" s="478"/>
      <c r="Q257" s="457">
        <v>1763</v>
      </c>
    </row>
    <row r="258" spans="1:17" ht="14.4" customHeight="1" x14ac:dyDescent="0.3">
      <c r="A258" s="452" t="s">
        <v>1184</v>
      </c>
      <c r="B258" s="453" t="s">
        <v>1028</v>
      </c>
      <c r="C258" s="453" t="s">
        <v>1029</v>
      </c>
      <c r="D258" s="453" t="s">
        <v>1130</v>
      </c>
      <c r="E258" s="453" t="s">
        <v>1131</v>
      </c>
      <c r="F258" s="456">
        <v>120</v>
      </c>
      <c r="G258" s="456">
        <v>18240</v>
      </c>
      <c r="H258" s="456"/>
      <c r="I258" s="456">
        <v>152</v>
      </c>
      <c r="J258" s="456"/>
      <c r="K258" s="456"/>
      <c r="L258" s="456"/>
      <c r="M258" s="456"/>
      <c r="N258" s="456"/>
      <c r="O258" s="456"/>
      <c r="P258" s="478"/>
      <c r="Q258" s="457"/>
    </row>
    <row r="259" spans="1:17" ht="14.4" customHeight="1" x14ac:dyDescent="0.3">
      <c r="A259" s="452" t="s">
        <v>1184</v>
      </c>
      <c r="B259" s="453" t="s">
        <v>1028</v>
      </c>
      <c r="C259" s="453" t="s">
        <v>1029</v>
      </c>
      <c r="D259" s="453" t="s">
        <v>1132</v>
      </c>
      <c r="E259" s="453" t="s">
        <v>1133</v>
      </c>
      <c r="F259" s="456">
        <v>28</v>
      </c>
      <c r="G259" s="456">
        <v>756</v>
      </c>
      <c r="H259" s="456">
        <v>1.4</v>
      </c>
      <c r="I259" s="456">
        <v>27</v>
      </c>
      <c r="J259" s="456">
        <v>20</v>
      </c>
      <c r="K259" s="456">
        <v>540</v>
      </c>
      <c r="L259" s="456">
        <v>1</v>
      </c>
      <c r="M259" s="456">
        <v>27</v>
      </c>
      <c r="N259" s="456">
        <v>19</v>
      </c>
      <c r="O259" s="456">
        <v>893</v>
      </c>
      <c r="P259" s="478">
        <v>1.6537037037037037</v>
      </c>
      <c r="Q259" s="457">
        <v>47</v>
      </c>
    </row>
    <row r="260" spans="1:17" ht="14.4" customHeight="1" x14ac:dyDescent="0.3">
      <c r="A260" s="452" t="s">
        <v>1184</v>
      </c>
      <c r="B260" s="453" t="s">
        <v>1028</v>
      </c>
      <c r="C260" s="453" t="s">
        <v>1029</v>
      </c>
      <c r="D260" s="453" t="s">
        <v>1134</v>
      </c>
      <c r="E260" s="453" t="s">
        <v>1135</v>
      </c>
      <c r="F260" s="456"/>
      <c r="G260" s="456"/>
      <c r="H260" s="456"/>
      <c r="I260" s="456"/>
      <c r="J260" s="456"/>
      <c r="K260" s="456"/>
      <c r="L260" s="456"/>
      <c r="M260" s="456"/>
      <c r="N260" s="456">
        <v>1</v>
      </c>
      <c r="O260" s="456">
        <v>44</v>
      </c>
      <c r="P260" s="478"/>
      <c r="Q260" s="457">
        <v>44</v>
      </c>
    </row>
    <row r="261" spans="1:17" ht="14.4" customHeight="1" x14ac:dyDescent="0.3">
      <c r="A261" s="452" t="s">
        <v>1184</v>
      </c>
      <c r="B261" s="453" t="s">
        <v>1028</v>
      </c>
      <c r="C261" s="453" t="s">
        <v>1029</v>
      </c>
      <c r="D261" s="453" t="s">
        <v>1144</v>
      </c>
      <c r="E261" s="453"/>
      <c r="F261" s="456"/>
      <c r="G261" s="456"/>
      <c r="H261" s="456"/>
      <c r="I261" s="456"/>
      <c r="J261" s="456"/>
      <c r="K261" s="456"/>
      <c r="L261" s="456"/>
      <c r="M261" s="456"/>
      <c r="N261" s="456">
        <v>121</v>
      </c>
      <c r="O261" s="456">
        <v>180653</v>
      </c>
      <c r="P261" s="478"/>
      <c r="Q261" s="457">
        <v>1493</v>
      </c>
    </row>
    <row r="262" spans="1:17" ht="14.4" customHeight="1" x14ac:dyDescent="0.3">
      <c r="A262" s="452" t="s">
        <v>1184</v>
      </c>
      <c r="B262" s="453" t="s">
        <v>1028</v>
      </c>
      <c r="C262" s="453" t="s">
        <v>1029</v>
      </c>
      <c r="D262" s="453" t="s">
        <v>1145</v>
      </c>
      <c r="E262" s="453"/>
      <c r="F262" s="456"/>
      <c r="G262" s="456"/>
      <c r="H262" s="456"/>
      <c r="I262" s="456"/>
      <c r="J262" s="456"/>
      <c r="K262" s="456"/>
      <c r="L262" s="456"/>
      <c r="M262" s="456"/>
      <c r="N262" s="456">
        <v>19</v>
      </c>
      <c r="O262" s="456">
        <v>6213</v>
      </c>
      <c r="P262" s="478"/>
      <c r="Q262" s="457">
        <v>327</v>
      </c>
    </row>
    <row r="263" spans="1:17" ht="14.4" customHeight="1" x14ac:dyDescent="0.3">
      <c r="A263" s="452" t="s">
        <v>1184</v>
      </c>
      <c r="B263" s="453" t="s">
        <v>1028</v>
      </c>
      <c r="C263" s="453" t="s">
        <v>1029</v>
      </c>
      <c r="D263" s="453" t="s">
        <v>1146</v>
      </c>
      <c r="E263" s="453"/>
      <c r="F263" s="456"/>
      <c r="G263" s="456"/>
      <c r="H263" s="456"/>
      <c r="I263" s="456"/>
      <c r="J263" s="456"/>
      <c r="K263" s="456"/>
      <c r="L263" s="456"/>
      <c r="M263" s="456"/>
      <c r="N263" s="456">
        <v>68</v>
      </c>
      <c r="O263" s="456">
        <v>60316</v>
      </c>
      <c r="P263" s="478"/>
      <c r="Q263" s="457">
        <v>887</v>
      </c>
    </row>
    <row r="264" spans="1:17" ht="14.4" customHeight="1" x14ac:dyDescent="0.3">
      <c r="A264" s="452" t="s">
        <v>1185</v>
      </c>
      <c r="B264" s="453" t="s">
        <v>1028</v>
      </c>
      <c r="C264" s="453" t="s">
        <v>1029</v>
      </c>
      <c r="D264" s="453" t="s">
        <v>1030</v>
      </c>
      <c r="E264" s="453" t="s">
        <v>1031</v>
      </c>
      <c r="F264" s="456">
        <v>480</v>
      </c>
      <c r="G264" s="456">
        <v>77280</v>
      </c>
      <c r="H264" s="456">
        <v>0.87761336407099944</v>
      </c>
      <c r="I264" s="456">
        <v>161</v>
      </c>
      <c r="J264" s="456">
        <v>509</v>
      </c>
      <c r="K264" s="456">
        <v>88057</v>
      </c>
      <c r="L264" s="456">
        <v>1</v>
      </c>
      <c r="M264" s="456">
        <v>173</v>
      </c>
      <c r="N264" s="456">
        <v>548</v>
      </c>
      <c r="O264" s="456">
        <v>94804</v>
      </c>
      <c r="P264" s="478">
        <v>1.0766208251473477</v>
      </c>
      <c r="Q264" s="457">
        <v>173</v>
      </c>
    </row>
    <row r="265" spans="1:17" ht="14.4" customHeight="1" x14ac:dyDescent="0.3">
      <c r="A265" s="452" t="s">
        <v>1185</v>
      </c>
      <c r="B265" s="453" t="s">
        <v>1028</v>
      </c>
      <c r="C265" s="453" t="s">
        <v>1029</v>
      </c>
      <c r="D265" s="453" t="s">
        <v>1044</v>
      </c>
      <c r="E265" s="453" t="s">
        <v>1045</v>
      </c>
      <c r="F265" s="456"/>
      <c r="G265" s="456"/>
      <c r="H265" s="456"/>
      <c r="I265" s="456"/>
      <c r="J265" s="456">
        <v>1</v>
      </c>
      <c r="K265" s="456">
        <v>1173</v>
      </c>
      <c r="L265" s="456">
        <v>1</v>
      </c>
      <c r="M265" s="456">
        <v>1173</v>
      </c>
      <c r="N265" s="456"/>
      <c r="O265" s="456"/>
      <c r="P265" s="478"/>
      <c r="Q265" s="457"/>
    </row>
    <row r="266" spans="1:17" ht="14.4" customHeight="1" x14ac:dyDescent="0.3">
      <c r="A266" s="452" t="s">
        <v>1185</v>
      </c>
      <c r="B266" s="453" t="s">
        <v>1028</v>
      </c>
      <c r="C266" s="453" t="s">
        <v>1029</v>
      </c>
      <c r="D266" s="453" t="s">
        <v>1046</v>
      </c>
      <c r="E266" s="453" t="s">
        <v>1047</v>
      </c>
      <c r="F266" s="456">
        <v>11</v>
      </c>
      <c r="G266" s="456">
        <v>440</v>
      </c>
      <c r="H266" s="456">
        <v>0.5110336817653891</v>
      </c>
      <c r="I266" s="456">
        <v>40</v>
      </c>
      <c r="J266" s="456">
        <v>21</v>
      </c>
      <c r="K266" s="456">
        <v>861</v>
      </c>
      <c r="L266" s="456">
        <v>1</v>
      </c>
      <c r="M266" s="456">
        <v>41</v>
      </c>
      <c r="N266" s="456">
        <v>17</v>
      </c>
      <c r="O266" s="456">
        <v>782</v>
      </c>
      <c r="P266" s="478">
        <v>0.90824622531939603</v>
      </c>
      <c r="Q266" s="457">
        <v>46</v>
      </c>
    </row>
    <row r="267" spans="1:17" ht="14.4" customHeight="1" x14ac:dyDescent="0.3">
      <c r="A267" s="452" t="s">
        <v>1185</v>
      </c>
      <c r="B267" s="453" t="s">
        <v>1028</v>
      </c>
      <c r="C267" s="453" t="s">
        <v>1029</v>
      </c>
      <c r="D267" s="453" t="s">
        <v>1048</v>
      </c>
      <c r="E267" s="453" t="s">
        <v>1049</v>
      </c>
      <c r="F267" s="456">
        <v>3</v>
      </c>
      <c r="G267" s="456">
        <v>1149</v>
      </c>
      <c r="H267" s="456">
        <v>2.9921875</v>
      </c>
      <c r="I267" s="456">
        <v>383</v>
      </c>
      <c r="J267" s="456">
        <v>1</v>
      </c>
      <c r="K267" s="456">
        <v>384</v>
      </c>
      <c r="L267" s="456">
        <v>1</v>
      </c>
      <c r="M267" s="456">
        <v>384</v>
      </c>
      <c r="N267" s="456">
        <v>2</v>
      </c>
      <c r="O267" s="456">
        <v>694</v>
      </c>
      <c r="P267" s="478">
        <v>1.8072916666666667</v>
      </c>
      <c r="Q267" s="457">
        <v>347</v>
      </c>
    </row>
    <row r="268" spans="1:17" ht="14.4" customHeight="1" x14ac:dyDescent="0.3">
      <c r="A268" s="452" t="s">
        <v>1185</v>
      </c>
      <c r="B268" s="453" t="s">
        <v>1028</v>
      </c>
      <c r="C268" s="453" t="s">
        <v>1029</v>
      </c>
      <c r="D268" s="453" t="s">
        <v>1050</v>
      </c>
      <c r="E268" s="453" t="s">
        <v>1051</v>
      </c>
      <c r="F268" s="456">
        <v>12</v>
      </c>
      <c r="G268" s="456">
        <v>444</v>
      </c>
      <c r="H268" s="456">
        <v>1</v>
      </c>
      <c r="I268" s="456">
        <v>37</v>
      </c>
      <c r="J268" s="456">
        <v>12</v>
      </c>
      <c r="K268" s="456">
        <v>444</v>
      </c>
      <c r="L268" s="456">
        <v>1</v>
      </c>
      <c r="M268" s="456">
        <v>37</v>
      </c>
      <c r="N268" s="456">
        <v>8</v>
      </c>
      <c r="O268" s="456">
        <v>408</v>
      </c>
      <c r="P268" s="478">
        <v>0.91891891891891897</v>
      </c>
      <c r="Q268" s="457">
        <v>51</v>
      </c>
    </row>
    <row r="269" spans="1:17" ht="14.4" customHeight="1" x14ac:dyDescent="0.3">
      <c r="A269" s="452" t="s">
        <v>1185</v>
      </c>
      <c r="B269" s="453" t="s">
        <v>1028</v>
      </c>
      <c r="C269" s="453" t="s">
        <v>1029</v>
      </c>
      <c r="D269" s="453" t="s">
        <v>1054</v>
      </c>
      <c r="E269" s="453" t="s">
        <v>1055</v>
      </c>
      <c r="F269" s="456"/>
      <c r="G269" s="456"/>
      <c r="H269" s="456"/>
      <c r="I269" s="456"/>
      <c r="J269" s="456">
        <v>3</v>
      </c>
      <c r="K269" s="456">
        <v>1338</v>
      </c>
      <c r="L269" s="456">
        <v>1</v>
      </c>
      <c r="M269" s="456">
        <v>446</v>
      </c>
      <c r="N269" s="456">
        <v>24</v>
      </c>
      <c r="O269" s="456">
        <v>9048</v>
      </c>
      <c r="P269" s="478">
        <v>6.7623318385650224</v>
      </c>
      <c r="Q269" s="457">
        <v>377</v>
      </c>
    </row>
    <row r="270" spans="1:17" ht="14.4" customHeight="1" x14ac:dyDescent="0.3">
      <c r="A270" s="452" t="s">
        <v>1185</v>
      </c>
      <c r="B270" s="453" t="s">
        <v>1028</v>
      </c>
      <c r="C270" s="453" t="s">
        <v>1029</v>
      </c>
      <c r="D270" s="453" t="s">
        <v>1056</v>
      </c>
      <c r="E270" s="453" t="s">
        <v>1057</v>
      </c>
      <c r="F270" s="456">
        <v>1</v>
      </c>
      <c r="G270" s="456">
        <v>41</v>
      </c>
      <c r="H270" s="456"/>
      <c r="I270" s="456">
        <v>41</v>
      </c>
      <c r="J270" s="456"/>
      <c r="K270" s="456"/>
      <c r="L270" s="456"/>
      <c r="M270" s="456"/>
      <c r="N270" s="456"/>
      <c r="O270" s="456"/>
      <c r="P270" s="478"/>
      <c r="Q270" s="457"/>
    </row>
    <row r="271" spans="1:17" ht="14.4" customHeight="1" x14ac:dyDescent="0.3">
      <c r="A271" s="452" t="s">
        <v>1185</v>
      </c>
      <c r="B271" s="453" t="s">
        <v>1028</v>
      </c>
      <c r="C271" s="453" t="s">
        <v>1029</v>
      </c>
      <c r="D271" s="453" t="s">
        <v>1058</v>
      </c>
      <c r="E271" s="453" t="s">
        <v>1059</v>
      </c>
      <c r="F271" s="456">
        <v>3</v>
      </c>
      <c r="G271" s="456">
        <v>1473</v>
      </c>
      <c r="H271" s="456"/>
      <c r="I271" s="456">
        <v>491</v>
      </c>
      <c r="J271" s="456"/>
      <c r="K271" s="456"/>
      <c r="L271" s="456"/>
      <c r="M271" s="456"/>
      <c r="N271" s="456">
        <v>3</v>
      </c>
      <c r="O271" s="456">
        <v>1572</v>
      </c>
      <c r="P271" s="478"/>
      <c r="Q271" s="457">
        <v>524</v>
      </c>
    </row>
    <row r="272" spans="1:17" ht="14.4" customHeight="1" x14ac:dyDescent="0.3">
      <c r="A272" s="452" t="s">
        <v>1185</v>
      </c>
      <c r="B272" s="453" t="s">
        <v>1028</v>
      </c>
      <c r="C272" s="453" t="s">
        <v>1029</v>
      </c>
      <c r="D272" s="453" t="s">
        <v>1060</v>
      </c>
      <c r="E272" s="453" t="s">
        <v>1061</v>
      </c>
      <c r="F272" s="456">
        <v>4</v>
      </c>
      <c r="G272" s="456">
        <v>124</v>
      </c>
      <c r="H272" s="456">
        <v>0.8</v>
      </c>
      <c r="I272" s="456">
        <v>31</v>
      </c>
      <c r="J272" s="456">
        <v>5</v>
      </c>
      <c r="K272" s="456">
        <v>155</v>
      </c>
      <c r="L272" s="456">
        <v>1</v>
      </c>
      <c r="M272" s="456">
        <v>31</v>
      </c>
      <c r="N272" s="456">
        <v>13</v>
      </c>
      <c r="O272" s="456">
        <v>741</v>
      </c>
      <c r="P272" s="478">
        <v>4.7806451612903222</v>
      </c>
      <c r="Q272" s="457">
        <v>57</v>
      </c>
    </row>
    <row r="273" spans="1:17" ht="14.4" customHeight="1" x14ac:dyDescent="0.3">
      <c r="A273" s="452" t="s">
        <v>1185</v>
      </c>
      <c r="B273" s="453" t="s">
        <v>1028</v>
      </c>
      <c r="C273" s="453" t="s">
        <v>1029</v>
      </c>
      <c r="D273" s="453" t="s">
        <v>1062</v>
      </c>
      <c r="E273" s="453" t="s">
        <v>1063</v>
      </c>
      <c r="F273" s="456"/>
      <c r="G273" s="456"/>
      <c r="H273" s="456"/>
      <c r="I273" s="456"/>
      <c r="J273" s="456">
        <v>16</v>
      </c>
      <c r="K273" s="456">
        <v>3328</v>
      </c>
      <c r="L273" s="456">
        <v>1</v>
      </c>
      <c r="M273" s="456">
        <v>208</v>
      </c>
      <c r="N273" s="456">
        <v>19</v>
      </c>
      <c r="O273" s="456">
        <v>4256</v>
      </c>
      <c r="P273" s="478">
        <v>1.2788461538461537</v>
      </c>
      <c r="Q273" s="457">
        <v>224</v>
      </c>
    </row>
    <row r="274" spans="1:17" ht="14.4" customHeight="1" x14ac:dyDescent="0.3">
      <c r="A274" s="452" t="s">
        <v>1185</v>
      </c>
      <c r="B274" s="453" t="s">
        <v>1028</v>
      </c>
      <c r="C274" s="453" t="s">
        <v>1029</v>
      </c>
      <c r="D274" s="453" t="s">
        <v>1064</v>
      </c>
      <c r="E274" s="453" t="s">
        <v>1065</v>
      </c>
      <c r="F274" s="456"/>
      <c r="G274" s="456"/>
      <c r="H274" s="456"/>
      <c r="I274" s="456"/>
      <c r="J274" s="456">
        <v>16</v>
      </c>
      <c r="K274" s="456">
        <v>6144</v>
      </c>
      <c r="L274" s="456">
        <v>1</v>
      </c>
      <c r="M274" s="456">
        <v>384</v>
      </c>
      <c r="N274" s="456">
        <v>19</v>
      </c>
      <c r="O274" s="456">
        <v>10507</v>
      </c>
      <c r="P274" s="478">
        <v>1.7101236979166667</v>
      </c>
      <c r="Q274" s="457">
        <v>553</v>
      </c>
    </row>
    <row r="275" spans="1:17" ht="14.4" customHeight="1" x14ac:dyDescent="0.3">
      <c r="A275" s="452" t="s">
        <v>1185</v>
      </c>
      <c r="B275" s="453" t="s">
        <v>1028</v>
      </c>
      <c r="C275" s="453" t="s">
        <v>1029</v>
      </c>
      <c r="D275" s="453" t="s">
        <v>1074</v>
      </c>
      <c r="E275" s="453" t="s">
        <v>1075</v>
      </c>
      <c r="F275" s="456">
        <v>15</v>
      </c>
      <c r="G275" s="456">
        <v>240</v>
      </c>
      <c r="H275" s="456">
        <v>0.78431372549019607</v>
      </c>
      <c r="I275" s="456">
        <v>16</v>
      </c>
      <c r="J275" s="456">
        <v>18</v>
      </c>
      <c r="K275" s="456">
        <v>306</v>
      </c>
      <c r="L275" s="456">
        <v>1</v>
      </c>
      <c r="M275" s="456">
        <v>17</v>
      </c>
      <c r="N275" s="456">
        <v>28</v>
      </c>
      <c r="O275" s="456">
        <v>476</v>
      </c>
      <c r="P275" s="478">
        <v>1.5555555555555556</v>
      </c>
      <c r="Q275" s="457">
        <v>17</v>
      </c>
    </row>
    <row r="276" spans="1:17" ht="14.4" customHeight="1" x14ac:dyDescent="0.3">
      <c r="A276" s="452" t="s">
        <v>1185</v>
      </c>
      <c r="B276" s="453" t="s">
        <v>1028</v>
      </c>
      <c r="C276" s="453" t="s">
        <v>1029</v>
      </c>
      <c r="D276" s="453" t="s">
        <v>1076</v>
      </c>
      <c r="E276" s="453" t="s">
        <v>1077</v>
      </c>
      <c r="F276" s="456"/>
      <c r="G276" s="456"/>
      <c r="H276" s="456"/>
      <c r="I276" s="456"/>
      <c r="J276" s="456">
        <v>2</v>
      </c>
      <c r="K276" s="456">
        <v>278</v>
      </c>
      <c r="L276" s="456">
        <v>1</v>
      </c>
      <c r="M276" s="456">
        <v>139</v>
      </c>
      <c r="N276" s="456"/>
      <c r="O276" s="456"/>
      <c r="P276" s="478"/>
      <c r="Q276" s="457"/>
    </row>
    <row r="277" spans="1:17" ht="14.4" customHeight="1" x14ac:dyDescent="0.3">
      <c r="A277" s="452" t="s">
        <v>1185</v>
      </c>
      <c r="B277" s="453" t="s">
        <v>1028</v>
      </c>
      <c r="C277" s="453" t="s">
        <v>1029</v>
      </c>
      <c r="D277" s="453" t="s">
        <v>1078</v>
      </c>
      <c r="E277" s="453" t="s">
        <v>1079</v>
      </c>
      <c r="F277" s="456">
        <v>3</v>
      </c>
      <c r="G277" s="456">
        <v>309</v>
      </c>
      <c r="H277" s="456"/>
      <c r="I277" s="456">
        <v>103</v>
      </c>
      <c r="J277" s="456"/>
      <c r="K277" s="456"/>
      <c r="L277" s="456"/>
      <c r="M277" s="456"/>
      <c r="N277" s="456">
        <v>1</v>
      </c>
      <c r="O277" s="456">
        <v>65</v>
      </c>
      <c r="P277" s="478"/>
      <c r="Q277" s="457">
        <v>65</v>
      </c>
    </row>
    <row r="278" spans="1:17" ht="14.4" customHeight="1" x14ac:dyDescent="0.3">
      <c r="A278" s="452" t="s">
        <v>1185</v>
      </c>
      <c r="B278" s="453" t="s">
        <v>1028</v>
      </c>
      <c r="C278" s="453" t="s">
        <v>1029</v>
      </c>
      <c r="D278" s="453" t="s">
        <v>1082</v>
      </c>
      <c r="E278" s="453" t="s">
        <v>1083</v>
      </c>
      <c r="F278" s="456">
        <v>39</v>
      </c>
      <c r="G278" s="456">
        <v>4524</v>
      </c>
      <c r="H278" s="456">
        <v>0.77333333333333332</v>
      </c>
      <c r="I278" s="456">
        <v>116</v>
      </c>
      <c r="J278" s="456">
        <v>50</v>
      </c>
      <c r="K278" s="456">
        <v>5850</v>
      </c>
      <c r="L278" s="456">
        <v>1</v>
      </c>
      <c r="M278" s="456">
        <v>117</v>
      </c>
      <c r="N278" s="456">
        <v>65</v>
      </c>
      <c r="O278" s="456">
        <v>8840</v>
      </c>
      <c r="P278" s="478">
        <v>1.5111111111111111</v>
      </c>
      <c r="Q278" s="457">
        <v>136</v>
      </c>
    </row>
    <row r="279" spans="1:17" ht="14.4" customHeight="1" x14ac:dyDescent="0.3">
      <c r="A279" s="452" t="s">
        <v>1185</v>
      </c>
      <c r="B279" s="453" t="s">
        <v>1028</v>
      </c>
      <c r="C279" s="453" t="s">
        <v>1029</v>
      </c>
      <c r="D279" s="453" t="s">
        <v>1084</v>
      </c>
      <c r="E279" s="453" t="s">
        <v>1085</v>
      </c>
      <c r="F279" s="456">
        <v>50</v>
      </c>
      <c r="G279" s="456">
        <v>4250</v>
      </c>
      <c r="H279" s="456">
        <v>1.7962806424344886</v>
      </c>
      <c r="I279" s="456">
        <v>85</v>
      </c>
      <c r="J279" s="456">
        <v>26</v>
      </c>
      <c r="K279" s="456">
        <v>2366</v>
      </c>
      <c r="L279" s="456">
        <v>1</v>
      </c>
      <c r="M279" s="456">
        <v>91</v>
      </c>
      <c r="N279" s="456">
        <v>38</v>
      </c>
      <c r="O279" s="456">
        <v>3458</v>
      </c>
      <c r="P279" s="478">
        <v>1.4615384615384615</v>
      </c>
      <c r="Q279" s="457">
        <v>91</v>
      </c>
    </row>
    <row r="280" spans="1:17" ht="14.4" customHeight="1" x14ac:dyDescent="0.3">
      <c r="A280" s="452" t="s">
        <v>1185</v>
      </c>
      <c r="B280" s="453" t="s">
        <v>1028</v>
      </c>
      <c r="C280" s="453" t="s">
        <v>1029</v>
      </c>
      <c r="D280" s="453" t="s">
        <v>1088</v>
      </c>
      <c r="E280" s="453" t="s">
        <v>1089</v>
      </c>
      <c r="F280" s="456">
        <v>6</v>
      </c>
      <c r="G280" s="456">
        <v>126</v>
      </c>
      <c r="H280" s="456">
        <v>1</v>
      </c>
      <c r="I280" s="456">
        <v>21</v>
      </c>
      <c r="J280" s="456">
        <v>6</v>
      </c>
      <c r="K280" s="456">
        <v>126</v>
      </c>
      <c r="L280" s="456">
        <v>1</v>
      </c>
      <c r="M280" s="456">
        <v>21</v>
      </c>
      <c r="N280" s="456">
        <v>15</v>
      </c>
      <c r="O280" s="456">
        <v>990</v>
      </c>
      <c r="P280" s="478">
        <v>7.8571428571428568</v>
      </c>
      <c r="Q280" s="457">
        <v>66</v>
      </c>
    </row>
    <row r="281" spans="1:17" ht="14.4" customHeight="1" x14ac:dyDescent="0.3">
      <c r="A281" s="452" t="s">
        <v>1185</v>
      </c>
      <c r="B281" s="453" t="s">
        <v>1028</v>
      </c>
      <c r="C281" s="453" t="s">
        <v>1029</v>
      </c>
      <c r="D281" s="453" t="s">
        <v>1090</v>
      </c>
      <c r="E281" s="453" t="s">
        <v>1091</v>
      </c>
      <c r="F281" s="456">
        <v>7</v>
      </c>
      <c r="G281" s="456">
        <v>3409</v>
      </c>
      <c r="H281" s="456">
        <v>0.34928278688524589</v>
      </c>
      <c r="I281" s="456">
        <v>487</v>
      </c>
      <c r="J281" s="456">
        <v>20</v>
      </c>
      <c r="K281" s="456">
        <v>9760</v>
      </c>
      <c r="L281" s="456">
        <v>1</v>
      </c>
      <c r="M281" s="456">
        <v>488</v>
      </c>
      <c r="N281" s="456">
        <v>18</v>
      </c>
      <c r="O281" s="456">
        <v>5904</v>
      </c>
      <c r="P281" s="478">
        <v>0.60491803278688527</v>
      </c>
      <c r="Q281" s="457">
        <v>328</v>
      </c>
    </row>
    <row r="282" spans="1:17" ht="14.4" customHeight="1" x14ac:dyDescent="0.3">
      <c r="A282" s="452" t="s">
        <v>1185</v>
      </c>
      <c r="B282" s="453" t="s">
        <v>1028</v>
      </c>
      <c r="C282" s="453" t="s">
        <v>1029</v>
      </c>
      <c r="D282" s="453" t="s">
        <v>1098</v>
      </c>
      <c r="E282" s="453" t="s">
        <v>1099</v>
      </c>
      <c r="F282" s="456">
        <v>9</v>
      </c>
      <c r="G282" s="456">
        <v>369</v>
      </c>
      <c r="H282" s="456">
        <v>0.81818181818181823</v>
      </c>
      <c r="I282" s="456">
        <v>41</v>
      </c>
      <c r="J282" s="456">
        <v>11</v>
      </c>
      <c r="K282" s="456">
        <v>451</v>
      </c>
      <c r="L282" s="456">
        <v>1</v>
      </c>
      <c r="M282" s="456">
        <v>41</v>
      </c>
      <c r="N282" s="456">
        <v>15</v>
      </c>
      <c r="O282" s="456">
        <v>765</v>
      </c>
      <c r="P282" s="478">
        <v>1.6962305986696231</v>
      </c>
      <c r="Q282" s="457">
        <v>51</v>
      </c>
    </row>
    <row r="283" spans="1:17" ht="14.4" customHeight="1" x14ac:dyDescent="0.3">
      <c r="A283" s="452" t="s">
        <v>1185</v>
      </c>
      <c r="B283" s="453" t="s">
        <v>1028</v>
      </c>
      <c r="C283" s="453" t="s">
        <v>1029</v>
      </c>
      <c r="D283" s="453" t="s">
        <v>1106</v>
      </c>
      <c r="E283" s="453" t="s">
        <v>1107</v>
      </c>
      <c r="F283" s="456"/>
      <c r="G283" s="456"/>
      <c r="H283" s="456"/>
      <c r="I283" s="456"/>
      <c r="J283" s="456"/>
      <c r="K283" s="456"/>
      <c r="L283" s="456"/>
      <c r="M283" s="456"/>
      <c r="N283" s="456">
        <v>1</v>
      </c>
      <c r="O283" s="456">
        <v>207</v>
      </c>
      <c r="P283" s="478"/>
      <c r="Q283" s="457">
        <v>207</v>
      </c>
    </row>
    <row r="284" spans="1:17" ht="14.4" customHeight="1" x14ac:dyDescent="0.3">
      <c r="A284" s="452" t="s">
        <v>1185</v>
      </c>
      <c r="B284" s="453" t="s">
        <v>1028</v>
      </c>
      <c r="C284" s="453" t="s">
        <v>1029</v>
      </c>
      <c r="D284" s="453" t="s">
        <v>1108</v>
      </c>
      <c r="E284" s="453" t="s">
        <v>1109</v>
      </c>
      <c r="F284" s="456"/>
      <c r="G284" s="456"/>
      <c r="H284" s="456"/>
      <c r="I284" s="456"/>
      <c r="J284" s="456"/>
      <c r="K284" s="456"/>
      <c r="L284" s="456"/>
      <c r="M284" s="456"/>
      <c r="N284" s="456">
        <v>1</v>
      </c>
      <c r="O284" s="456">
        <v>763</v>
      </c>
      <c r="P284" s="478"/>
      <c r="Q284" s="457">
        <v>763</v>
      </c>
    </row>
    <row r="285" spans="1:17" ht="14.4" customHeight="1" x14ac:dyDescent="0.3">
      <c r="A285" s="452" t="s">
        <v>1185</v>
      </c>
      <c r="B285" s="453" t="s">
        <v>1028</v>
      </c>
      <c r="C285" s="453" t="s">
        <v>1029</v>
      </c>
      <c r="D285" s="453" t="s">
        <v>1112</v>
      </c>
      <c r="E285" s="453" t="s">
        <v>1113</v>
      </c>
      <c r="F285" s="456">
        <v>1</v>
      </c>
      <c r="G285" s="456">
        <v>608</v>
      </c>
      <c r="H285" s="456"/>
      <c r="I285" s="456">
        <v>608</v>
      </c>
      <c r="J285" s="456"/>
      <c r="K285" s="456"/>
      <c r="L285" s="456"/>
      <c r="M285" s="456"/>
      <c r="N285" s="456">
        <v>1</v>
      </c>
      <c r="O285" s="456">
        <v>612</v>
      </c>
      <c r="P285" s="478"/>
      <c r="Q285" s="457">
        <v>612</v>
      </c>
    </row>
    <row r="286" spans="1:17" ht="14.4" customHeight="1" x14ac:dyDescent="0.3">
      <c r="A286" s="452" t="s">
        <v>1185</v>
      </c>
      <c r="B286" s="453" t="s">
        <v>1028</v>
      </c>
      <c r="C286" s="453" t="s">
        <v>1029</v>
      </c>
      <c r="D286" s="453" t="s">
        <v>1186</v>
      </c>
      <c r="E286" s="453" t="s">
        <v>1187</v>
      </c>
      <c r="F286" s="456">
        <v>56</v>
      </c>
      <c r="G286" s="456">
        <v>2296</v>
      </c>
      <c r="H286" s="456">
        <v>0.45555555555555555</v>
      </c>
      <c r="I286" s="456">
        <v>41</v>
      </c>
      <c r="J286" s="456">
        <v>120</v>
      </c>
      <c r="K286" s="456">
        <v>5040</v>
      </c>
      <c r="L286" s="456">
        <v>1</v>
      </c>
      <c r="M286" s="456">
        <v>42</v>
      </c>
      <c r="N286" s="456">
        <v>116</v>
      </c>
      <c r="O286" s="456">
        <v>5800</v>
      </c>
      <c r="P286" s="478">
        <v>1.1507936507936507</v>
      </c>
      <c r="Q286" s="457">
        <v>50</v>
      </c>
    </row>
    <row r="287" spans="1:17" ht="14.4" customHeight="1" x14ac:dyDescent="0.3">
      <c r="A287" s="452" t="s">
        <v>1185</v>
      </c>
      <c r="B287" s="453" t="s">
        <v>1028</v>
      </c>
      <c r="C287" s="453" t="s">
        <v>1029</v>
      </c>
      <c r="D287" s="453" t="s">
        <v>1144</v>
      </c>
      <c r="E287" s="453"/>
      <c r="F287" s="456"/>
      <c r="G287" s="456"/>
      <c r="H287" s="456"/>
      <c r="I287" s="456"/>
      <c r="J287" s="456"/>
      <c r="K287" s="456"/>
      <c r="L287" s="456"/>
      <c r="M287" s="456"/>
      <c r="N287" s="456">
        <v>6</v>
      </c>
      <c r="O287" s="456">
        <v>8958</v>
      </c>
      <c r="P287" s="478"/>
      <c r="Q287" s="457">
        <v>1493</v>
      </c>
    </row>
    <row r="288" spans="1:17" ht="14.4" customHeight="1" x14ac:dyDescent="0.3">
      <c r="A288" s="452" t="s">
        <v>1185</v>
      </c>
      <c r="B288" s="453" t="s">
        <v>1028</v>
      </c>
      <c r="C288" s="453" t="s">
        <v>1029</v>
      </c>
      <c r="D288" s="453" t="s">
        <v>1145</v>
      </c>
      <c r="E288" s="453"/>
      <c r="F288" s="456"/>
      <c r="G288" s="456"/>
      <c r="H288" s="456"/>
      <c r="I288" s="456"/>
      <c r="J288" s="456"/>
      <c r="K288" s="456"/>
      <c r="L288" s="456"/>
      <c r="M288" s="456"/>
      <c r="N288" s="456">
        <v>2</v>
      </c>
      <c r="O288" s="456">
        <v>654</v>
      </c>
      <c r="P288" s="478"/>
      <c r="Q288" s="457">
        <v>327</v>
      </c>
    </row>
    <row r="289" spans="1:17" ht="14.4" customHeight="1" x14ac:dyDescent="0.3">
      <c r="A289" s="452" t="s">
        <v>1185</v>
      </c>
      <c r="B289" s="453" t="s">
        <v>1028</v>
      </c>
      <c r="C289" s="453" t="s">
        <v>1029</v>
      </c>
      <c r="D289" s="453" t="s">
        <v>1146</v>
      </c>
      <c r="E289" s="453"/>
      <c r="F289" s="456"/>
      <c r="G289" s="456"/>
      <c r="H289" s="456"/>
      <c r="I289" s="456"/>
      <c r="J289" s="456"/>
      <c r="K289" s="456"/>
      <c r="L289" s="456"/>
      <c r="M289" s="456"/>
      <c r="N289" s="456">
        <v>1</v>
      </c>
      <c r="O289" s="456">
        <v>887</v>
      </c>
      <c r="P289" s="478"/>
      <c r="Q289" s="457">
        <v>887</v>
      </c>
    </row>
    <row r="290" spans="1:17" ht="14.4" customHeight="1" x14ac:dyDescent="0.3">
      <c r="A290" s="452" t="s">
        <v>1188</v>
      </c>
      <c r="B290" s="453" t="s">
        <v>1028</v>
      </c>
      <c r="C290" s="453" t="s">
        <v>1029</v>
      </c>
      <c r="D290" s="453" t="s">
        <v>1030</v>
      </c>
      <c r="E290" s="453" t="s">
        <v>1031</v>
      </c>
      <c r="F290" s="456">
        <v>89</v>
      </c>
      <c r="G290" s="456">
        <v>14329</v>
      </c>
      <c r="H290" s="456">
        <v>1.0618793537868683</v>
      </c>
      <c r="I290" s="456">
        <v>161</v>
      </c>
      <c r="J290" s="456">
        <v>78</v>
      </c>
      <c r="K290" s="456">
        <v>13494</v>
      </c>
      <c r="L290" s="456">
        <v>1</v>
      </c>
      <c r="M290" s="456">
        <v>173</v>
      </c>
      <c r="N290" s="456">
        <v>81</v>
      </c>
      <c r="O290" s="456">
        <v>14013</v>
      </c>
      <c r="P290" s="478">
        <v>1.0384615384615385</v>
      </c>
      <c r="Q290" s="457">
        <v>173</v>
      </c>
    </row>
    <row r="291" spans="1:17" ht="14.4" customHeight="1" x14ac:dyDescent="0.3">
      <c r="A291" s="452" t="s">
        <v>1188</v>
      </c>
      <c r="B291" s="453" t="s">
        <v>1028</v>
      </c>
      <c r="C291" s="453" t="s">
        <v>1029</v>
      </c>
      <c r="D291" s="453" t="s">
        <v>1046</v>
      </c>
      <c r="E291" s="453" t="s">
        <v>1047</v>
      </c>
      <c r="F291" s="456">
        <v>6</v>
      </c>
      <c r="G291" s="456">
        <v>240</v>
      </c>
      <c r="H291" s="456">
        <v>0.53215077605321504</v>
      </c>
      <c r="I291" s="456">
        <v>40</v>
      </c>
      <c r="J291" s="456">
        <v>11</v>
      </c>
      <c r="K291" s="456">
        <v>451</v>
      </c>
      <c r="L291" s="456">
        <v>1</v>
      </c>
      <c r="M291" s="456">
        <v>41</v>
      </c>
      <c r="N291" s="456">
        <v>1</v>
      </c>
      <c r="O291" s="456">
        <v>46</v>
      </c>
      <c r="P291" s="478">
        <v>0.10199556541019955</v>
      </c>
      <c r="Q291" s="457">
        <v>46</v>
      </c>
    </row>
    <row r="292" spans="1:17" ht="14.4" customHeight="1" x14ac:dyDescent="0.3">
      <c r="A292" s="452" t="s">
        <v>1188</v>
      </c>
      <c r="B292" s="453" t="s">
        <v>1028</v>
      </c>
      <c r="C292" s="453" t="s">
        <v>1029</v>
      </c>
      <c r="D292" s="453" t="s">
        <v>1048</v>
      </c>
      <c r="E292" s="453" t="s">
        <v>1049</v>
      </c>
      <c r="F292" s="456">
        <v>3</v>
      </c>
      <c r="G292" s="456">
        <v>1149</v>
      </c>
      <c r="H292" s="456">
        <v>1.49609375</v>
      </c>
      <c r="I292" s="456">
        <v>383</v>
      </c>
      <c r="J292" s="456">
        <v>2</v>
      </c>
      <c r="K292" s="456">
        <v>768</v>
      </c>
      <c r="L292" s="456">
        <v>1</v>
      </c>
      <c r="M292" s="456">
        <v>384</v>
      </c>
      <c r="N292" s="456"/>
      <c r="O292" s="456"/>
      <c r="P292" s="478"/>
      <c r="Q292" s="457"/>
    </row>
    <row r="293" spans="1:17" ht="14.4" customHeight="1" x14ac:dyDescent="0.3">
      <c r="A293" s="452" t="s">
        <v>1188</v>
      </c>
      <c r="B293" s="453" t="s">
        <v>1028</v>
      </c>
      <c r="C293" s="453" t="s">
        <v>1029</v>
      </c>
      <c r="D293" s="453" t="s">
        <v>1056</v>
      </c>
      <c r="E293" s="453" t="s">
        <v>1057</v>
      </c>
      <c r="F293" s="456">
        <v>1</v>
      </c>
      <c r="G293" s="456">
        <v>41</v>
      </c>
      <c r="H293" s="456"/>
      <c r="I293" s="456">
        <v>41</v>
      </c>
      <c r="J293" s="456"/>
      <c r="K293" s="456"/>
      <c r="L293" s="456"/>
      <c r="M293" s="456"/>
      <c r="N293" s="456"/>
      <c r="O293" s="456"/>
      <c r="P293" s="478"/>
      <c r="Q293" s="457"/>
    </row>
    <row r="294" spans="1:17" ht="14.4" customHeight="1" x14ac:dyDescent="0.3">
      <c r="A294" s="452" t="s">
        <v>1188</v>
      </c>
      <c r="B294" s="453" t="s">
        <v>1028</v>
      </c>
      <c r="C294" s="453" t="s">
        <v>1029</v>
      </c>
      <c r="D294" s="453" t="s">
        <v>1058</v>
      </c>
      <c r="E294" s="453" t="s">
        <v>1059</v>
      </c>
      <c r="F294" s="456">
        <v>1</v>
      </c>
      <c r="G294" s="456">
        <v>491</v>
      </c>
      <c r="H294" s="456">
        <v>0.99796747967479671</v>
      </c>
      <c r="I294" s="456">
        <v>491</v>
      </c>
      <c r="J294" s="456">
        <v>1</v>
      </c>
      <c r="K294" s="456">
        <v>492</v>
      </c>
      <c r="L294" s="456">
        <v>1</v>
      </c>
      <c r="M294" s="456">
        <v>492</v>
      </c>
      <c r="N294" s="456"/>
      <c r="O294" s="456"/>
      <c r="P294" s="478"/>
      <c r="Q294" s="457"/>
    </row>
    <row r="295" spans="1:17" ht="14.4" customHeight="1" x14ac:dyDescent="0.3">
      <c r="A295" s="452" t="s">
        <v>1188</v>
      </c>
      <c r="B295" s="453" t="s">
        <v>1028</v>
      </c>
      <c r="C295" s="453" t="s">
        <v>1029</v>
      </c>
      <c r="D295" s="453" t="s">
        <v>1066</v>
      </c>
      <c r="E295" s="453" t="s">
        <v>1067</v>
      </c>
      <c r="F295" s="456"/>
      <c r="G295" s="456"/>
      <c r="H295" s="456"/>
      <c r="I295" s="456"/>
      <c r="J295" s="456">
        <v>1</v>
      </c>
      <c r="K295" s="456">
        <v>236</v>
      </c>
      <c r="L295" s="456">
        <v>1</v>
      </c>
      <c r="M295" s="456">
        <v>236</v>
      </c>
      <c r="N295" s="456"/>
      <c r="O295" s="456"/>
      <c r="P295" s="478"/>
      <c r="Q295" s="457"/>
    </row>
    <row r="296" spans="1:17" ht="14.4" customHeight="1" x14ac:dyDescent="0.3">
      <c r="A296" s="452" t="s">
        <v>1188</v>
      </c>
      <c r="B296" s="453" t="s">
        <v>1028</v>
      </c>
      <c r="C296" s="453" t="s">
        <v>1029</v>
      </c>
      <c r="D296" s="453" t="s">
        <v>1074</v>
      </c>
      <c r="E296" s="453" t="s">
        <v>1075</v>
      </c>
      <c r="F296" s="456">
        <v>7</v>
      </c>
      <c r="G296" s="456">
        <v>112</v>
      </c>
      <c r="H296" s="456">
        <v>1.3176470588235294</v>
      </c>
      <c r="I296" s="456">
        <v>16</v>
      </c>
      <c r="J296" s="456">
        <v>5</v>
      </c>
      <c r="K296" s="456">
        <v>85</v>
      </c>
      <c r="L296" s="456">
        <v>1</v>
      </c>
      <c r="M296" s="456">
        <v>17</v>
      </c>
      <c r="N296" s="456"/>
      <c r="O296" s="456"/>
      <c r="P296" s="478"/>
      <c r="Q296" s="457"/>
    </row>
    <row r="297" spans="1:17" ht="14.4" customHeight="1" x14ac:dyDescent="0.3">
      <c r="A297" s="452" t="s">
        <v>1188</v>
      </c>
      <c r="B297" s="453" t="s">
        <v>1028</v>
      </c>
      <c r="C297" s="453" t="s">
        <v>1029</v>
      </c>
      <c r="D297" s="453" t="s">
        <v>1076</v>
      </c>
      <c r="E297" s="453" t="s">
        <v>1077</v>
      </c>
      <c r="F297" s="456"/>
      <c r="G297" s="456"/>
      <c r="H297" s="456"/>
      <c r="I297" s="456"/>
      <c r="J297" s="456">
        <v>1</v>
      </c>
      <c r="K297" s="456">
        <v>139</v>
      </c>
      <c r="L297" s="456">
        <v>1</v>
      </c>
      <c r="M297" s="456">
        <v>139</v>
      </c>
      <c r="N297" s="456"/>
      <c r="O297" s="456"/>
      <c r="P297" s="478"/>
      <c r="Q297" s="457"/>
    </row>
    <row r="298" spans="1:17" ht="14.4" customHeight="1" x14ac:dyDescent="0.3">
      <c r="A298" s="452" t="s">
        <v>1188</v>
      </c>
      <c r="B298" s="453" t="s">
        <v>1028</v>
      </c>
      <c r="C298" s="453" t="s">
        <v>1029</v>
      </c>
      <c r="D298" s="453" t="s">
        <v>1078</v>
      </c>
      <c r="E298" s="453" t="s">
        <v>1079</v>
      </c>
      <c r="F298" s="456">
        <v>1</v>
      </c>
      <c r="G298" s="456">
        <v>103</v>
      </c>
      <c r="H298" s="456"/>
      <c r="I298" s="456">
        <v>103</v>
      </c>
      <c r="J298" s="456"/>
      <c r="K298" s="456"/>
      <c r="L298" s="456"/>
      <c r="M298" s="456"/>
      <c r="N298" s="456">
        <v>4</v>
      </c>
      <c r="O298" s="456">
        <v>260</v>
      </c>
      <c r="P298" s="478"/>
      <c r="Q298" s="457">
        <v>65</v>
      </c>
    </row>
    <row r="299" spans="1:17" ht="14.4" customHeight="1" x14ac:dyDescent="0.3">
      <c r="A299" s="452" t="s">
        <v>1188</v>
      </c>
      <c r="B299" s="453" t="s">
        <v>1028</v>
      </c>
      <c r="C299" s="453" t="s">
        <v>1029</v>
      </c>
      <c r="D299" s="453" t="s">
        <v>1082</v>
      </c>
      <c r="E299" s="453" t="s">
        <v>1083</v>
      </c>
      <c r="F299" s="456">
        <v>101</v>
      </c>
      <c r="G299" s="456">
        <v>11716</v>
      </c>
      <c r="H299" s="456">
        <v>1.3351566951566951</v>
      </c>
      <c r="I299" s="456">
        <v>116</v>
      </c>
      <c r="J299" s="456">
        <v>75</v>
      </c>
      <c r="K299" s="456">
        <v>8775</v>
      </c>
      <c r="L299" s="456">
        <v>1</v>
      </c>
      <c r="M299" s="456">
        <v>117</v>
      </c>
      <c r="N299" s="456">
        <v>72</v>
      </c>
      <c r="O299" s="456">
        <v>9792</v>
      </c>
      <c r="P299" s="478">
        <v>1.1158974358974358</v>
      </c>
      <c r="Q299" s="457">
        <v>136</v>
      </c>
    </row>
    <row r="300" spans="1:17" ht="14.4" customHeight="1" x14ac:dyDescent="0.3">
      <c r="A300" s="452" t="s">
        <v>1188</v>
      </c>
      <c r="B300" s="453" t="s">
        <v>1028</v>
      </c>
      <c r="C300" s="453" t="s">
        <v>1029</v>
      </c>
      <c r="D300" s="453" t="s">
        <v>1084</v>
      </c>
      <c r="E300" s="453" t="s">
        <v>1085</v>
      </c>
      <c r="F300" s="456">
        <v>5</v>
      </c>
      <c r="G300" s="456">
        <v>425</v>
      </c>
      <c r="H300" s="456">
        <v>0.58379120879120883</v>
      </c>
      <c r="I300" s="456">
        <v>85</v>
      </c>
      <c r="J300" s="456">
        <v>8</v>
      </c>
      <c r="K300" s="456">
        <v>728</v>
      </c>
      <c r="L300" s="456">
        <v>1</v>
      </c>
      <c r="M300" s="456">
        <v>91</v>
      </c>
      <c r="N300" s="456">
        <v>6</v>
      </c>
      <c r="O300" s="456">
        <v>546</v>
      </c>
      <c r="P300" s="478">
        <v>0.75</v>
      </c>
      <c r="Q300" s="457">
        <v>91</v>
      </c>
    </row>
    <row r="301" spans="1:17" ht="14.4" customHeight="1" x14ac:dyDescent="0.3">
      <c r="A301" s="452" t="s">
        <v>1188</v>
      </c>
      <c r="B301" s="453" t="s">
        <v>1028</v>
      </c>
      <c r="C301" s="453" t="s">
        <v>1029</v>
      </c>
      <c r="D301" s="453" t="s">
        <v>1086</v>
      </c>
      <c r="E301" s="453" t="s">
        <v>1087</v>
      </c>
      <c r="F301" s="456"/>
      <c r="G301" s="456"/>
      <c r="H301" s="456"/>
      <c r="I301" s="456"/>
      <c r="J301" s="456">
        <v>1</v>
      </c>
      <c r="K301" s="456">
        <v>99</v>
      </c>
      <c r="L301" s="456">
        <v>1</v>
      </c>
      <c r="M301" s="456">
        <v>99</v>
      </c>
      <c r="N301" s="456"/>
      <c r="O301" s="456"/>
      <c r="P301" s="478"/>
      <c r="Q301" s="457"/>
    </row>
    <row r="302" spans="1:17" ht="14.4" customHeight="1" x14ac:dyDescent="0.3">
      <c r="A302" s="452" t="s">
        <v>1188</v>
      </c>
      <c r="B302" s="453" t="s">
        <v>1028</v>
      </c>
      <c r="C302" s="453" t="s">
        <v>1029</v>
      </c>
      <c r="D302" s="453" t="s">
        <v>1088</v>
      </c>
      <c r="E302" s="453" t="s">
        <v>1089</v>
      </c>
      <c r="F302" s="456">
        <v>20</v>
      </c>
      <c r="G302" s="456">
        <v>420</v>
      </c>
      <c r="H302" s="456">
        <v>3.3333333333333335</v>
      </c>
      <c r="I302" s="456">
        <v>21</v>
      </c>
      <c r="J302" s="456">
        <v>6</v>
      </c>
      <c r="K302" s="456">
        <v>126</v>
      </c>
      <c r="L302" s="456">
        <v>1</v>
      </c>
      <c r="M302" s="456">
        <v>21</v>
      </c>
      <c r="N302" s="456">
        <v>6</v>
      </c>
      <c r="O302" s="456">
        <v>396</v>
      </c>
      <c r="P302" s="478">
        <v>3.1428571428571428</v>
      </c>
      <c r="Q302" s="457">
        <v>66</v>
      </c>
    </row>
    <row r="303" spans="1:17" ht="14.4" customHeight="1" x14ac:dyDescent="0.3">
      <c r="A303" s="452" t="s">
        <v>1188</v>
      </c>
      <c r="B303" s="453" t="s">
        <v>1028</v>
      </c>
      <c r="C303" s="453" t="s">
        <v>1029</v>
      </c>
      <c r="D303" s="453" t="s">
        <v>1090</v>
      </c>
      <c r="E303" s="453" t="s">
        <v>1091</v>
      </c>
      <c r="F303" s="456">
        <v>4</v>
      </c>
      <c r="G303" s="456">
        <v>1948</v>
      </c>
      <c r="H303" s="456"/>
      <c r="I303" s="456">
        <v>487</v>
      </c>
      <c r="J303" s="456"/>
      <c r="K303" s="456"/>
      <c r="L303" s="456"/>
      <c r="M303" s="456"/>
      <c r="N303" s="456"/>
      <c r="O303" s="456"/>
      <c r="P303" s="478"/>
      <c r="Q303" s="457"/>
    </row>
    <row r="304" spans="1:17" ht="14.4" customHeight="1" x14ac:dyDescent="0.3">
      <c r="A304" s="452" t="s">
        <v>1188</v>
      </c>
      <c r="B304" s="453" t="s">
        <v>1028</v>
      </c>
      <c r="C304" s="453" t="s">
        <v>1029</v>
      </c>
      <c r="D304" s="453" t="s">
        <v>1098</v>
      </c>
      <c r="E304" s="453" t="s">
        <v>1099</v>
      </c>
      <c r="F304" s="456">
        <v>2</v>
      </c>
      <c r="G304" s="456">
        <v>82</v>
      </c>
      <c r="H304" s="456">
        <v>0.5</v>
      </c>
      <c r="I304" s="456">
        <v>41</v>
      </c>
      <c r="J304" s="456">
        <v>4</v>
      </c>
      <c r="K304" s="456">
        <v>164</v>
      </c>
      <c r="L304" s="456">
        <v>1</v>
      </c>
      <c r="M304" s="456">
        <v>41</v>
      </c>
      <c r="N304" s="456">
        <v>6</v>
      </c>
      <c r="O304" s="456">
        <v>306</v>
      </c>
      <c r="P304" s="478">
        <v>1.8658536585365855</v>
      </c>
      <c r="Q304" s="457">
        <v>51</v>
      </c>
    </row>
    <row r="305" spans="1:17" ht="14.4" customHeight="1" x14ac:dyDescent="0.3">
      <c r="A305" s="452" t="s">
        <v>1188</v>
      </c>
      <c r="B305" s="453" t="s">
        <v>1028</v>
      </c>
      <c r="C305" s="453" t="s">
        <v>1029</v>
      </c>
      <c r="D305" s="453" t="s">
        <v>1124</v>
      </c>
      <c r="E305" s="453" t="s">
        <v>1125</v>
      </c>
      <c r="F305" s="456"/>
      <c r="G305" s="456"/>
      <c r="H305" s="456"/>
      <c r="I305" s="456"/>
      <c r="J305" s="456">
        <v>1</v>
      </c>
      <c r="K305" s="456">
        <v>249</v>
      </c>
      <c r="L305" s="456">
        <v>1</v>
      </c>
      <c r="M305" s="456">
        <v>249</v>
      </c>
      <c r="N305" s="456"/>
      <c r="O305" s="456"/>
      <c r="P305" s="478"/>
      <c r="Q305" s="457"/>
    </row>
    <row r="306" spans="1:17" ht="14.4" customHeight="1" x14ac:dyDescent="0.3">
      <c r="A306" s="452" t="s">
        <v>1189</v>
      </c>
      <c r="B306" s="453" t="s">
        <v>1028</v>
      </c>
      <c r="C306" s="453" t="s">
        <v>1029</v>
      </c>
      <c r="D306" s="453" t="s">
        <v>1030</v>
      </c>
      <c r="E306" s="453" t="s">
        <v>1031</v>
      </c>
      <c r="F306" s="456">
        <v>11</v>
      </c>
      <c r="G306" s="456">
        <v>1771</v>
      </c>
      <c r="H306" s="456">
        <v>0.23265895953757226</v>
      </c>
      <c r="I306" s="456">
        <v>161</v>
      </c>
      <c r="J306" s="456">
        <v>44</v>
      </c>
      <c r="K306" s="456">
        <v>7612</v>
      </c>
      <c r="L306" s="456">
        <v>1</v>
      </c>
      <c r="M306" s="456">
        <v>173</v>
      </c>
      <c r="N306" s="456">
        <v>54</v>
      </c>
      <c r="O306" s="456">
        <v>9342</v>
      </c>
      <c r="P306" s="478">
        <v>1.2272727272727273</v>
      </c>
      <c r="Q306" s="457">
        <v>173</v>
      </c>
    </row>
    <row r="307" spans="1:17" ht="14.4" customHeight="1" x14ac:dyDescent="0.3">
      <c r="A307" s="452" t="s">
        <v>1189</v>
      </c>
      <c r="B307" s="453" t="s">
        <v>1028</v>
      </c>
      <c r="C307" s="453" t="s">
        <v>1029</v>
      </c>
      <c r="D307" s="453" t="s">
        <v>1046</v>
      </c>
      <c r="E307" s="453" t="s">
        <v>1047</v>
      </c>
      <c r="F307" s="456">
        <v>10</v>
      </c>
      <c r="G307" s="456">
        <v>400</v>
      </c>
      <c r="H307" s="456">
        <v>0.88691796008869184</v>
      </c>
      <c r="I307" s="456">
        <v>40</v>
      </c>
      <c r="J307" s="456">
        <v>11</v>
      </c>
      <c r="K307" s="456">
        <v>451</v>
      </c>
      <c r="L307" s="456">
        <v>1</v>
      </c>
      <c r="M307" s="456">
        <v>41</v>
      </c>
      <c r="N307" s="456">
        <v>18</v>
      </c>
      <c r="O307" s="456">
        <v>828</v>
      </c>
      <c r="P307" s="478">
        <v>1.835920177383592</v>
      </c>
      <c r="Q307" s="457">
        <v>46</v>
      </c>
    </row>
    <row r="308" spans="1:17" ht="14.4" customHeight="1" x14ac:dyDescent="0.3">
      <c r="A308" s="452" t="s">
        <v>1189</v>
      </c>
      <c r="B308" s="453" t="s">
        <v>1028</v>
      </c>
      <c r="C308" s="453" t="s">
        <v>1029</v>
      </c>
      <c r="D308" s="453" t="s">
        <v>1048</v>
      </c>
      <c r="E308" s="453" t="s">
        <v>1049</v>
      </c>
      <c r="F308" s="456"/>
      <c r="G308" s="456"/>
      <c r="H308" s="456"/>
      <c r="I308" s="456"/>
      <c r="J308" s="456">
        <v>2</v>
      </c>
      <c r="K308" s="456">
        <v>768</v>
      </c>
      <c r="L308" s="456">
        <v>1</v>
      </c>
      <c r="M308" s="456">
        <v>384</v>
      </c>
      <c r="N308" s="456"/>
      <c r="O308" s="456"/>
      <c r="P308" s="478"/>
      <c r="Q308" s="457"/>
    </row>
    <row r="309" spans="1:17" ht="14.4" customHeight="1" x14ac:dyDescent="0.3">
      <c r="A309" s="452" t="s">
        <v>1189</v>
      </c>
      <c r="B309" s="453" t="s">
        <v>1028</v>
      </c>
      <c r="C309" s="453" t="s">
        <v>1029</v>
      </c>
      <c r="D309" s="453" t="s">
        <v>1050</v>
      </c>
      <c r="E309" s="453" t="s">
        <v>1051</v>
      </c>
      <c r="F309" s="456"/>
      <c r="G309" s="456"/>
      <c r="H309" s="456"/>
      <c r="I309" s="456"/>
      <c r="J309" s="456"/>
      <c r="K309" s="456"/>
      <c r="L309" s="456"/>
      <c r="M309" s="456"/>
      <c r="N309" s="456">
        <v>1</v>
      </c>
      <c r="O309" s="456">
        <v>51</v>
      </c>
      <c r="P309" s="478"/>
      <c r="Q309" s="457">
        <v>51</v>
      </c>
    </row>
    <row r="310" spans="1:17" ht="14.4" customHeight="1" x14ac:dyDescent="0.3">
      <c r="A310" s="452" t="s">
        <v>1189</v>
      </c>
      <c r="B310" s="453" t="s">
        <v>1028</v>
      </c>
      <c r="C310" s="453" t="s">
        <v>1029</v>
      </c>
      <c r="D310" s="453" t="s">
        <v>1054</v>
      </c>
      <c r="E310" s="453" t="s">
        <v>1055</v>
      </c>
      <c r="F310" s="456"/>
      <c r="G310" s="456"/>
      <c r="H310" s="456"/>
      <c r="I310" s="456"/>
      <c r="J310" s="456"/>
      <c r="K310" s="456"/>
      <c r="L310" s="456"/>
      <c r="M310" s="456"/>
      <c r="N310" s="456">
        <v>7</v>
      </c>
      <c r="O310" s="456">
        <v>2639</v>
      </c>
      <c r="P310" s="478"/>
      <c r="Q310" s="457">
        <v>377</v>
      </c>
    </row>
    <row r="311" spans="1:17" ht="14.4" customHeight="1" x14ac:dyDescent="0.3">
      <c r="A311" s="452" t="s">
        <v>1189</v>
      </c>
      <c r="B311" s="453" t="s">
        <v>1028</v>
      </c>
      <c r="C311" s="453" t="s">
        <v>1029</v>
      </c>
      <c r="D311" s="453" t="s">
        <v>1058</v>
      </c>
      <c r="E311" s="453" t="s">
        <v>1059</v>
      </c>
      <c r="F311" s="456"/>
      <c r="G311" s="456"/>
      <c r="H311" s="456"/>
      <c r="I311" s="456"/>
      <c r="J311" s="456">
        <v>2</v>
      </c>
      <c r="K311" s="456">
        <v>984</v>
      </c>
      <c r="L311" s="456">
        <v>1</v>
      </c>
      <c r="M311" s="456">
        <v>492</v>
      </c>
      <c r="N311" s="456"/>
      <c r="O311" s="456"/>
      <c r="P311" s="478"/>
      <c r="Q311" s="457"/>
    </row>
    <row r="312" spans="1:17" ht="14.4" customHeight="1" x14ac:dyDescent="0.3">
      <c r="A312" s="452" t="s">
        <v>1189</v>
      </c>
      <c r="B312" s="453" t="s">
        <v>1028</v>
      </c>
      <c r="C312" s="453" t="s">
        <v>1029</v>
      </c>
      <c r="D312" s="453" t="s">
        <v>1060</v>
      </c>
      <c r="E312" s="453" t="s">
        <v>1061</v>
      </c>
      <c r="F312" s="456">
        <v>1</v>
      </c>
      <c r="G312" s="456">
        <v>31</v>
      </c>
      <c r="H312" s="456"/>
      <c r="I312" s="456">
        <v>31</v>
      </c>
      <c r="J312" s="456"/>
      <c r="K312" s="456"/>
      <c r="L312" s="456"/>
      <c r="M312" s="456"/>
      <c r="N312" s="456"/>
      <c r="O312" s="456"/>
      <c r="P312" s="478"/>
      <c r="Q312" s="457"/>
    </row>
    <row r="313" spans="1:17" ht="14.4" customHeight="1" x14ac:dyDescent="0.3">
      <c r="A313" s="452" t="s">
        <v>1189</v>
      </c>
      <c r="B313" s="453" t="s">
        <v>1028</v>
      </c>
      <c r="C313" s="453" t="s">
        <v>1029</v>
      </c>
      <c r="D313" s="453" t="s">
        <v>1062</v>
      </c>
      <c r="E313" s="453" t="s">
        <v>1063</v>
      </c>
      <c r="F313" s="456"/>
      <c r="G313" s="456"/>
      <c r="H313" s="456"/>
      <c r="I313" s="456"/>
      <c r="J313" s="456">
        <v>1</v>
      </c>
      <c r="K313" s="456">
        <v>208</v>
      </c>
      <c r="L313" s="456">
        <v>1</v>
      </c>
      <c r="M313" s="456">
        <v>208</v>
      </c>
      <c r="N313" s="456"/>
      <c r="O313" s="456"/>
      <c r="P313" s="478"/>
      <c r="Q313" s="457"/>
    </row>
    <row r="314" spans="1:17" ht="14.4" customHeight="1" x14ac:dyDescent="0.3">
      <c r="A314" s="452" t="s">
        <v>1189</v>
      </c>
      <c r="B314" s="453" t="s">
        <v>1028</v>
      </c>
      <c r="C314" s="453" t="s">
        <v>1029</v>
      </c>
      <c r="D314" s="453" t="s">
        <v>1064</v>
      </c>
      <c r="E314" s="453" t="s">
        <v>1065</v>
      </c>
      <c r="F314" s="456"/>
      <c r="G314" s="456"/>
      <c r="H314" s="456"/>
      <c r="I314" s="456"/>
      <c r="J314" s="456">
        <v>1</v>
      </c>
      <c r="K314" s="456">
        <v>384</v>
      </c>
      <c r="L314" s="456">
        <v>1</v>
      </c>
      <c r="M314" s="456">
        <v>384</v>
      </c>
      <c r="N314" s="456"/>
      <c r="O314" s="456"/>
      <c r="P314" s="478"/>
      <c r="Q314" s="457"/>
    </row>
    <row r="315" spans="1:17" ht="14.4" customHeight="1" x14ac:dyDescent="0.3">
      <c r="A315" s="452" t="s">
        <v>1189</v>
      </c>
      <c r="B315" s="453" t="s">
        <v>1028</v>
      </c>
      <c r="C315" s="453" t="s">
        <v>1029</v>
      </c>
      <c r="D315" s="453" t="s">
        <v>1074</v>
      </c>
      <c r="E315" s="453" t="s">
        <v>1075</v>
      </c>
      <c r="F315" s="456"/>
      <c r="G315" s="456"/>
      <c r="H315" s="456"/>
      <c r="I315" s="456"/>
      <c r="J315" s="456">
        <v>6</v>
      </c>
      <c r="K315" s="456">
        <v>102</v>
      </c>
      <c r="L315" s="456">
        <v>1</v>
      </c>
      <c r="M315" s="456">
        <v>17</v>
      </c>
      <c r="N315" s="456">
        <v>8</v>
      </c>
      <c r="O315" s="456">
        <v>136</v>
      </c>
      <c r="P315" s="478">
        <v>1.3333333333333333</v>
      </c>
      <c r="Q315" s="457">
        <v>17</v>
      </c>
    </row>
    <row r="316" spans="1:17" ht="14.4" customHeight="1" x14ac:dyDescent="0.3">
      <c r="A316" s="452" t="s">
        <v>1189</v>
      </c>
      <c r="B316" s="453" t="s">
        <v>1028</v>
      </c>
      <c r="C316" s="453" t="s">
        <v>1029</v>
      </c>
      <c r="D316" s="453" t="s">
        <v>1076</v>
      </c>
      <c r="E316" s="453" t="s">
        <v>1077</v>
      </c>
      <c r="F316" s="456">
        <v>1</v>
      </c>
      <c r="G316" s="456">
        <v>136</v>
      </c>
      <c r="H316" s="456">
        <v>0.48920863309352519</v>
      </c>
      <c r="I316" s="456">
        <v>136</v>
      </c>
      <c r="J316" s="456">
        <v>2</v>
      </c>
      <c r="K316" s="456">
        <v>278</v>
      </c>
      <c r="L316" s="456">
        <v>1</v>
      </c>
      <c r="M316" s="456">
        <v>139</v>
      </c>
      <c r="N316" s="456">
        <v>2</v>
      </c>
      <c r="O316" s="456">
        <v>286</v>
      </c>
      <c r="P316" s="478">
        <v>1.0287769784172662</v>
      </c>
      <c r="Q316" s="457">
        <v>143</v>
      </c>
    </row>
    <row r="317" spans="1:17" ht="14.4" customHeight="1" x14ac:dyDescent="0.3">
      <c r="A317" s="452" t="s">
        <v>1189</v>
      </c>
      <c r="B317" s="453" t="s">
        <v>1028</v>
      </c>
      <c r="C317" s="453" t="s">
        <v>1029</v>
      </c>
      <c r="D317" s="453" t="s">
        <v>1082</v>
      </c>
      <c r="E317" s="453" t="s">
        <v>1083</v>
      </c>
      <c r="F317" s="456">
        <v>4</v>
      </c>
      <c r="G317" s="456">
        <v>464</v>
      </c>
      <c r="H317" s="456">
        <v>0.24786324786324787</v>
      </c>
      <c r="I317" s="456">
        <v>116</v>
      </c>
      <c r="J317" s="456">
        <v>16</v>
      </c>
      <c r="K317" s="456">
        <v>1872</v>
      </c>
      <c r="L317" s="456">
        <v>1</v>
      </c>
      <c r="M317" s="456">
        <v>117</v>
      </c>
      <c r="N317" s="456">
        <v>34</v>
      </c>
      <c r="O317" s="456">
        <v>4624</v>
      </c>
      <c r="P317" s="478">
        <v>2.4700854700854702</v>
      </c>
      <c r="Q317" s="457">
        <v>136</v>
      </c>
    </row>
    <row r="318" spans="1:17" ht="14.4" customHeight="1" x14ac:dyDescent="0.3">
      <c r="A318" s="452" t="s">
        <v>1189</v>
      </c>
      <c r="B318" s="453" t="s">
        <v>1028</v>
      </c>
      <c r="C318" s="453" t="s">
        <v>1029</v>
      </c>
      <c r="D318" s="453" t="s">
        <v>1084</v>
      </c>
      <c r="E318" s="453" t="s">
        <v>1085</v>
      </c>
      <c r="F318" s="456"/>
      <c r="G318" s="456"/>
      <c r="H318" s="456"/>
      <c r="I318" s="456"/>
      <c r="J318" s="456">
        <v>4</v>
      </c>
      <c r="K318" s="456">
        <v>364</v>
      </c>
      <c r="L318" s="456">
        <v>1</v>
      </c>
      <c r="M318" s="456">
        <v>91</v>
      </c>
      <c r="N318" s="456">
        <v>1</v>
      </c>
      <c r="O318" s="456">
        <v>91</v>
      </c>
      <c r="P318" s="478">
        <v>0.25</v>
      </c>
      <c r="Q318" s="457">
        <v>91</v>
      </c>
    </row>
    <row r="319" spans="1:17" ht="14.4" customHeight="1" x14ac:dyDescent="0.3">
      <c r="A319" s="452" t="s">
        <v>1189</v>
      </c>
      <c r="B319" s="453" t="s">
        <v>1028</v>
      </c>
      <c r="C319" s="453" t="s">
        <v>1029</v>
      </c>
      <c r="D319" s="453" t="s">
        <v>1088</v>
      </c>
      <c r="E319" s="453" t="s">
        <v>1089</v>
      </c>
      <c r="F319" s="456"/>
      <c r="G319" s="456"/>
      <c r="H319" s="456"/>
      <c r="I319" s="456"/>
      <c r="J319" s="456"/>
      <c r="K319" s="456"/>
      <c r="L319" s="456"/>
      <c r="M319" s="456"/>
      <c r="N319" s="456">
        <v>2</v>
      </c>
      <c r="O319" s="456">
        <v>132</v>
      </c>
      <c r="P319" s="478"/>
      <c r="Q319" s="457">
        <v>66</v>
      </c>
    </row>
    <row r="320" spans="1:17" ht="14.4" customHeight="1" x14ac:dyDescent="0.3">
      <c r="A320" s="452" t="s">
        <v>1189</v>
      </c>
      <c r="B320" s="453" t="s">
        <v>1028</v>
      </c>
      <c r="C320" s="453" t="s">
        <v>1029</v>
      </c>
      <c r="D320" s="453" t="s">
        <v>1090</v>
      </c>
      <c r="E320" s="453" t="s">
        <v>1091</v>
      </c>
      <c r="F320" s="456"/>
      <c r="G320" s="456"/>
      <c r="H320" s="456"/>
      <c r="I320" s="456"/>
      <c r="J320" s="456"/>
      <c r="K320" s="456"/>
      <c r="L320" s="456"/>
      <c r="M320" s="456"/>
      <c r="N320" s="456">
        <v>3</v>
      </c>
      <c r="O320" s="456">
        <v>984</v>
      </c>
      <c r="P320" s="478"/>
      <c r="Q320" s="457">
        <v>328</v>
      </c>
    </row>
    <row r="321" spans="1:17" ht="14.4" customHeight="1" x14ac:dyDescent="0.3">
      <c r="A321" s="452" t="s">
        <v>1189</v>
      </c>
      <c r="B321" s="453" t="s">
        <v>1028</v>
      </c>
      <c r="C321" s="453" t="s">
        <v>1029</v>
      </c>
      <c r="D321" s="453" t="s">
        <v>1098</v>
      </c>
      <c r="E321" s="453" t="s">
        <v>1099</v>
      </c>
      <c r="F321" s="456">
        <v>6</v>
      </c>
      <c r="G321" s="456">
        <v>246</v>
      </c>
      <c r="H321" s="456">
        <v>1.5</v>
      </c>
      <c r="I321" s="456">
        <v>41</v>
      </c>
      <c r="J321" s="456">
        <v>4</v>
      </c>
      <c r="K321" s="456">
        <v>164</v>
      </c>
      <c r="L321" s="456">
        <v>1</v>
      </c>
      <c r="M321" s="456">
        <v>41</v>
      </c>
      <c r="N321" s="456">
        <v>6</v>
      </c>
      <c r="O321" s="456">
        <v>306</v>
      </c>
      <c r="P321" s="478">
        <v>1.8658536585365855</v>
      </c>
      <c r="Q321" s="457">
        <v>51</v>
      </c>
    </row>
    <row r="322" spans="1:17" ht="14.4" customHeight="1" x14ac:dyDescent="0.3">
      <c r="A322" s="452" t="s">
        <v>1189</v>
      </c>
      <c r="B322" s="453" t="s">
        <v>1028</v>
      </c>
      <c r="C322" s="453" t="s">
        <v>1029</v>
      </c>
      <c r="D322" s="453" t="s">
        <v>1106</v>
      </c>
      <c r="E322" s="453" t="s">
        <v>1107</v>
      </c>
      <c r="F322" s="456"/>
      <c r="G322" s="456"/>
      <c r="H322" s="456"/>
      <c r="I322" s="456"/>
      <c r="J322" s="456">
        <v>1</v>
      </c>
      <c r="K322" s="456">
        <v>223</v>
      </c>
      <c r="L322" s="456">
        <v>1</v>
      </c>
      <c r="M322" s="456">
        <v>223</v>
      </c>
      <c r="N322" s="456">
        <v>1</v>
      </c>
      <c r="O322" s="456">
        <v>207</v>
      </c>
      <c r="P322" s="478">
        <v>0.9282511210762332</v>
      </c>
      <c r="Q322" s="457">
        <v>207</v>
      </c>
    </row>
    <row r="323" spans="1:17" ht="14.4" customHeight="1" x14ac:dyDescent="0.3">
      <c r="A323" s="452" t="s">
        <v>1190</v>
      </c>
      <c r="B323" s="453" t="s">
        <v>1028</v>
      </c>
      <c r="C323" s="453" t="s">
        <v>1029</v>
      </c>
      <c r="D323" s="453" t="s">
        <v>1030</v>
      </c>
      <c r="E323" s="453" t="s">
        <v>1031</v>
      </c>
      <c r="F323" s="456">
        <v>16</v>
      </c>
      <c r="G323" s="456">
        <v>2576</v>
      </c>
      <c r="H323" s="456">
        <v>1.4890173410404623</v>
      </c>
      <c r="I323" s="456">
        <v>161</v>
      </c>
      <c r="J323" s="456">
        <v>10</v>
      </c>
      <c r="K323" s="456">
        <v>1730</v>
      </c>
      <c r="L323" s="456">
        <v>1</v>
      </c>
      <c r="M323" s="456">
        <v>173</v>
      </c>
      <c r="N323" s="456">
        <v>43</v>
      </c>
      <c r="O323" s="456">
        <v>7439</v>
      </c>
      <c r="P323" s="478">
        <v>4.3</v>
      </c>
      <c r="Q323" s="457">
        <v>173</v>
      </c>
    </row>
    <row r="324" spans="1:17" ht="14.4" customHeight="1" x14ac:dyDescent="0.3">
      <c r="A324" s="452" t="s">
        <v>1190</v>
      </c>
      <c r="B324" s="453" t="s">
        <v>1028</v>
      </c>
      <c r="C324" s="453" t="s">
        <v>1029</v>
      </c>
      <c r="D324" s="453" t="s">
        <v>1048</v>
      </c>
      <c r="E324" s="453" t="s">
        <v>1049</v>
      </c>
      <c r="F324" s="456"/>
      <c r="G324" s="456"/>
      <c r="H324" s="456"/>
      <c r="I324" s="456"/>
      <c r="J324" s="456"/>
      <c r="K324" s="456"/>
      <c r="L324" s="456"/>
      <c r="M324" s="456"/>
      <c r="N324" s="456">
        <v>1</v>
      </c>
      <c r="O324" s="456">
        <v>347</v>
      </c>
      <c r="P324" s="478"/>
      <c r="Q324" s="457">
        <v>347</v>
      </c>
    </row>
    <row r="325" spans="1:17" ht="14.4" customHeight="1" x14ac:dyDescent="0.3">
      <c r="A325" s="452" t="s">
        <v>1190</v>
      </c>
      <c r="B325" s="453" t="s">
        <v>1028</v>
      </c>
      <c r="C325" s="453" t="s">
        <v>1029</v>
      </c>
      <c r="D325" s="453" t="s">
        <v>1054</v>
      </c>
      <c r="E325" s="453" t="s">
        <v>1055</v>
      </c>
      <c r="F325" s="456">
        <v>3</v>
      </c>
      <c r="G325" s="456">
        <v>1335</v>
      </c>
      <c r="H325" s="456">
        <v>0.99775784753363228</v>
      </c>
      <c r="I325" s="456">
        <v>445</v>
      </c>
      <c r="J325" s="456">
        <v>3</v>
      </c>
      <c r="K325" s="456">
        <v>1338</v>
      </c>
      <c r="L325" s="456">
        <v>1</v>
      </c>
      <c r="M325" s="456">
        <v>446</v>
      </c>
      <c r="N325" s="456"/>
      <c r="O325" s="456"/>
      <c r="P325" s="478"/>
      <c r="Q325" s="457"/>
    </row>
    <row r="326" spans="1:17" ht="14.4" customHeight="1" x14ac:dyDescent="0.3">
      <c r="A326" s="452" t="s">
        <v>1190</v>
      </c>
      <c r="B326" s="453" t="s">
        <v>1028</v>
      </c>
      <c r="C326" s="453" t="s">
        <v>1029</v>
      </c>
      <c r="D326" s="453" t="s">
        <v>1058</v>
      </c>
      <c r="E326" s="453" t="s">
        <v>1059</v>
      </c>
      <c r="F326" s="456"/>
      <c r="G326" s="456"/>
      <c r="H326" s="456"/>
      <c r="I326" s="456"/>
      <c r="J326" s="456"/>
      <c r="K326" s="456"/>
      <c r="L326" s="456"/>
      <c r="M326" s="456"/>
      <c r="N326" s="456">
        <v>1</v>
      </c>
      <c r="O326" s="456">
        <v>524</v>
      </c>
      <c r="P326" s="478"/>
      <c r="Q326" s="457">
        <v>524</v>
      </c>
    </row>
    <row r="327" spans="1:17" ht="14.4" customHeight="1" x14ac:dyDescent="0.3">
      <c r="A327" s="452" t="s">
        <v>1190</v>
      </c>
      <c r="B327" s="453" t="s">
        <v>1028</v>
      </c>
      <c r="C327" s="453" t="s">
        <v>1029</v>
      </c>
      <c r="D327" s="453" t="s">
        <v>1074</v>
      </c>
      <c r="E327" s="453" t="s">
        <v>1075</v>
      </c>
      <c r="F327" s="456">
        <v>8</v>
      </c>
      <c r="G327" s="456">
        <v>128</v>
      </c>
      <c r="H327" s="456">
        <v>0.75294117647058822</v>
      </c>
      <c r="I327" s="456">
        <v>16</v>
      </c>
      <c r="J327" s="456">
        <v>10</v>
      </c>
      <c r="K327" s="456">
        <v>170</v>
      </c>
      <c r="L327" s="456">
        <v>1</v>
      </c>
      <c r="M327" s="456">
        <v>17</v>
      </c>
      <c r="N327" s="456">
        <v>3</v>
      </c>
      <c r="O327" s="456">
        <v>51</v>
      </c>
      <c r="P327" s="478">
        <v>0.3</v>
      </c>
      <c r="Q327" s="457">
        <v>17</v>
      </c>
    </row>
    <row r="328" spans="1:17" ht="14.4" customHeight="1" x14ac:dyDescent="0.3">
      <c r="A328" s="452" t="s">
        <v>1190</v>
      </c>
      <c r="B328" s="453" t="s">
        <v>1028</v>
      </c>
      <c r="C328" s="453" t="s">
        <v>1029</v>
      </c>
      <c r="D328" s="453" t="s">
        <v>1076</v>
      </c>
      <c r="E328" s="453" t="s">
        <v>1077</v>
      </c>
      <c r="F328" s="456">
        <v>1</v>
      </c>
      <c r="G328" s="456">
        <v>136</v>
      </c>
      <c r="H328" s="456">
        <v>0.97841726618705038</v>
      </c>
      <c r="I328" s="456">
        <v>136</v>
      </c>
      <c r="J328" s="456">
        <v>1</v>
      </c>
      <c r="K328" s="456">
        <v>139</v>
      </c>
      <c r="L328" s="456">
        <v>1</v>
      </c>
      <c r="M328" s="456">
        <v>139</v>
      </c>
      <c r="N328" s="456">
        <v>4</v>
      </c>
      <c r="O328" s="456">
        <v>572</v>
      </c>
      <c r="P328" s="478">
        <v>4.1151079136690649</v>
      </c>
      <c r="Q328" s="457">
        <v>143</v>
      </c>
    </row>
    <row r="329" spans="1:17" ht="14.4" customHeight="1" x14ac:dyDescent="0.3">
      <c r="A329" s="452" t="s">
        <v>1190</v>
      </c>
      <c r="B329" s="453" t="s">
        <v>1028</v>
      </c>
      <c r="C329" s="453" t="s">
        <v>1029</v>
      </c>
      <c r="D329" s="453" t="s">
        <v>1078</v>
      </c>
      <c r="E329" s="453" t="s">
        <v>1079</v>
      </c>
      <c r="F329" s="456"/>
      <c r="G329" s="456"/>
      <c r="H329" s="456"/>
      <c r="I329" s="456"/>
      <c r="J329" s="456"/>
      <c r="K329" s="456"/>
      <c r="L329" s="456"/>
      <c r="M329" s="456"/>
      <c r="N329" s="456">
        <v>2</v>
      </c>
      <c r="O329" s="456">
        <v>130</v>
      </c>
      <c r="P329" s="478"/>
      <c r="Q329" s="457">
        <v>65</v>
      </c>
    </row>
    <row r="330" spans="1:17" ht="14.4" customHeight="1" x14ac:dyDescent="0.3">
      <c r="A330" s="452" t="s">
        <v>1190</v>
      </c>
      <c r="B330" s="453" t="s">
        <v>1028</v>
      </c>
      <c r="C330" s="453" t="s">
        <v>1029</v>
      </c>
      <c r="D330" s="453" t="s">
        <v>1191</v>
      </c>
      <c r="E330" s="453" t="s">
        <v>1192</v>
      </c>
      <c r="F330" s="456">
        <v>1</v>
      </c>
      <c r="G330" s="456">
        <v>113</v>
      </c>
      <c r="H330" s="456">
        <v>0.9576271186440678</v>
      </c>
      <c r="I330" s="456">
        <v>113</v>
      </c>
      <c r="J330" s="456">
        <v>1</v>
      </c>
      <c r="K330" s="456">
        <v>118</v>
      </c>
      <c r="L330" s="456">
        <v>1</v>
      </c>
      <c r="M330" s="456">
        <v>118</v>
      </c>
      <c r="N330" s="456">
        <v>1</v>
      </c>
      <c r="O330" s="456">
        <v>124</v>
      </c>
      <c r="P330" s="478">
        <v>1.0508474576271187</v>
      </c>
      <c r="Q330" s="457">
        <v>124</v>
      </c>
    </row>
    <row r="331" spans="1:17" ht="14.4" customHeight="1" x14ac:dyDescent="0.3">
      <c r="A331" s="452" t="s">
        <v>1190</v>
      </c>
      <c r="B331" s="453" t="s">
        <v>1028</v>
      </c>
      <c r="C331" s="453" t="s">
        <v>1029</v>
      </c>
      <c r="D331" s="453" t="s">
        <v>1082</v>
      </c>
      <c r="E331" s="453" t="s">
        <v>1083</v>
      </c>
      <c r="F331" s="456">
        <v>3</v>
      </c>
      <c r="G331" s="456">
        <v>348</v>
      </c>
      <c r="H331" s="456">
        <v>0.99145299145299148</v>
      </c>
      <c r="I331" s="456">
        <v>116</v>
      </c>
      <c r="J331" s="456">
        <v>3</v>
      </c>
      <c r="K331" s="456">
        <v>351</v>
      </c>
      <c r="L331" s="456">
        <v>1</v>
      </c>
      <c r="M331" s="456">
        <v>117</v>
      </c>
      <c r="N331" s="456"/>
      <c r="O331" s="456"/>
      <c r="P331" s="478"/>
      <c r="Q331" s="457"/>
    </row>
    <row r="332" spans="1:17" ht="14.4" customHeight="1" x14ac:dyDescent="0.3">
      <c r="A332" s="452" t="s">
        <v>1190</v>
      </c>
      <c r="B332" s="453" t="s">
        <v>1028</v>
      </c>
      <c r="C332" s="453" t="s">
        <v>1029</v>
      </c>
      <c r="D332" s="453" t="s">
        <v>1084</v>
      </c>
      <c r="E332" s="453" t="s">
        <v>1085</v>
      </c>
      <c r="F332" s="456">
        <v>1</v>
      </c>
      <c r="G332" s="456">
        <v>85</v>
      </c>
      <c r="H332" s="456">
        <v>0.93406593406593408</v>
      </c>
      <c r="I332" s="456">
        <v>85</v>
      </c>
      <c r="J332" s="456">
        <v>1</v>
      </c>
      <c r="K332" s="456">
        <v>91</v>
      </c>
      <c r="L332" s="456">
        <v>1</v>
      </c>
      <c r="M332" s="456">
        <v>91</v>
      </c>
      <c r="N332" s="456">
        <v>2</v>
      </c>
      <c r="O332" s="456">
        <v>182</v>
      </c>
      <c r="P332" s="478">
        <v>2</v>
      </c>
      <c r="Q332" s="457">
        <v>91</v>
      </c>
    </row>
    <row r="333" spans="1:17" ht="14.4" customHeight="1" x14ac:dyDescent="0.3">
      <c r="A333" s="452" t="s">
        <v>1190</v>
      </c>
      <c r="B333" s="453" t="s">
        <v>1028</v>
      </c>
      <c r="C333" s="453" t="s">
        <v>1029</v>
      </c>
      <c r="D333" s="453" t="s">
        <v>1086</v>
      </c>
      <c r="E333" s="453" t="s">
        <v>1087</v>
      </c>
      <c r="F333" s="456">
        <v>3</v>
      </c>
      <c r="G333" s="456">
        <v>294</v>
      </c>
      <c r="H333" s="456">
        <v>0.29696969696969699</v>
      </c>
      <c r="I333" s="456">
        <v>98</v>
      </c>
      <c r="J333" s="456">
        <v>10</v>
      </c>
      <c r="K333" s="456">
        <v>990</v>
      </c>
      <c r="L333" s="456">
        <v>1</v>
      </c>
      <c r="M333" s="456">
        <v>99</v>
      </c>
      <c r="N333" s="456">
        <v>9</v>
      </c>
      <c r="O333" s="456">
        <v>1233</v>
      </c>
      <c r="P333" s="478">
        <v>1.2454545454545454</v>
      </c>
      <c r="Q333" s="457">
        <v>137</v>
      </c>
    </row>
    <row r="334" spans="1:17" ht="14.4" customHeight="1" x14ac:dyDescent="0.3">
      <c r="A334" s="452" t="s">
        <v>1190</v>
      </c>
      <c r="B334" s="453" t="s">
        <v>1028</v>
      </c>
      <c r="C334" s="453" t="s">
        <v>1029</v>
      </c>
      <c r="D334" s="453" t="s">
        <v>1088</v>
      </c>
      <c r="E334" s="453" t="s">
        <v>1089</v>
      </c>
      <c r="F334" s="456"/>
      <c r="G334" s="456"/>
      <c r="H334" s="456"/>
      <c r="I334" s="456"/>
      <c r="J334" s="456">
        <v>1</v>
      </c>
      <c r="K334" s="456">
        <v>21</v>
      </c>
      <c r="L334" s="456">
        <v>1</v>
      </c>
      <c r="M334" s="456">
        <v>21</v>
      </c>
      <c r="N334" s="456"/>
      <c r="O334" s="456"/>
      <c r="P334" s="478"/>
      <c r="Q334" s="457"/>
    </row>
    <row r="335" spans="1:17" ht="14.4" customHeight="1" x14ac:dyDescent="0.3">
      <c r="A335" s="452" t="s">
        <v>1190</v>
      </c>
      <c r="B335" s="453" t="s">
        <v>1028</v>
      </c>
      <c r="C335" s="453" t="s">
        <v>1029</v>
      </c>
      <c r="D335" s="453" t="s">
        <v>1090</v>
      </c>
      <c r="E335" s="453" t="s">
        <v>1091</v>
      </c>
      <c r="F335" s="456">
        <v>12</v>
      </c>
      <c r="G335" s="456">
        <v>5844</v>
      </c>
      <c r="H335" s="456">
        <v>0.74846311475409832</v>
      </c>
      <c r="I335" s="456">
        <v>487</v>
      </c>
      <c r="J335" s="456">
        <v>16</v>
      </c>
      <c r="K335" s="456">
        <v>7808</v>
      </c>
      <c r="L335" s="456">
        <v>1</v>
      </c>
      <c r="M335" s="456">
        <v>488</v>
      </c>
      <c r="N335" s="456"/>
      <c r="O335" s="456"/>
      <c r="P335" s="478"/>
      <c r="Q335" s="457"/>
    </row>
    <row r="336" spans="1:17" ht="14.4" customHeight="1" x14ac:dyDescent="0.3">
      <c r="A336" s="452" t="s">
        <v>1190</v>
      </c>
      <c r="B336" s="453" t="s">
        <v>1028</v>
      </c>
      <c r="C336" s="453" t="s">
        <v>1029</v>
      </c>
      <c r="D336" s="453" t="s">
        <v>1098</v>
      </c>
      <c r="E336" s="453" t="s">
        <v>1099</v>
      </c>
      <c r="F336" s="456"/>
      <c r="G336" s="456"/>
      <c r="H336" s="456"/>
      <c r="I336" s="456"/>
      <c r="J336" s="456">
        <v>2</v>
      </c>
      <c r="K336" s="456">
        <v>82</v>
      </c>
      <c r="L336" s="456">
        <v>1</v>
      </c>
      <c r="M336" s="456">
        <v>41</v>
      </c>
      <c r="N336" s="456">
        <v>1</v>
      </c>
      <c r="O336" s="456">
        <v>51</v>
      </c>
      <c r="P336" s="478">
        <v>0.62195121951219512</v>
      </c>
      <c r="Q336" s="457">
        <v>51</v>
      </c>
    </row>
    <row r="337" spans="1:17" ht="14.4" customHeight="1" x14ac:dyDescent="0.3">
      <c r="A337" s="452" t="s">
        <v>1190</v>
      </c>
      <c r="B337" s="453" t="s">
        <v>1028</v>
      </c>
      <c r="C337" s="453" t="s">
        <v>1029</v>
      </c>
      <c r="D337" s="453" t="s">
        <v>1110</v>
      </c>
      <c r="E337" s="453" t="s">
        <v>1111</v>
      </c>
      <c r="F337" s="456"/>
      <c r="G337" s="456"/>
      <c r="H337" s="456"/>
      <c r="I337" s="456"/>
      <c r="J337" s="456">
        <v>1</v>
      </c>
      <c r="K337" s="456">
        <v>2112</v>
      </c>
      <c r="L337" s="456">
        <v>1</v>
      </c>
      <c r="M337" s="456">
        <v>2112</v>
      </c>
      <c r="N337" s="456"/>
      <c r="O337" s="456"/>
      <c r="P337" s="478"/>
      <c r="Q337" s="457"/>
    </row>
    <row r="338" spans="1:17" ht="14.4" customHeight="1" x14ac:dyDescent="0.3">
      <c r="A338" s="452" t="s">
        <v>1190</v>
      </c>
      <c r="B338" s="453" t="s">
        <v>1028</v>
      </c>
      <c r="C338" s="453" t="s">
        <v>1029</v>
      </c>
      <c r="D338" s="453" t="s">
        <v>1138</v>
      </c>
      <c r="E338" s="453" t="s">
        <v>1139</v>
      </c>
      <c r="F338" s="456">
        <v>3</v>
      </c>
      <c r="G338" s="456">
        <v>87</v>
      </c>
      <c r="H338" s="456">
        <v>0.96666666666666667</v>
      </c>
      <c r="I338" s="456">
        <v>29</v>
      </c>
      <c r="J338" s="456">
        <v>3</v>
      </c>
      <c r="K338" s="456">
        <v>90</v>
      </c>
      <c r="L338" s="456">
        <v>1</v>
      </c>
      <c r="M338" s="456">
        <v>30</v>
      </c>
      <c r="N338" s="456">
        <v>3</v>
      </c>
      <c r="O338" s="456">
        <v>108</v>
      </c>
      <c r="P338" s="478">
        <v>1.2</v>
      </c>
      <c r="Q338" s="457">
        <v>36</v>
      </c>
    </row>
    <row r="339" spans="1:17" ht="14.4" customHeight="1" x14ac:dyDescent="0.3">
      <c r="A339" s="452" t="s">
        <v>1193</v>
      </c>
      <c r="B339" s="453" t="s">
        <v>1028</v>
      </c>
      <c r="C339" s="453" t="s">
        <v>1029</v>
      </c>
      <c r="D339" s="453" t="s">
        <v>1030</v>
      </c>
      <c r="E339" s="453" t="s">
        <v>1031</v>
      </c>
      <c r="F339" s="456">
        <v>201</v>
      </c>
      <c r="G339" s="456">
        <v>32361</v>
      </c>
      <c r="H339" s="456">
        <v>1.0508865363382478</v>
      </c>
      <c r="I339" s="456">
        <v>161</v>
      </c>
      <c r="J339" s="456">
        <v>178</v>
      </c>
      <c r="K339" s="456">
        <v>30794</v>
      </c>
      <c r="L339" s="456">
        <v>1</v>
      </c>
      <c r="M339" s="456">
        <v>173</v>
      </c>
      <c r="N339" s="456">
        <v>229</v>
      </c>
      <c r="O339" s="456">
        <v>39617</v>
      </c>
      <c r="P339" s="478">
        <v>1.2865168539325842</v>
      </c>
      <c r="Q339" s="457">
        <v>173</v>
      </c>
    </row>
    <row r="340" spans="1:17" ht="14.4" customHeight="1" x14ac:dyDescent="0.3">
      <c r="A340" s="452" t="s">
        <v>1193</v>
      </c>
      <c r="B340" s="453" t="s">
        <v>1028</v>
      </c>
      <c r="C340" s="453" t="s">
        <v>1029</v>
      </c>
      <c r="D340" s="453" t="s">
        <v>1044</v>
      </c>
      <c r="E340" s="453" t="s">
        <v>1045</v>
      </c>
      <c r="F340" s="456">
        <v>340</v>
      </c>
      <c r="G340" s="456">
        <v>397460</v>
      </c>
      <c r="H340" s="456">
        <v>0.78435319377348367</v>
      </c>
      <c r="I340" s="456">
        <v>1169</v>
      </c>
      <c r="J340" s="456">
        <v>432</v>
      </c>
      <c r="K340" s="456">
        <v>506736</v>
      </c>
      <c r="L340" s="456">
        <v>1</v>
      </c>
      <c r="M340" s="456">
        <v>1173</v>
      </c>
      <c r="N340" s="456">
        <v>504</v>
      </c>
      <c r="O340" s="456">
        <v>539280</v>
      </c>
      <c r="P340" s="478">
        <v>1.0642227905655015</v>
      </c>
      <c r="Q340" s="457">
        <v>1070</v>
      </c>
    </row>
    <row r="341" spans="1:17" ht="14.4" customHeight="1" x14ac:dyDescent="0.3">
      <c r="A341" s="452" t="s">
        <v>1193</v>
      </c>
      <c r="B341" s="453" t="s">
        <v>1028</v>
      </c>
      <c r="C341" s="453" t="s">
        <v>1029</v>
      </c>
      <c r="D341" s="453" t="s">
        <v>1046</v>
      </c>
      <c r="E341" s="453" t="s">
        <v>1047</v>
      </c>
      <c r="F341" s="456">
        <v>259</v>
      </c>
      <c r="G341" s="456">
        <v>10360</v>
      </c>
      <c r="H341" s="456">
        <v>0.66320978170411626</v>
      </c>
      <c r="I341" s="456">
        <v>40</v>
      </c>
      <c r="J341" s="456">
        <v>381</v>
      </c>
      <c r="K341" s="456">
        <v>15621</v>
      </c>
      <c r="L341" s="456">
        <v>1</v>
      </c>
      <c r="M341" s="456">
        <v>41</v>
      </c>
      <c r="N341" s="456">
        <v>283</v>
      </c>
      <c r="O341" s="456">
        <v>13018</v>
      </c>
      <c r="P341" s="478">
        <v>0.83336534152743102</v>
      </c>
      <c r="Q341" s="457">
        <v>46</v>
      </c>
    </row>
    <row r="342" spans="1:17" ht="14.4" customHeight="1" x14ac:dyDescent="0.3">
      <c r="A342" s="452" t="s">
        <v>1193</v>
      </c>
      <c r="B342" s="453" t="s">
        <v>1028</v>
      </c>
      <c r="C342" s="453" t="s">
        <v>1029</v>
      </c>
      <c r="D342" s="453" t="s">
        <v>1048</v>
      </c>
      <c r="E342" s="453" t="s">
        <v>1049</v>
      </c>
      <c r="F342" s="456">
        <v>5</v>
      </c>
      <c r="G342" s="456">
        <v>1915</v>
      </c>
      <c r="H342" s="456">
        <v>0.24934895833333334</v>
      </c>
      <c r="I342" s="456">
        <v>383</v>
      </c>
      <c r="J342" s="456">
        <v>20</v>
      </c>
      <c r="K342" s="456">
        <v>7680</v>
      </c>
      <c r="L342" s="456">
        <v>1</v>
      </c>
      <c r="M342" s="456">
        <v>384</v>
      </c>
      <c r="N342" s="456">
        <v>12</v>
      </c>
      <c r="O342" s="456">
        <v>4164</v>
      </c>
      <c r="P342" s="478">
        <v>0.54218750000000004</v>
      </c>
      <c r="Q342" s="457">
        <v>347</v>
      </c>
    </row>
    <row r="343" spans="1:17" ht="14.4" customHeight="1" x14ac:dyDescent="0.3">
      <c r="A343" s="452" t="s">
        <v>1193</v>
      </c>
      <c r="B343" s="453" t="s">
        <v>1028</v>
      </c>
      <c r="C343" s="453" t="s">
        <v>1029</v>
      </c>
      <c r="D343" s="453" t="s">
        <v>1050</v>
      </c>
      <c r="E343" s="453" t="s">
        <v>1051</v>
      </c>
      <c r="F343" s="456"/>
      <c r="G343" s="456"/>
      <c r="H343" s="456"/>
      <c r="I343" s="456"/>
      <c r="J343" s="456">
        <v>11</v>
      </c>
      <c r="K343" s="456">
        <v>407</v>
      </c>
      <c r="L343" s="456">
        <v>1</v>
      </c>
      <c r="M343" s="456">
        <v>37</v>
      </c>
      <c r="N343" s="456">
        <v>8</v>
      </c>
      <c r="O343" s="456">
        <v>408</v>
      </c>
      <c r="P343" s="478">
        <v>1.0024570024570025</v>
      </c>
      <c r="Q343" s="457">
        <v>51</v>
      </c>
    </row>
    <row r="344" spans="1:17" ht="14.4" customHeight="1" x14ac:dyDescent="0.3">
      <c r="A344" s="452" t="s">
        <v>1193</v>
      </c>
      <c r="B344" s="453" t="s">
        <v>1028</v>
      </c>
      <c r="C344" s="453" t="s">
        <v>1029</v>
      </c>
      <c r="D344" s="453" t="s">
        <v>1054</v>
      </c>
      <c r="E344" s="453" t="s">
        <v>1055</v>
      </c>
      <c r="F344" s="456">
        <v>9</v>
      </c>
      <c r="G344" s="456">
        <v>4005</v>
      </c>
      <c r="H344" s="456">
        <v>0.24943946188340807</v>
      </c>
      <c r="I344" s="456">
        <v>445</v>
      </c>
      <c r="J344" s="456">
        <v>36</v>
      </c>
      <c r="K344" s="456">
        <v>16056</v>
      </c>
      <c r="L344" s="456">
        <v>1</v>
      </c>
      <c r="M344" s="456">
        <v>446</v>
      </c>
      <c r="N344" s="456">
        <v>128</v>
      </c>
      <c r="O344" s="456">
        <v>48256</v>
      </c>
      <c r="P344" s="478">
        <v>3.0054808171400098</v>
      </c>
      <c r="Q344" s="457">
        <v>377</v>
      </c>
    </row>
    <row r="345" spans="1:17" ht="14.4" customHeight="1" x14ac:dyDescent="0.3">
      <c r="A345" s="452" t="s">
        <v>1193</v>
      </c>
      <c r="B345" s="453" t="s">
        <v>1028</v>
      </c>
      <c r="C345" s="453" t="s">
        <v>1029</v>
      </c>
      <c r="D345" s="453" t="s">
        <v>1056</v>
      </c>
      <c r="E345" s="453" t="s">
        <v>1057</v>
      </c>
      <c r="F345" s="456">
        <v>47</v>
      </c>
      <c r="G345" s="456">
        <v>1927</v>
      </c>
      <c r="H345" s="456">
        <v>3.0587301587301585</v>
      </c>
      <c r="I345" s="456">
        <v>41</v>
      </c>
      <c r="J345" s="456">
        <v>15</v>
      </c>
      <c r="K345" s="456">
        <v>630</v>
      </c>
      <c r="L345" s="456">
        <v>1</v>
      </c>
      <c r="M345" s="456">
        <v>42</v>
      </c>
      <c r="N345" s="456">
        <v>36</v>
      </c>
      <c r="O345" s="456">
        <v>1224</v>
      </c>
      <c r="P345" s="478">
        <v>1.9428571428571428</v>
      </c>
      <c r="Q345" s="457">
        <v>34</v>
      </c>
    </row>
    <row r="346" spans="1:17" ht="14.4" customHeight="1" x14ac:dyDescent="0.3">
      <c r="A346" s="452" t="s">
        <v>1193</v>
      </c>
      <c r="B346" s="453" t="s">
        <v>1028</v>
      </c>
      <c r="C346" s="453" t="s">
        <v>1029</v>
      </c>
      <c r="D346" s="453" t="s">
        <v>1058</v>
      </c>
      <c r="E346" s="453" t="s">
        <v>1059</v>
      </c>
      <c r="F346" s="456">
        <v>90</v>
      </c>
      <c r="G346" s="456">
        <v>44190</v>
      </c>
      <c r="H346" s="456">
        <v>0.431812851782364</v>
      </c>
      <c r="I346" s="456">
        <v>491</v>
      </c>
      <c r="J346" s="456">
        <v>208</v>
      </c>
      <c r="K346" s="456">
        <v>102336</v>
      </c>
      <c r="L346" s="456">
        <v>1</v>
      </c>
      <c r="M346" s="456">
        <v>492</v>
      </c>
      <c r="N346" s="456">
        <v>212</v>
      </c>
      <c r="O346" s="456">
        <v>111088</v>
      </c>
      <c r="P346" s="478">
        <v>1.0855222013758599</v>
      </c>
      <c r="Q346" s="457">
        <v>524</v>
      </c>
    </row>
    <row r="347" spans="1:17" ht="14.4" customHeight="1" x14ac:dyDescent="0.3">
      <c r="A347" s="452" t="s">
        <v>1193</v>
      </c>
      <c r="B347" s="453" t="s">
        <v>1028</v>
      </c>
      <c r="C347" s="453" t="s">
        <v>1029</v>
      </c>
      <c r="D347" s="453" t="s">
        <v>1060</v>
      </c>
      <c r="E347" s="453" t="s">
        <v>1061</v>
      </c>
      <c r="F347" s="456">
        <v>27</v>
      </c>
      <c r="G347" s="456">
        <v>837</v>
      </c>
      <c r="H347" s="456">
        <v>1.0384615384615385</v>
      </c>
      <c r="I347" s="456">
        <v>31</v>
      </c>
      <c r="J347" s="456">
        <v>26</v>
      </c>
      <c r="K347" s="456">
        <v>806</v>
      </c>
      <c r="L347" s="456">
        <v>1</v>
      </c>
      <c r="M347" s="456">
        <v>31</v>
      </c>
      <c r="N347" s="456">
        <v>10</v>
      </c>
      <c r="O347" s="456">
        <v>570</v>
      </c>
      <c r="P347" s="478">
        <v>0.70719602977667495</v>
      </c>
      <c r="Q347" s="457">
        <v>57</v>
      </c>
    </row>
    <row r="348" spans="1:17" ht="14.4" customHeight="1" x14ac:dyDescent="0.3">
      <c r="A348" s="452" t="s">
        <v>1193</v>
      </c>
      <c r="B348" s="453" t="s">
        <v>1028</v>
      </c>
      <c r="C348" s="453" t="s">
        <v>1029</v>
      </c>
      <c r="D348" s="453" t="s">
        <v>1062</v>
      </c>
      <c r="E348" s="453" t="s">
        <v>1063</v>
      </c>
      <c r="F348" s="456">
        <v>132</v>
      </c>
      <c r="G348" s="456">
        <v>27324</v>
      </c>
      <c r="H348" s="456">
        <v>1.1834719334719335</v>
      </c>
      <c r="I348" s="456">
        <v>207</v>
      </c>
      <c r="J348" s="456">
        <v>111</v>
      </c>
      <c r="K348" s="456">
        <v>23088</v>
      </c>
      <c r="L348" s="456">
        <v>1</v>
      </c>
      <c r="M348" s="456">
        <v>208</v>
      </c>
      <c r="N348" s="456">
        <v>177</v>
      </c>
      <c r="O348" s="456">
        <v>39648</v>
      </c>
      <c r="P348" s="478">
        <v>1.7172557172557172</v>
      </c>
      <c r="Q348" s="457">
        <v>224</v>
      </c>
    </row>
    <row r="349" spans="1:17" ht="14.4" customHeight="1" x14ac:dyDescent="0.3">
      <c r="A349" s="452" t="s">
        <v>1193</v>
      </c>
      <c r="B349" s="453" t="s">
        <v>1028</v>
      </c>
      <c r="C349" s="453" t="s">
        <v>1029</v>
      </c>
      <c r="D349" s="453" t="s">
        <v>1064</v>
      </c>
      <c r="E349" s="453" t="s">
        <v>1065</v>
      </c>
      <c r="F349" s="456">
        <v>134</v>
      </c>
      <c r="G349" s="456">
        <v>50920</v>
      </c>
      <c r="H349" s="456">
        <v>1.2165519877675841</v>
      </c>
      <c r="I349" s="456">
        <v>380</v>
      </c>
      <c r="J349" s="456">
        <v>109</v>
      </c>
      <c r="K349" s="456">
        <v>41856</v>
      </c>
      <c r="L349" s="456">
        <v>1</v>
      </c>
      <c r="M349" s="456">
        <v>384</v>
      </c>
      <c r="N349" s="456">
        <v>175</v>
      </c>
      <c r="O349" s="456">
        <v>96775</v>
      </c>
      <c r="P349" s="478">
        <v>2.3120938455657494</v>
      </c>
      <c r="Q349" s="457">
        <v>553</v>
      </c>
    </row>
    <row r="350" spans="1:17" ht="14.4" customHeight="1" x14ac:dyDescent="0.3">
      <c r="A350" s="452" t="s">
        <v>1193</v>
      </c>
      <c r="B350" s="453" t="s">
        <v>1028</v>
      </c>
      <c r="C350" s="453" t="s">
        <v>1029</v>
      </c>
      <c r="D350" s="453" t="s">
        <v>1068</v>
      </c>
      <c r="E350" s="453" t="s">
        <v>1069</v>
      </c>
      <c r="F350" s="456">
        <v>2</v>
      </c>
      <c r="G350" s="456">
        <v>262</v>
      </c>
      <c r="H350" s="456">
        <v>0.21248986212489862</v>
      </c>
      <c r="I350" s="456">
        <v>131</v>
      </c>
      <c r="J350" s="456">
        <v>9</v>
      </c>
      <c r="K350" s="456">
        <v>1233</v>
      </c>
      <c r="L350" s="456">
        <v>1</v>
      </c>
      <c r="M350" s="456">
        <v>137</v>
      </c>
      <c r="N350" s="456"/>
      <c r="O350" s="456"/>
      <c r="P350" s="478"/>
      <c r="Q350" s="457"/>
    </row>
    <row r="351" spans="1:17" ht="14.4" customHeight="1" x14ac:dyDescent="0.3">
      <c r="A351" s="452" t="s">
        <v>1193</v>
      </c>
      <c r="B351" s="453" t="s">
        <v>1028</v>
      </c>
      <c r="C351" s="453" t="s">
        <v>1029</v>
      </c>
      <c r="D351" s="453" t="s">
        <v>1074</v>
      </c>
      <c r="E351" s="453" t="s">
        <v>1075</v>
      </c>
      <c r="F351" s="456">
        <v>303</v>
      </c>
      <c r="G351" s="456">
        <v>4848</v>
      </c>
      <c r="H351" s="456">
        <v>0.80558325024925226</v>
      </c>
      <c r="I351" s="456">
        <v>16</v>
      </c>
      <c r="J351" s="456">
        <v>354</v>
      </c>
      <c r="K351" s="456">
        <v>6018</v>
      </c>
      <c r="L351" s="456">
        <v>1</v>
      </c>
      <c r="M351" s="456">
        <v>17</v>
      </c>
      <c r="N351" s="456">
        <v>409</v>
      </c>
      <c r="O351" s="456">
        <v>6953</v>
      </c>
      <c r="P351" s="478">
        <v>1.155367231638418</v>
      </c>
      <c r="Q351" s="457">
        <v>17</v>
      </c>
    </row>
    <row r="352" spans="1:17" ht="14.4" customHeight="1" x14ac:dyDescent="0.3">
      <c r="A352" s="452" t="s">
        <v>1193</v>
      </c>
      <c r="B352" s="453" t="s">
        <v>1028</v>
      </c>
      <c r="C352" s="453" t="s">
        <v>1029</v>
      </c>
      <c r="D352" s="453" t="s">
        <v>1076</v>
      </c>
      <c r="E352" s="453" t="s">
        <v>1077</v>
      </c>
      <c r="F352" s="456">
        <v>4</v>
      </c>
      <c r="G352" s="456">
        <v>544</v>
      </c>
      <c r="H352" s="456">
        <v>0.23021582733812951</v>
      </c>
      <c r="I352" s="456">
        <v>136</v>
      </c>
      <c r="J352" s="456">
        <v>17</v>
      </c>
      <c r="K352" s="456">
        <v>2363</v>
      </c>
      <c r="L352" s="456">
        <v>1</v>
      </c>
      <c r="M352" s="456">
        <v>139</v>
      </c>
      <c r="N352" s="456">
        <v>8</v>
      </c>
      <c r="O352" s="456">
        <v>1144</v>
      </c>
      <c r="P352" s="478">
        <v>0.48413034278459588</v>
      </c>
      <c r="Q352" s="457">
        <v>143</v>
      </c>
    </row>
    <row r="353" spans="1:17" ht="14.4" customHeight="1" x14ac:dyDescent="0.3">
      <c r="A353" s="452" t="s">
        <v>1193</v>
      </c>
      <c r="B353" s="453" t="s">
        <v>1028</v>
      </c>
      <c r="C353" s="453" t="s">
        <v>1029</v>
      </c>
      <c r="D353" s="453" t="s">
        <v>1078</v>
      </c>
      <c r="E353" s="453" t="s">
        <v>1079</v>
      </c>
      <c r="F353" s="456">
        <v>40</v>
      </c>
      <c r="G353" s="456">
        <v>4120</v>
      </c>
      <c r="H353" s="456">
        <v>1.0526315789473684</v>
      </c>
      <c r="I353" s="456">
        <v>103</v>
      </c>
      <c r="J353" s="456">
        <v>38</v>
      </c>
      <c r="K353" s="456">
        <v>3914</v>
      </c>
      <c r="L353" s="456">
        <v>1</v>
      </c>
      <c r="M353" s="456">
        <v>103</v>
      </c>
      <c r="N353" s="456">
        <v>26</v>
      </c>
      <c r="O353" s="456">
        <v>1690</v>
      </c>
      <c r="P353" s="478">
        <v>0.43178334184977007</v>
      </c>
      <c r="Q353" s="457">
        <v>65</v>
      </c>
    </row>
    <row r="354" spans="1:17" ht="14.4" customHeight="1" x14ac:dyDescent="0.3">
      <c r="A354" s="452" t="s">
        <v>1193</v>
      </c>
      <c r="B354" s="453" t="s">
        <v>1028</v>
      </c>
      <c r="C354" s="453" t="s">
        <v>1029</v>
      </c>
      <c r="D354" s="453" t="s">
        <v>1082</v>
      </c>
      <c r="E354" s="453" t="s">
        <v>1083</v>
      </c>
      <c r="F354" s="456">
        <v>250</v>
      </c>
      <c r="G354" s="456">
        <v>29000</v>
      </c>
      <c r="H354" s="456">
        <v>1.1974069945084438</v>
      </c>
      <c r="I354" s="456">
        <v>116</v>
      </c>
      <c r="J354" s="456">
        <v>207</v>
      </c>
      <c r="K354" s="456">
        <v>24219</v>
      </c>
      <c r="L354" s="456">
        <v>1</v>
      </c>
      <c r="M354" s="456">
        <v>117</v>
      </c>
      <c r="N354" s="456">
        <v>296</v>
      </c>
      <c r="O354" s="456">
        <v>40256</v>
      </c>
      <c r="P354" s="478">
        <v>1.6621660679631693</v>
      </c>
      <c r="Q354" s="457">
        <v>136</v>
      </c>
    </row>
    <row r="355" spans="1:17" ht="14.4" customHeight="1" x14ac:dyDescent="0.3">
      <c r="A355" s="452" t="s">
        <v>1193</v>
      </c>
      <c r="B355" s="453" t="s">
        <v>1028</v>
      </c>
      <c r="C355" s="453" t="s">
        <v>1029</v>
      </c>
      <c r="D355" s="453" t="s">
        <v>1084</v>
      </c>
      <c r="E355" s="453" t="s">
        <v>1085</v>
      </c>
      <c r="F355" s="456">
        <v>84</v>
      </c>
      <c r="G355" s="456">
        <v>7140</v>
      </c>
      <c r="H355" s="456">
        <v>1.705685618729097</v>
      </c>
      <c r="I355" s="456">
        <v>85</v>
      </c>
      <c r="J355" s="456">
        <v>46</v>
      </c>
      <c r="K355" s="456">
        <v>4186</v>
      </c>
      <c r="L355" s="456">
        <v>1</v>
      </c>
      <c r="M355" s="456">
        <v>91</v>
      </c>
      <c r="N355" s="456">
        <v>63</v>
      </c>
      <c r="O355" s="456">
        <v>5733</v>
      </c>
      <c r="P355" s="478">
        <v>1.3695652173913044</v>
      </c>
      <c r="Q355" s="457">
        <v>91</v>
      </c>
    </row>
    <row r="356" spans="1:17" ht="14.4" customHeight="1" x14ac:dyDescent="0.3">
      <c r="A356" s="452" t="s">
        <v>1193</v>
      </c>
      <c r="B356" s="453" t="s">
        <v>1028</v>
      </c>
      <c r="C356" s="453" t="s">
        <v>1029</v>
      </c>
      <c r="D356" s="453" t="s">
        <v>1086</v>
      </c>
      <c r="E356" s="453" t="s">
        <v>1087</v>
      </c>
      <c r="F356" s="456"/>
      <c r="G356" s="456"/>
      <c r="H356" s="456"/>
      <c r="I356" s="456"/>
      <c r="J356" s="456">
        <v>2</v>
      </c>
      <c r="K356" s="456">
        <v>198</v>
      </c>
      <c r="L356" s="456">
        <v>1</v>
      </c>
      <c r="M356" s="456">
        <v>99</v>
      </c>
      <c r="N356" s="456"/>
      <c r="O356" s="456"/>
      <c r="P356" s="478"/>
      <c r="Q356" s="457"/>
    </row>
    <row r="357" spans="1:17" ht="14.4" customHeight="1" x14ac:dyDescent="0.3">
      <c r="A357" s="452" t="s">
        <v>1193</v>
      </c>
      <c r="B357" s="453" t="s">
        <v>1028</v>
      </c>
      <c r="C357" s="453" t="s">
        <v>1029</v>
      </c>
      <c r="D357" s="453" t="s">
        <v>1088</v>
      </c>
      <c r="E357" s="453" t="s">
        <v>1089</v>
      </c>
      <c r="F357" s="456">
        <v>19</v>
      </c>
      <c r="G357" s="456">
        <v>399</v>
      </c>
      <c r="H357" s="456">
        <v>0.95</v>
      </c>
      <c r="I357" s="456">
        <v>21</v>
      </c>
      <c r="J357" s="456">
        <v>20</v>
      </c>
      <c r="K357" s="456">
        <v>420</v>
      </c>
      <c r="L357" s="456">
        <v>1</v>
      </c>
      <c r="M357" s="456">
        <v>21</v>
      </c>
      <c r="N357" s="456">
        <v>31</v>
      </c>
      <c r="O357" s="456">
        <v>2046</v>
      </c>
      <c r="P357" s="478">
        <v>4.871428571428571</v>
      </c>
      <c r="Q357" s="457">
        <v>66</v>
      </c>
    </row>
    <row r="358" spans="1:17" ht="14.4" customHeight="1" x14ac:dyDescent="0.3">
      <c r="A358" s="452" t="s">
        <v>1193</v>
      </c>
      <c r="B358" s="453" t="s">
        <v>1028</v>
      </c>
      <c r="C358" s="453" t="s">
        <v>1029</v>
      </c>
      <c r="D358" s="453" t="s">
        <v>1090</v>
      </c>
      <c r="E358" s="453" t="s">
        <v>1091</v>
      </c>
      <c r="F358" s="456">
        <v>405</v>
      </c>
      <c r="G358" s="456">
        <v>197235</v>
      </c>
      <c r="H358" s="456">
        <v>0.69207205816303619</v>
      </c>
      <c r="I358" s="456">
        <v>487</v>
      </c>
      <c r="J358" s="456">
        <v>584</v>
      </c>
      <c r="K358" s="456">
        <v>284992</v>
      </c>
      <c r="L358" s="456">
        <v>1</v>
      </c>
      <c r="M358" s="456">
        <v>488</v>
      </c>
      <c r="N358" s="456">
        <v>525</v>
      </c>
      <c r="O358" s="456">
        <v>172200</v>
      </c>
      <c r="P358" s="478">
        <v>0.60422748708735685</v>
      </c>
      <c r="Q358" s="457">
        <v>328</v>
      </c>
    </row>
    <row r="359" spans="1:17" ht="14.4" customHeight="1" x14ac:dyDescent="0.3">
      <c r="A359" s="452" t="s">
        <v>1193</v>
      </c>
      <c r="B359" s="453" t="s">
        <v>1028</v>
      </c>
      <c r="C359" s="453" t="s">
        <v>1029</v>
      </c>
      <c r="D359" s="453" t="s">
        <v>1098</v>
      </c>
      <c r="E359" s="453" t="s">
        <v>1099</v>
      </c>
      <c r="F359" s="456">
        <v>51</v>
      </c>
      <c r="G359" s="456">
        <v>2091</v>
      </c>
      <c r="H359" s="456">
        <v>1.3421052631578947</v>
      </c>
      <c r="I359" s="456">
        <v>41</v>
      </c>
      <c r="J359" s="456">
        <v>38</v>
      </c>
      <c r="K359" s="456">
        <v>1558</v>
      </c>
      <c r="L359" s="456">
        <v>1</v>
      </c>
      <c r="M359" s="456">
        <v>41</v>
      </c>
      <c r="N359" s="456">
        <v>53</v>
      </c>
      <c r="O359" s="456">
        <v>2703</v>
      </c>
      <c r="P359" s="478">
        <v>1.7349165596919127</v>
      </c>
      <c r="Q359" s="457">
        <v>51</v>
      </c>
    </row>
    <row r="360" spans="1:17" ht="14.4" customHeight="1" x14ac:dyDescent="0.3">
      <c r="A360" s="452" t="s">
        <v>1193</v>
      </c>
      <c r="B360" s="453" t="s">
        <v>1028</v>
      </c>
      <c r="C360" s="453" t="s">
        <v>1029</v>
      </c>
      <c r="D360" s="453" t="s">
        <v>1106</v>
      </c>
      <c r="E360" s="453" t="s">
        <v>1107</v>
      </c>
      <c r="F360" s="456">
        <v>2</v>
      </c>
      <c r="G360" s="456">
        <v>438</v>
      </c>
      <c r="H360" s="456">
        <v>1.9641255605381165</v>
      </c>
      <c r="I360" s="456">
        <v>219</v>
      </c>
      <c r="J360" s="456">
        <v>1</v>
      </c>
      <c r="K360" s="456">
        <v>223</v>
      </c>
      <c r="L360" s="456">
        <v>1</v>
      </c>
      <c r="M360" s="456">
        <v>223</v>
      </c>
      <c r="N360" s="456">
        <v>2</v>
      </c>
      <c r="O360" s="456">
        <v>414</v>
      </c>
      <c r="P360" s="478">
        <v>1.8565022421524664</v>
      </c>
      <c r="Q360" s="457">
        <v>207</v>
      </c>
    </row>
    <row r="361" spans="1:17" ht="14.4" customHeight="1" x14ac:dyDescent="0.3">
      <c r="A361" s="452" t="s">
        <v>1193</v>
      </c>
      <c r="B361" s="453" t="s">
        <v>1028</v>
      </c>
      <c r="C361" s="453" t="s">
        <v>1029</v>
      </c>
      <c r="D361" s="453" t="s">
        <v>1108</v>
      </c>
      <c r="E361" s="453" t="s">
        <v>1109</v>
      </c>
      <c r="F361" s="456"/>
      <c r="G361" s="456"/>
      <c r="H361" s="456"/>
      <c r="I361" s="456"/>
      <c r="J361" s="456">
        <v>3</v>
      </c>
      <c r="K361" s="456">
        <v>2289</v>
      </c>
      <c r="L361" s="456">
        <v>1</v>
      </c>
      <c r="M361" s="456">
        <v>763</v>
      </c>
      <c r="N361" s="456"/>
      <c r="O361" s="456"/>
      <c r="P361" s="478"/>
      <c r="Q361" s="457"/>
    </row>
    <row r="362" spans="1:17" ht="14.4" customHeight="1" x14ac:dyDescent="0.3">
      <c r="A362" s="452" t="s">
        <v>1193</v>
      </c>
      <c r="B362" s="453" t="s">
        <v>1028</v>
      </c>
      <c r="C362" s="453" t="s">
        <v>1029</v>
      </c>
      <c r="D362" s="453" t="s">
        <v>1110</v>
      </c>
      <c r="E362" s="453" t="s">
        <v>1111</v>
      </c>
      <c r="F362" s="456"/>
      <c r="G362" s="456"/>
      <c r="H362" s="456"/>
      <c r="I362" s="456"/>
      <c r="J362" s="456"/>
      <c r="K362" s="456"/>
      <c r="L362" s="456"/>
      <c r="M362" s="456"/>
      <c r="N362" s="456">
        <v>2</v>
      </c>
      <c r="O362" s="456">
        <v>4232</v>
      </c>
      <c r="P362" s="478"/>
      <c r="Q362" s="457">
        <v>2116</v>
      </c>
    </row>
    <row r="363" spans="1:17" ht="14.4" customHeight="1" x14ac:dyDescent="0.3">
      <c r="A363" s="452" t="s">
        <v>1193</v>
      </c>
      <c r="B363" s="453" t="s">
        <v>1028</v>
      </c>
      <c r="C363" s="453" t="s">
        <v>1029</v>
      </c>
      <c r="D363" s="453" t="s">
        <v>1112</v>
      </c>
      <c r="E363" s="453" t="s">
        <v>1113</v>
      </c>
      <c r="F363" s="456">
        <v>4</v>
      </c>
      <c r="G363" s="456">
        <v>2432</v>
      </c>
      <c r="H363" s="456">
        <v>0.3300760043431053</v>
      </c>
      <c r="I363" s="456">
        <v>608</v>
      </c>
      <c r="J363" s="456">
        <v>12</v>
      </c>
      <c r="K363" s="456">
        <v>7368</v>
      </c>
      <c r="L363" s="456">
        <v>1</v>
      </c>
      <c r="M363" s="456">
        <v>614</v>
      </c>
      <c r="N363" s="456">
        <v>18</v>
      </c>
      <c r="O363" s="456">
        <v>11016</v>
      </c>
      <c r="P363" s="478">
        <v>1.495114006514658</v>
      </c>
      <c r="Q363" s="457">
        <v>612</v>
      </c>
    </row>
    <row r="364" spans="1:17" ht="14.4" customHeight="1" x14ac:dyDescent="0.3">
      <c r="A364" s="452" t="s">
        <v>1193</v>
      </c>
      <c r="B364" s="453" t="s">
        <v>1028</v>
      </c>
      <c r="C364" s="453" t="s">
        <v>1029</v>
      </c>
      <c r="D364" s="453" t="s">
        <v>1114</v>
      </c>
      <c r="E364" s="453" t="s">
        <v>1115</v>
      </c>
      <c r="F364" s="456">
        <v>1</v>
      </c>
      <c r="G364" s="456">
        <v>962</v>
      </c>
      <c r="H364" s="456">
        <v>0.99896157840083077</v>
      </c>
      <c r="I364" s="456">
        <v>962</v>
      </c>
      <c r="J364" s="456">
        <v>1</v>
      </c>
      <c r="K364" s="456">
        <v>963</v>
      </c>
      <c r="L364" s="456">
        <v>1</v>
      </c>
      <c r="M364" s="456">
        <v>963</v>
      </c>
      <c r="N364" s="456"/>
      <c r="O364" s="456"/>
      <c r="P364" s="478"/>
      <c r="Q364" s="457"/>
    </row>
    <row r="365" spans="1:17" ht="14.4" customHeight="1" x14ac:dyDescent="0.3">
      <c r="A365" s="452" t="s">
        <v>1193</v>
      </c>
      <c r="B365" s="453" t="s">
        <v>1028</v>
      </c>
      <c r="C365" s="453" t="s">
        <v>1029</v>
      </c>
      <c r="D365" s="453" t="s">
        <v>1116</v>
      </c>
      <c r="E365" s="453" t="s">
        <v>1117</v>
      </c>
      <c r="F365" s="456">
        <v>2</v>
      </c>
      <c r="G365" s="456">
        <v>1018</v>
      </c>
      <c r="H365" s="456"/>
      <c r="I365" s="456">
        <v>509</v>
      </c>
      <c r="J365" s="456"/>
      <c r="K365" s="456"/>
      <c r="L365" s="456"/>
      <c r="M365" s="456"/>
      <c r="N365" s="456"/>
      <c r="O365" s="456"/>
      <c r="P365" s="478"/>
      <c r="Q365" s="457"/>
    </row>
    <row r="366" spans="1:17" ht="14.4" customHeight="1" x14ac:dyDescent="0.3">
      <c r="A366" s="452" t="s">
        <v>1193</v>
      </c>
      <c r="B366" s="453" t="s">
        <v>1028</v>
      </c>
      <c r="C366" s="453" t="s">
        <v>1029</v>
      </c>
      <c r="D366" s="453" t="s">
        <v>1130</v>
      </c>
      <c r="E366" s="453" t="s">
        <v>1131</v>
      </c>
      <c r="F366" s="456">
        <v>2</v>
      </c>
      <c r="G366" s="456">
        <v>304</v>
      </c>
      <c r="H366" s="456"/>
      <c r="I366" s="456">
        <v>152</v>
      </c>
      <c r="J366" s="456"/>
      <c r="K366" s="456"/>
      <c r="L366" s="456"/>
      <c r="M366" s="456"/>
      <c r="N366" s="456"/>
      <c r="O366" s="456"/>
      <c r="P366" s="478"/>
      <c r="Q366" s="457"/>
    </row>
    <row r="367" spans="1:17" ht="14.4" customHeight="1" x14ac:dyDescent="0.3">
      <c r="A367" s="452" t="s">
        <v>1193</v>
      </c>
      <c r="B367" s="453" t="s">
        <v>1028</v>
      </c>
      <c r="C367" s="453" t="s">
        <v>1029</v>
      </c>
      <c r="D367" s="453" t="s">
        <v>1132</v>
      </c>
      <c r="E367" s="453" t="s">
        <v>1133</v>
      </c>
      <c r="F367" s="456"/>
      <c r="G367" s="456"/>
      <c r="H367" s="456"/>
      <c r="I367" s="456"/>
      <c r="J367" s="456"/>
      <c r="K367" s="456"/>
      <c r="L367" s="456"/>
      <c r="M367" s="456"/>
      <c r="N367" s="456">
        <v>1</v>
      </c>
      <c r="O367" s="456">
        <v>47</v>
      </c>
      <c r="P367" s="478"/>
      <c r="Q367" s="457">
        <v>47</v>
      </c>
    </row>
    <row r="368" spans="1:17" ht="14.4" customHeight="1" x14ac:dyDescent="0.3">
      <c r="A368" s="452" t="s">
        <v>1193</v>
      </c>
      <c r="B368" s="453" t="s">
        <v>1028</v>
      </c>
      <c r="C368" s="453" t="s">
        <v>1029</v>
      </c>
      <c r="D368" s="453" t="s">
        <v>1136</v>
      </c>
      <c r="E368" s="453" t="s">
        <v>1137</v>
      </c>
      <c r="F368" s="456">
        <v>1</v>
      </c>
      <c r="G368" s="456">
        <v>328</v>
      </c>
      <c r="H368" s="456">
        <v>0.49848024316109424</v>
      </c>
      <c r="I368" s="456">
        <v>328</v>
      </c>
      <c r="J368" s="456">
        <v>2</v>
      </c>
      <c r="K368" s="456">
        <v>658</v>
      </c>
      <c r="L368" s="456">
        <v>1</v>
      </c>
      <c r="M368" s="456">
        <v>329</v>
      </c>
      <c r="N368" s="456">
        <v>6</v>
      </c>
      <c r="O368" s="456">
        <v>2262</v>
      </c>
      <c r="P368" s="478">
        <v>3.4376899696048633</v>
      </c>
      <c r="Q368" s="457">
        <v>377</v>
      </c>
    </row>
    <row r="369" spans="1:17" ht="14.4" customHeight="1" x14ac:dyDescent="0.3">
      <c r="A369" s="452" t="s">
        <v>1193</v>
      </c>
      <c r="B369" s="453" t="s">
        <v>1028</v>
      </c>
      <c r="C369" s="453" t="s">
        <v>1029</v>
      </c>
      <c r="D369" s="453" t="s">
        <v>1138</v>
      </c>
      <c r="E369" s="453" t="s">
        <v>1139</v>
      </c>
      <c r="F369" s="456">
        <v>1</v>
      </c>
      <c r="G369" s="456">
        <v>29</v>
      </c>
      <c r="H369" s="456"/>
      <c r="I369" s="456">
        <v>29</v>
      </c>
      <c r="J369" s="456"/>
      <c r="K369" s="456"/>
      <c r="L369" s="456"/>
      <c r="M369" s="456"/>
      <c r="N369" s="456"/>
      <c r="O369" s="456"/>
      <c r="P369" s="478"/>
      <c r="Q369" s="457"/>
    </row>
    <row r="370" spans="1:17" ht="14.4" customHeight="1" x14ac:dyDescent="0.3">
      <c r="A370" s="452" t="s">
        <v>1193</v>
      </c>
      <c r="B370" s="453" t="s">
        <v>1028</v>
      </c>
      <c r="C370" s="453" t="s">
        <v>1029</v>
      </c>
      <c r="D370" s="453" t="s">
        <v>1144</v>
      </c>
      <c r="E370" s="453"/>
      <c r="F370" s="456"/>
      <c r="G370" s="456"/>
      <c r="H370" s="456"/>
      <c r="I370" s="456"/>
      <c r="J370" s="456"/>
      <c r="K370" s="456"/>
      <c r="L370" s="456"/>
      <c r="M370" s="456"/>
      <c r="N370" s="456">
        <v>251</v>
      </c>
      <c r="O370" s="456">
        <v>374743</v>
      </c>
      <c r="P370" s="478"/>
      <c r="Q370" s="457">
        <v>1493</v>
      </c>
    </row>
    <row r="371" spans="1:17" ht="14.4" customHeight="1" x14ac:dyDescent="0.3">
      <c r="A371" s="452" t="s">
        <v>1193</v>
      </c>
      <c r="B371" s="453" t="s">
        <v>1028</v>
      </c>
      <c r="C371" s="453" t="s">
        <v>1029</v>
      </c>
      <c r="D371" s="453" t="s">
        <v>1145</v>
      </c>
      <c r="E371" s="453"/>
      <c r="F371" s="456"/>
      <c r="G371" s="456"/>
      <c r="H371" s="456"/>
      <c r="I371" s="456"/>
      <c r="J371" s="456"/>
      <c r="K371" s="456"/>
      <c r="L371" s="456"/>
      <c r="M371" s="456"/>
      <c r="N371" s="456">
        <v>103</v>
      </c>
      <c r="O371" s="456">
        <v>33681</v>
      </c>
      <c r="P371" s="478"/>
      <c r="Q371" s="457">
        <v>327</v>
      </c>
    </row>
    <row r="372" spans="1:17" ht="14.4" customHeight="1" x14ac:dyDescent="0.3">
      <c r="A372" s="452" t="s">
        <v>1193</v>
      </c>
      <c r="B372" s="453" t="s">
        <v>1028</v>
      </c>
      <c r="C372" s="453" t="s">
        <v>1029</v>
      </c>
      <c r="D372" s="453" t="s">
        <v>1146</v>
      </c>
      <c r="E372" s="453"/>
      <c r="F372" s="456"/>
      <c r="G372" s="456"/>
      <c r="H372" s="456"/>
      <c r="I372" s="456"/>
      <c r="J372" s="456"/>
      <c r="K372" s="456"/>
      <c r="L372" s="456"/>
      <c r="M372" s="456"/>
      <c r="N372" s="456">
        <v>68</v>
      </c>
      <c r="O372" s="456">
        <v>60316</v>
      </c>
      <c r="P372" s="478"/>
      <c r="Q372" s="457">
        <v>887</v>
      </c>
    </row>
    <row r="373" spans="1:17" ht="14.4" customHeight="1" x14ac:dyDescent="0.3">
      <c r="A373" s="452" t="s">
        <v>1194</v>
      </c>
      <c r="B373" s="453" t="s">
        <v>1028</v>
      </c>
      <c r="C373" s="453" t="s">
        <v>1029</v>
      </c>
      <c r="D373" s="453" t="s">
        <v>1030</v>
      </c>
      <c r="E373" s="453" t="s">
        <v>1031</v>
      </c>
      <c r="F373" s="456">
        <v>176</v>
      </c>
      <c r="G373" s="456">
        <v>28336</v>
      </c>
      <c r="H373" s="456">
        <v>0.77996146435452796</v>
      </c>
      <c r="I373" s="456">
        <v>161</v>
      </c>
      <c r="J373" s="456">
        <v>210</v>
      </c>
      <c r="K373" s="456">
        <v>36330</v>
      </c>
      <c r="L373" s="456">
        <v>1</v>
      </c>
      <c r="M373" s="456">
        <v>173</v>
      </c>
      <c r="N373" s="456">
        <v>247</v>
      </c>
      <c r="O373" s="456">
        <v>42731</v>
      </c>
      <c r="P373" s="478">
        <v>1.1761904761904762</v>
      </c>
      <c r="Q373" s="457">
        <v>173</v>
      </c>
    </row>
    <row r="374" spans="1:17" ht="14.4" customHeight="1" x14ac:dyDescent="0.3">
      <c r="A374" s="452" t="s">
        <v>1194</v>
      </c>
      <c r="B374" s="453" t="s">
        <v>1028</v>
      </c>
      <c r="C374" s="453" t="s">
        <v>1029</v>
      </c>
      <c r="D374" s="453" t="s">
        <v>1044</v>
      </c>
      <c r="E374" s="453" t="s">
        <v>1045</v>
      </c>
      <c r="F374" s="456">
        <v>1</v>
      </c>
      <c r="G374" s="456">
        <v>1169</v>
      </c>
      <c r="H374" s="456">
        <v>0.49829497016197782</v>
      </c>
      <c r="I374" s="456">
        <v>1169</v>
      </c>
      <c r="J374" s="456">
        <v>2</v>
      </c>
      <c r="K374" s="456">
        <v>2346</v>
      </c>
      <c r="L374" s="456">
        <v>1</v>
      </c>
      <c r="M374" s="456">
        <v>1173</v>
      </c>
      <c r="N374" s="456">
        <v>4</v>
      </c>
      <c r="O374" s="456">
        <v>4280</v>
      </c>
      <c r="P374" s="478">
        <v>1.8243819266837169</v>
      </c>
      <c r="Q374" s="457">
        <v>1070</v>
      </c>
    </row>
    <row r="375" spans="1:17" ht="14.4" customHeight="1" x14ac:dyDescent="0.3">
      <c r="A375" s="452" t="s">
        <v>1194</v>
      </c>
      <c r="B375" s="453" t="s">
        <v>1028</v>
      </c>
      <c r="C375" s="453" t="s">
        <v>1029</v>
      </c>
      <c r="D375" s="453" t="s">
        <v>1046</v>
      </c>
      <c r="E375" s="453" t="s">
        <v>1047</v>
      </c>
      <c r="F375" s="456">
        <v>27</v>
      </c>
      <c r="G375" s="456">
        <v>1080</v>
      </c>
      <c r="H375" s="456">
        <v>0.41811846689895471</v>
      </c>
      <c r="I375" s="456">
        <v>40</v>
      </c>
      <c r="J375" s="456">
        <v>63</v>
      </c>
      <c r="K375" s="456">
        <v>2583</v>
      </c>
      <c r="L375" s="456">
        <v>1</v>
      </c>
      <c r="M375" s="456">
        <v>41</v>
      </c>
      <c r="N375" s="456">
        <v>47</v>
      </c>
      <c r="O375" s="456">
        <v>2162</v>
      </c>
      <c r="P375" s="478">
        <v>0.83701122725512966</v>
      </c>
      <c r="Q375" s="457">
        <v>46</v>
      </c>
    </row>
    <row r="376" spans="1:17" ht="14.4" customHeight="1" x14ac:dyDescent="0.3">
      <c r="A376" s="452" t="s">
        <v>1194</v>
      </c>
      <c r="B376" s="453" t="s">
        <v>1028</v>
      </c>
      <c r="C376" s="453" t="s">
        <v>1029</v>
      </c>
      <c r="D376" s="453" t="s">
        <v>1048</v>
      </c>
      <c r="E376" s="453" t="s">
        <v>1049</v>
      </c>
      <c r="F376" s="456">
        <v>15</v>
      </c>
      <c r="G376" s="456">
        <v>5745</v>
      </c>
      <c r="H376" s="456">
        <v>0.62337239583333337</v>
      </c>
      <c r="I376" s="456">
        <v>383</v>
      </c>
      <c r="J376" s="456">
        <v>24</v>
      </c>
      <c r="K376" s="456">
        <v>9216</v>
      </c>
      <c r="L376" s="456">
        <v>1</v>
      </c>
      <c r="M376" s="456">
        <v>384</v>
      </c>
      <c r="N376" s="456">
        <v>6</v>
      </c>
      <c r="O376" s="456">
        <v>2082</v>
      </c>
      <c r="P376" s="478">
        <v>0.22591145833333334</v>
      </c>
      <c r="Q376" s="457">
        <v>347</v>
      </c>
    </row>
    <row r="377" spans="1:17" ht="14.4" customHeight="1" x14ac:dyDescent="0.3">
      <c r="A377" s="452" t="s">
        <v>1194</v>
      </c>
      <c r="B377" s="453" t="s">
        <v>1028</v>
      </c>
      <c r="C377" s="453" t="s">
        <v>1029</v>
      </c>
      <c r="D377" s="453" t="s">
        <v>1050</v>
      </c>
      <c r="E377" s="453" t="s">
        <v>1051</v>
      </c>
      <c r="F377" s="456">
        <v>21</v>
      </c>
      <c r="G377" s="456">
        <v>777</v>
      </c>
      <c r="H377" s="456">
        <v>0.34426229508196721</v>
      </c>
      <c r="I377" s="456">
        <v>37</v>
      </c>
      <c r="J377" s="456">
        <v>61</v>
      </c>
      <c r="K377" s="456">
        <v>2257</v>
      </c>
      <c r="L377" s="456">
        <v>1</v>
      </c>
      <c r="M377" s="456">
        <v>37</v>
      </c>
      <c r="N377" s="456">
        <v>10</v>
      </c>
      <c r="O377" s="456">
        <v>510</v>
      </c>
      <c r="P377" s="478">
        <v>0.2259636685866194</v>
      </c>
      <c r="Q377" s="457">
        <v>51</v>
      </c>
    </row>
    <row r="378" spans="1:17" ht="14.4" customHeight="1" x14ac:dyDescent="0.3">
      <c r="A378" s="452" t="s">
        <v>1194</v>
      </c>
      <c r="B378" s="453" t="s">
        <v>1028</v>
      </c>
      <c r="C378" s="453" t="s">
        <v>1029</v>
      </c>
      <c r="D378" s="453" t="s">
        <v>1054</v>
      </c>
      <c r="E378" s="453" t="s">
        <v>1055</v>
      </c>
      <c r="F378" s="456">
        <v>147</v>
      </c>
      <c r="G378" s="456">
        <v>65415</v>
      </c>
      <c r="H378" s="456">
        <v>0.6666836526701998</v>
      </c>
      <c r="I378" s="456">
        <v>445</v>
      </c>
      <c r="J378" s="456">
        <v>220</v>
      </c>
      <c r="K378" s="456">
        <v>98120</v>
      </c>
      <c r="L378" s="456">
        <v>1</v>
      </c>
      <c r="M378" s="456">
        <v>446</v>
      </c>
      <c r="N378" s="456">
        <v>493</v>
      </c>
      <c r="O378" s="456">
        <v>185861</v>
      </c>
      <c r="P378" s="478">
        <v>1.8942213615980432</v>
      </c>
      <c r="Q378" s="457">
        <v>377</v>
      </c>
    </row>
    <row r="379" spans="1:17" ht="14.4" customHeight="1" x14ac:dyDescent="0.3">
      <c r="A379" s="452" t="s">
        <v>1194</v>
      </c>
      <c r="B379" s="453" t="s">
        <v>1028</v>
      </c>
      <c r="C379" s="453" t="s">
        <v>1029</v>
      </c>
      <c r="D379" s="453" t="s">
        <v>1056</v>
      </c>
      <c r="E379" s="453" t="s">
        <v>1057</v>
      </c>
      <c r="F379" s="456">
        <v>1</v>
      </c>
      <c r="G379" s="456">
        <v>41</v>
      </c>
      <c r="H379" s="456">
        <v>0.48809523809523808</v>
      </c>
      <c r="I379" s="456">
        <v>41</v>
      </c>
      <c r="J379" s="456">
        <v>2</v>
      </c>
      <c r="K379" s="456">
        <v>84</v>
      </c>
      <c r="L379" s="456">
        <v>1</v>
      </c>
      <c r="M379" s="456">
        <v>42</v>
      </c>
      <c r="N379" s="456">
        <v>4</v>
      </c>
      <c r="O379" s="456">
        <v>136</v>
      </c>
      <c r="P379" s="478">
        <v>1.6190476190476191</v>
      </c>
      <c r="Q379" s="457">
        <v>34</v>
      </c>
    </row>
    <row r="380" spans="1:17" ht="14.4" customHeight="1" x14ac:dyDescent="0.3">
      <c r="A380" s="452" t="s">
        <v>1194</v>
      </c>
      <c r="B380" s="453" t="s">
        <v>1028</v>
      </c>
      <c r="C380" s="453" t="s">
        <v>1029</v>
      </c>
      <c r="D380" s="453" t="s">
        <v>1058</v>
      </c>
      <c r="E380" s="453" t="s">
        <v>1059</v>
      </c>
      <c r="F380" s="456">
        <v>4</v>
      </c>
      <c r="G380" s="456">
        <v>1964</v>
      </c>
      <c r="H380" s="456">
        <v>3.9918699186991868</v>
      </c>
      <c r="I380" s="456">
        <v>491</v>
      </c>
      <c r="J380" s="456">
        <v>1</v>
      </c>
      <c r="K380" s="456">
        <v>492</v>
      </c>
      <c r="L380" s="456">
        <v>1</v>
      </c>
      <c r="M380" s="456">
        <v>492</v>
      </c>
      <c r="N380" s="456"/>
      <c r="O380" s="456"/>
      <c r="P380" s="478"/>
      <c r="Q380" s="457"/>
    </row>
    <row r="381" spans="1:17" ht="14.4" customHeight="1" x14ac:dyDescent="0.3">
      <c r="A381" s="452" t="s">
        <v>1194</v>
      </c>
      <c r="B381" s="453" t="s">
        <v>1028</v>
      </c>
      <c r="C381" s="453" t="s">
        <v>1029</v>
      </c>
      <c r="D381" s="453" t="s">
        <v>1060</v>
      </c>
      <c r="E381" s="453" t="s">
        <v>1061</v>
      </c>
      <c r="F381" s="456">
        <v>3</v>
      </c>
      <c r="G381" s="456">
        <v>93</v>
      </c>
      <c r="H381" s="456"/>
      <c r="I381" s="456">
        <v>31</v>
      </c>
      <c r="J381" s="456"/>
      <c r="K381" s="456"/>
      <c r="L381" s="456"/>
      <c r="M381" s="456"/>
      <c r="N381" s="456"/>
      <c r="O381" s="456"/>
      <c r="P381" s="478"/>
      <c r="Q381" s="457"/>
    </row>
    <row r="382" spans="1:17" ht="14.4" customHeight="1" x14ac:dyDescent="0.3">
      <c r="A382" s="452" t="s">
        <v>1194</v>
      </c>
      <c r="B382" s="453" t="s">
        <v>1028</v>
      </c>
      <c r="C382" s="453" t="s">
        <v>1029</v>
      </c>
      <c r="D382" s="453" t="s">
        <v>1062</v>
      </c>
      <c r="E382" s="453" t="s">
        <v>1063</v>
      </c>
      <c r="F382" s="456"/>
      <c r="G382" s="456"/>
      <c r="H382" s="456"/>
      <c r="I382" s="456"/>
      <c r="J382" s="456"/>
      <c r="K382" s="456"/>
      <c r="L382" s="456"/>
      <c r="M382" s="456"/>
      <c r="N382" s="456">
        <v>1</v>
      </c>
      <c r="O382" s="456">
        <v>224</v>
      </c>
      <c r="P382" s="478"/>
      <c r="Q382" s="457">
        <v>224</v>
      </c>
    </row>
    <row r="383" spans="1:17" ht="14.4" customHeight="1" x14ac:dyDescent="0.3">
      <c r="A383" s="452" t="s">
        <v>1194</v>
      </c>
      <c r="B383" s="453" t="s">
        <v>1028</v>
      </c>
      <c r="C383" s="453" t="s">
        <v>1029</v>
      </c>
      <c r="D383" s="453" t="s">
        <v>1064</v>
      </c>
      <c r="E383" s="453" t="s">
        <v>1065</v>
      </c>
      <c r="F383" s="456"/>
      <c r="G383" s="456"/>
      <c r="H383" s="456"/>
      <c r="I383" s="456"/>
      <c r="J383" s="456"/>
      <c r="K383" s="456"/>
      <c r="L383" s="456"/>
      <c r="M383" s="456"/>
      <c r="N383" s="456">
        <v>1</v>
      </c>
      <c r="O383" s="456">
        <v>553</v>
      </c>
      <c r="P383" s="478"/>
      <c r="Q383" s="457">
        <v>553</v>
      </c>
    </row>
    <row r="384" spans="1:17" ht="14.4" customHeight="1" x14ac:dyDescent="0.3">
      <c r="A384" s="452" t="s">
        <v>1194</v>
      </c>
      <c r="B384" s="453" t="s">
        <v>1028</v>
      </c>
      <c r="C384" s="453" t="s">
        <v>1029</v>
      </c>
      <c r="D384" s="453" t="s">
        <v>1074</v>
      </c>
      <c r="E384" s="453" t="s">
        <v>1075</v>
      </c>
      <c r="F384" s="456">
        <v>448</v>
      </c>
      <c r="G384" s="456">
        <v>7168</v>
      </c>
      <c r="H384" s="456">
        <v>0.65169560869169929</v>
      </c>
      <c r="I384" s="456">
        <v>16</v>
      </c>
      <c r="J384" s="456">
        <v>647</v>
      </c>
      <c r="K384" s="456">
        <v>10999</v>
      </c>
      <c r="L384" s="456">
        <v>1</v>
      </c>
      <c r="M384" s="456">
        <v>17</v>
      </c>
      <c r="N384" s="456">
        <v>601</v>
      </c>
      <c r="O384" s="456">
        <v>10217</v>
      </c>
      <c r="P384" s="478">
        <v>0.92890262751159192</v>
      </c>
      <c r="Q384" s="457">
        <v>17</v>
      </c>
    </row>
    <row r="385" spans="1:17" ht="14.4" customHeight="1" x14ac:dyDescent="0.3">
      <c r="A385" s="452" t="s">
        <v>1194</v>
      </c>
      <c r="B385" s="453" t="s">
        <v>1028</v>
      </c>
      <c r="C385" s="453" t="s">
        <v>1029</v>
      </c>
      <c r="D385" s="453" t="s">
        <v>1078</v>
      </c>
      <c r="E385" s="453" t="s">
        <v>1079</v>
      </c>
      <c r="F385" s="456">
        <v>3</v>
      </c>
      <c r="G385" s="456">
        <v>309</v>
      </c>
      <c r="H385" s="456">
        <v>1</v>
      </c>
      <c r="I385" s="456">
        <v>103</v>
      </c>
      <c r="J385" s="456">
        <v>3</v>
      </c>
      <c r="K385" s="456">
        <v>309</v>
      </c>
      <c r="L385" s="456">
        <v>1</v>
      </c>
      <c r="M385" s="456">
        <v>103</v>
      </c>
      <c r="N385" s="456">
        <v>1</v>
      </c>
      <c r="O385" s="456">
        <v>65</v>
      </c>
      <c r="P385" s="478">
        <v>0.21035598705501618</v>
      </c>
      <c r="Q385" s="457">
        <v>65</v>
      </c>
    </row>
    <row r="386" spans="1:17" ht="14.4" customHeight="1" x14ac:dyDescent="0.3">
      <c r="A386" s="452" t="s">
        <v>1194</v>
      </c>
      <c r="B386" s="453" t="s">
        <v>1028</v>
      </c>
      <c r="C386" s="453" t="s">
        <v>1029</v>
      </c>
      <c r="D386" s="453" t="s">
        <v>1082</v>
      </c>
      <c r="E386" s="453" t="s">
        <v>1083</v>
      </c>
      <c r="F386" s="456">
        <v>130</v>
      </c>
      <c r="G386" s="456">
        <v>15080</v>
      </c>
      <c r="H386" s="456">
        <v>0.77643908969210174</v>
      </c>
      <c r="I386" s="456">
        <v>116</v>
      </c>
      <c r="J386" s="456">
        <v>166</v>
      </c>
      <c r="K386" s="456">
        <v>19422</v>
      </c>
      <c r="L386" s="456">
        <v>1</v>
      </c>
      <c r="M386" s="456">
        <v>117</v>
      </c>
      <c r="N386" s="456">
        <v>170</v>
      </c>
      <c r="O386" s="456">
        <v>23120</v>
      </c>
      <c r="P386" s="478">
        <v>1.1904026361857687</v>
      </c>
      <c r="Q386" s="457">
        <v>136</v>
      </c>
    </row>
    <row r="387" spans="1:17" ht="14.4" customHeight="1" x14ac:dyDescent="0.3">
      <c r="A387" s="452" t="s">
        <v>1194</v>
      </c>
      <c r="B387" s="453" t="s">
        <v>1028</v>
      </c>
      <c r="C387" s="453" t="s">
        <v>1029</v>
      </c>
      <c r="D387" s="453" t="s">
        <v>1084</v>
      </c>
      <c r="E387" s="453" t="s">
        <v>1085</v>
      </c>
      <c r="F387" s="456">
        <v>45</v>
      </c>
      <c r="G387" s="456">
        <v>3825</v>
      </c>
      <c r="H387" s="456">
        <v>0.76423576423576423</v>
      </c>
      <c r="I387" s="456">
        <v>85</v>
      </c>
      <c r="J387" s="456">
        <v>55</v>
      </c>
      <c r="K387" s="456">
        <v>5005</v>
      </c>
      <c r="L387" s="456">
        <v>1</v>
      </c>
      <c r="M387" s="456">
        <v>91</v>
      </c>
      <c r="N387" s="456">
        <v>50</v>
      </c>
      <c r="O387" s="456">
        <v>4550</v>
      </c>
      <c r="P387" s="478">
        <v>0.90909090909090906</v>
      </c>
      <c r="Q387" s="457">
        <v>91</v>
      </c>
    </row>
    <row r="388" spans="1:17" ht="14.4" customHeight="1" x14ac:dyDescent="0.3">
      <c r="A388" s="452" t="s">
        <v>1194</v>
      </c>
      <c r="B388" s="453" t="s">
        <v>1028</v>
      </c>
      <c r="C388" s="453" t="s">
        <v>1029</v>
      </c>
      <c r="D388" s="453" t="s">
        <v>1086</v>
      </c>
      <c r="E388" s="453" t="s">
        <v>1087</v>
      </c>
      <c r="F388" s="456"/>
      <c r="G388" s="456"/>
      <c r="H388" s="456"/>
      <c r="I388" s="456"/>
      <c r="J388" s="456"/>
      <c r="K388" s="456"/>
      <c r="L388" s="456"/>
      <c r="M388" s="456"/>
      <c r="N388" s="456">
        <v>4</v>
      </c>
      <c r="O388" s="456">
        <v>548</v>
      </c>
      <c r="P388" s="478"/>
      <c r="Q388" s="457">
        <v>137</v>
      </c>
    </row>
    <row r="389" spans="1:17" ht="14.4" customHeight="1" x14ac:dyDescent="0.3">
      <c r="A389" s="452" t="s">
        <v>1194</v>
      </c>
      <c r="B389" s="453" t="s">
        <v>1028</v>
      </c>
      <c r="C389" s="453" t="s">
        <v>1029</v>
      </c>
      <c r="D389" s="453" t="s">
        <v>1088</v>
      </c>
      <c r="E389" s="453" t="s">
        <v>1089</v>
      </c>
      <c r="F389" s="456">
        <v>3</v>
      </c>
      <c r="G389" s="456">
        <v>63</v>
      </c>
      <c r="H389" s="456">
        <v>1.5</v>
      </c>
      <c r="I389" s="456">
        <v>21</v>
      </c>
      <c r="J389" s="456">
        <v>2</v>
      </c>
      <c r="K389" s="456">
        <v>42</v>
      </c>
      <c r="L389" s="456">
        <v>1</v>
      </c>
      <c r="M389" s="456">
        <v>21</v>
      </c>
      <c r="N389" s="456">
        <v>33</v>
      </c>
      <c r="O389" s="456">
        <v>2178</v>
      </c>
      <c r="P389" s="478">
        <v>51.857142857142854</v>
      </c>
      <c r="Q389" s="457">
        <v>66</v>
      </c>
    </row>
    <row r="390" spans="1:17" ht="14.4" customHeight="1" x14ac:dyDescent="0.3">
      <c r="A390" s="452" t="s">
        <v>1194</v>
      </c>
      <c r="B390" s="453" t="s">
        <v>1028</v>
      </c>
      <c r="C390" s="453" t="s">
        <v>1029</v>
      </c>
      <c r="D390" s="453" t="s">
        <v>1090</v>
      </c>
      <c r="E390" s="453" t="s">
        <v>1091</v>
      </c>
      <c r="F390" s="456">
        <v>1364</v>
      </c>
      <c r="G390" s="456">
        <v>664268</v>
      </c>
      <c r="H390" s="456">
        <v>0.74627462611446649</v>
      </c>
      <c r="I390" s="456">
        <v>487</v>
      </c>
      <c r="J390" s="456">
        <v>1824</v>
      </c>
      <c r="K390" s="456">
        <v>890112</v>
      </c>
      <c r="L390" s="456">
        <v>1</v>
      </c>
      <c r="M390" s="456">
        <v>488</v>
      </c>
      <c r="N390" s="456">
        <v>1612</v>
      </c>
      <c r="O390" s="456">
        <v>528736</v>
      </c>
      <c r="P390" s="478">
        <v>0.59401064135749204</v>
      </c>
      <c r="Q390" s="457">
        <v>328</v>
      </c>
    </row>
    <row r="391" spans="1:17" ht="14.4" customHeight="1" x14ac:dyDescent="0.3">
      <c r="A391" s="452" t="s">
        <v>1194</v>
      </c>
      <c r="B391" s="453" t="s">
        <v>1028</v>
      </c>
      <c r="C391" s="453" t="s">
        <v>1029</v>
      </c>
      <c r="D391" s="453" t="s">
        <v>1098</v>
      </c>
      <c r="E391" s="453" t="s">
        <v>1099</v>
      </c>
      <c r="F391" s="456">
        <v>12</v>
      </c>
      <c r="G391" s="456">
        <v>492</v>
      </c>
      <c r="H391" s="456">
        <v>0.75</v>
      </c>
      <c r="I391" s="456">
        <v>41</v>
      </c>
      <c r="J391" s="456">
        <v>16</v>
      </c>
      <c r="K391" s="456">
        <v>656</v>
      </c>
      <c r="L391" s="456">
        <v>1</v>
      </c>
      <c r="M391" s="456">
        <v>41</v>
      </c>
      <c r="N391" s="456">
        <v>15</v>
      </c>
      <c r="O391" s="456">
        <v>765</v>
      </c>
      <c r="P391" s="478">
        <v>1.1661585365853659</v>
      </c>
      <c r="Q391" s="457">
        <v>51</v>
      </c>
    </row>
    <row r="392" spans="1:17" ht="14.4" customHeight="1" x14ac:dyDescent="0.3">
      <c r="A392" s="452" t="s">
        <v>1194</v>
      </c>
      <c r="B392" s="453" t="s">
        <v>1028</v>
      </c>
      <c r="C392" s="453" t="s">
        <v>1029</v>
      </c>
      <c r="D392" s="453" t="s">
        <v>1106</v>
      </c>
      <c r="E392" s="453" t="s">
        <v>1107</v>
      </c>
      <c r="F392" s="456">
        <v>1</v>
      </c>
      <c r="G392" s="456">
        <v>219</v>
      </c>
      <c r="H392" s="456"/>
      <c r="I392" s="456">
        <v>219</v>
      </c>
      <c r="J392" s="456"/>
      <c r="K392" s="456"/>
      <c r="L392" s="456"/>
      <c r="M392" s="456"/>
      <c r="N392" s="456"/>
      <c r="O392" s="456"/>
      <c r="P392" s="478"/>
      <c r="Q392" s="457"/>
    </row>
    <row r="393" spans="1:17" ht="14.4" customHeight="1" x14ac:dyDescent="0.3">
      <c r="A393" s="452" t="s">
        <v>1194</v>
      </c>
      <c r="B393" s="453" t="s">
        <v>1028</v>
      </c>
      <c r="C393" s="453" t="s">
        <v>1029</v>
      </c>
      <c r="D393" s="453" t="s">
        <v>1108</v>
      </c>
      <c r="E393" s="453" t="s">
        <v>1109</v>
      </c>
      <c r="F393" s="456"/>
      <c r="G393" s="456"/>
      <c r="H393" s="456"/>
      <c r="I393" s="456"/>
      <c r="J393" s="456"/>
      <c r="K393" s="456"/>
      <c r="L393" s="456"/>
      <c r="M393" s="456"/>
      <c r="N393" s="456">
        <v>1</v>
      </c>
      <c r="O393" s="456">
        <v>763</v>
      </c>
      <c r="P393" s="478"/>
      <c r="Q393" s="457">
        <v>763</v>
      </c>
    </row>
    <row r="394" spans="1:17" ht="14.4" customHeight="1" x14ac:dyDescent="0.3">
      <c r="A394" s="452" t="s">
        <v>1194</v>
      </c>
      <c r="B394" s="453" t="s">
        <v>1028</v>
      </c>
      <c r="C394" s="453" t="s">
        <v>1029</v>
      </c>
      <c r="D394" s="453" t="s">
        <v>1110</v>
      </c>
      <c r="E394" s="453" t="s">
        <v>1111</v>
      </c>
      <c r="F394" s="456">
        <v>44</v>
      </c>
      <c r="G394" s="456">
        <v>91168</v>
      </c>
      <c r="H394" s="456">
        <v>0.74425287356321834</v>
      </c>
      <c r="I394" s="456">
        <v>2072</v>
      </c>
      <c r="J394" s="456">
        <v>58</v>
      </c>
      <c r="K394" s="456">
        <v>122496</v>
      </c>
      <c r="L394" s="456">
        <v>1</v>
      </c>
      <c r="M394" s="456">
        <v>2112</v>
      </c>
      <c r="N394" s="456">
        <v>76</v>
      </c>
      <c r="O394" s="456">
        <v>160816</v>
      </c>
      <c r="P394" s="478">
        <v>1.3128265412748172</v>
      </c>
      <c r="Q394" s="457">
        <v>2116</v>
      </c>
    </row>
    <row r="395" spans="1:17" ht="14.4" customHeight="1" x14ac:dyDescent="0.3">
      <c r="A395" s="452" t="s">
        <v>1194</v>
      </c>
      <c r="B395" s="453" t="s">
        <v>1028</v>
      </c>
      <c r="C395" s="453" t="s">
        <v>1029</v>
      </c>
      <c r="D395" s="453" t="s">
        <v>1144</v>
      </c>
      <c r="E395" s="453"/>
      <c r="F395" s="456"/>
      <c r="G395" s="456"/>
      <c r="H395" s="456"/>
      <c r="I395" s="456"/>
      <c r="J395" s="456"/>
      <c r="K395" s="456"/>
      <c r="L395" s="456"/>
      <c r="M395" s="456"/>
      <c r="N395" s="456">
        <v>2</v>
      </c>
      <c r="O395" s="456">
        <v>2986</v>
      </c>
      <c r="P395" s="478"/>
      <c r="Q395" s="457">
        <v>1493</v>
      </c>
    </row>
    <row r="396" spans="1:17" ht="14.4" customHeight="1" x14ac:dyDescent="0.3">
      <c r="A396" s="452" t="s">
        <v>1194</v>
      </c>
      <c r="B396" s="453" t="s">
        <v>1028</v>
      </c>
      <c r="C396" s="453" t="s">
        <v>1029</v>
      </c>
      <c r="D396" s="453" t="s">
        <v>1146</v>
      </c>
      <c r="E396" s="453"/>
      <c r="F396" s="456"/>
      <c r="G396" s="456"/>
      <c r="H396" s="456"/>
      <c r="I396" s="456"/>
      <c r="J396" s="456"/>
      <c r="K396" s="456"/>
      <c r="L396" s="456"/>
      <c r="M396" s="456"/>
      <c r="N396" s="456">
        <v>1</v>
      </c>
      <c r="O396" s="456">
        <v>887</v>
      </c>
      <c r="P396" s="478"/>
      <c r="Q396" s="457">
        <v>887</v>
      </c>
    </row>
    <row r="397" spans="1:17" ht="14.4" customHeight="1" x14ac:dyDescent="0.3">
      <c r="A397" s="452" t="s">
        <v>1195</v>
      </c>
      <c r="B397" s="453" t="s">
        <v>1028</v>
      </c>
      <c r="C397" s="453" t="s">
        <v>1029</v>
      </c>
      <c r="D397" s="453" t="s">
        <v>1030</v>
      </c>
      <c r="E397" s="453" t="s">
        <v>1031</v>
      </c>
      <c r="F397" s="456">
        <v>4</v>
      </c>
      <c r="G397" s="456">
        <v>644</v>
      </c>
      <c r="H397" s="456">
        <v>1.2408477842003853</v>
      </c>
      <c r="I397" s="456">
        <v>161</v>
      </c>
      <c r="J397" s="456">
        <v>3</v>
      </c>
      <c r="K397" s="456">
        <v>519</v>
      </c>
      <c r="L397" s="456">
        <v>1</v>
      </c>
      <c r="M397" s="456">
        <v>173</v>
      </c>
      <c r="N397" s="456">
        <v>1</v>
      </c>
      <c r="O397" s="456">
        <v>173</v>
      </c>
      <c r="P397" s="478">
        <v>0.33333333333333331</v>
      </c>
      <c r="Q397" s="457">
        <v>173</v>
      </c>
    </row>
    <row r="398" spans="1:17" ht="14.4" customHeight="1" x14ac:dyDescent="0.3">
      <c r="A398" s="452" t="s">
        <v>1195</v>
      </c>
      <c r="B398" s="453" t="s">
        <v>1028</v>
      </c>
      <c r="C398" s="453" t="s">
        <v>1029</v>
      </c>
      <c r="D398" s="453" t="s">
        <v>1046</v>
      </c>
      <c r="E398" s="453" t="s">
        <v>1047</v>
      </c>
      <c r="F398" s="456">
        <v>11</v>
      </c>
      <c r="G398" s="456">
        <v>440</v>
      </c>
      <c r="H398" s="456">
        <v>10.731707317073171</v>
      </c>
      <c r="I398" s="456">
        <v>40</v>
      </c>
      <c r="J398" s="456">
        <v>1</v>
      </c>
      <c r="K398" s="456">
        <v>41</v>
      </c>
      <c r="L398" s="456">
        <v>1</v>
      </c>
      <c r="M398" s="456">
        <v>41</v>
      </c>
      <c r="N398" s="456">
        <v>3</v>
      </c>
      <c r="O398" s="456">
        <v>138</v>
      </c>
      <c r="P398" s="478">
        <v>3.3658536585365852</v>
      </c>
      <c r="Q398" s="457">
        <v>46</v>
      </c>
    </row>
    <row r="399" spans="1:17" ht="14.4" customHeight="1" x14ac:dyDescent="0.3">
      <c r="A399" s="452" t="s">
        <v>1195</v>
      </c>
      <c r="B399" s="453" t="s">
        <v>1028</v>
      </c>
      <c r="C399" s="453" t="s">
        <v>1029</v>
      </c>
      <c r="D399" s="453" t="s">
        <v>1048</v>
      </c>
      <c r="E399" s="453" t="s">
        <v>1049</v>
      </c>
      <c r="F399" s="456">
        <v>3</v>
      </c>
      <c r="G399" s="456">
        <v>1149</v>
      </c>
      <c r="H399" s="456">
        <v>1.49609375</v>
      </c>
      <c r="I399" s="456">
        <v>383</v>
      </c>
      <c r="J399" s="456">
        <v>2</v>
      </c>
      <c r="K399" s="456">
        <v>768</v>
      </c>
      <c r="L399" s="456">
        <v>1</v>
      </c>
      <c r="M399" s="456">
        <v>384</v>
      </c>
      <c r="N399" s="456"/>
      <c r="O399" s="456"/>
      <c r="P399" s="478"/>
      <c r="Q399" s="457"/>
    </row>
    <row r="400" spans="1:17" ht="14.4" customHeight="1" x14ac:dyDescent="0.3">
      <c r="A400" s="452" t="s">
        <v>1195</v>
      </c>
      <c r="B400" s="453" t="s">
        <v>1028</v>
      </c>
      <c r="C400" s="453" t="s">
        <v>1029</v>
      </c>
      <c r="D400" s="453" t="s">
        <v>1054</v>
      </c>
      <c r="E400" s="453" t="s">
        <v>1055</v>
      </c>
      <c r="F400" s="456">
        <v>3</v>
      </c>
      <c r="G400" s="456">
        <v>1335</v>
      </c>
      <c r="H400" s="456"/>
      <c r="I400" s="456">
        <v>445</v>
      </c>
      <c r="J400" s="456"/>
      <c r="K400" s="456"/>
      <c r="L400" s="456"/>
      <c r="M400" s="456"/>
      <c r="N400" s="456"/>
      <c r="O400" s="456"/>
      <c r="P400" s="478"/>
      <c r="Q400" s="457"/>
    </row>
    <row r="401" spans="1:17" ht="14.4" customHeight="1" x14ac:dyDescent="0.3">
      <c r="A401" s="452" t="s">
        <v>1195</v>
      </c>
      <c r="B401" s="453" t="s">
        <v>1028</v>
      </c>
      <c r="C401" s="453" t="s">
        <v>1029</v>
      </c>
      <c r="D401" s="453" t="s">
        <v>1058</v>
      </c>
      <c r="E401" s="453" t="s">
        <v>1059</v>
      </c>
      <c r="F401" s="456">
        <v>1</v>
      </c>
      <c r="G401" s="456">
        <v>491</v>
      </c>
      <c r="H401" s="456">
        <v>0.99796747967479671</v>
      </c>
      <c r="I401" s="456">
        <v>491</v>
      </c>
      <c r="J401" s="456">
        <v>1</v>
      </c>
      <c r="K401" s="456">
        <v>492</v>
      </c>
      <c r="L401" s="456">
        <v>1</v>
      </c>
      <c r="M401" s="456">
        <v>492</v>
      </c>
      <c r="N401" s="456"/>
      <c r="O401" s="456"/>
      <c r="P401" s="478"/>
      <c r="Q401" s="457"/>
    </row>
    <row r="402" spans="1:17" ht="14.4" customHeight="1" x14ac:dyDescent="0.3">
      <c r="A402" s="452" t="s">
        <v>1195</v>
      </c>
      <c r="B402" s="453" t="s">
        <v>1028</v>
      </c>
      <c r="C402" s="453" t="s">
        <v>1029</v>
      </c>
      <c r="D402" s="453" t="s">
        <v>1066</v>
      </c>
      <c r="E402" s="453" t="s">
        <v>1067</v>
      </c>
      <c r="F402" s="456">
        <v>1</v>
      </c>
      <c r="G402" s="456">
        <v>234</v>
      </c>
      <c r="H402" s="456"/>
      <c r="I402" s="456">
        <v>234</v>
      </c>
      <c r="J402" s="456"/>
      <c r="K402" s="456"/>
      <c r="L402" s="456"/>
      <c r="M402" s="456"/>
      <c r="N402" s="456"/>
      <c r="O402" s="456"/>
      <c r="P402" s="478"/>
      <c r="Q402" s="457"/>
    </row>
    <row r="403" spans="1:17" ht="14.4" customHeight="1" x14ac:dyDescent="0.3">
      <c r="A403" s="452" t="s">
        <v>1195</v>
      </c>
      <c r="B403" s="453" t="s">
        <v>1028</v>
      </c>
      <c r="C403" s="453" t="s">
        <v>1029</v>
      </c>
      <c r="D403" s="453" t="s">
        <v>1074</v>
      </c>
      <c r="E403" s="453" t="s">
        <v>1075</v>
      </c>
      <c r="F403" s="456">
        <v>17</v>
      </c>
      <c r="G403" s="456">
        <v>272</v>
      </c>
      <c r="H403" s="456">
        <v>3.2</v>
      </c>
      <c r="I403" s="456">
        <v>16</v>
      </c>
      <c r="J403" s="456">
        <v>5</v>
      </c>
      <c r="K403" s="456">
        <v>85</v>
      </c>
      <c r="L403" s="456">
        <v>1</v>
      </c>
      <c r="M403" s="456">
        <v>17</v>
      </c>
      <c r="N403" s="456"/>
      <c r="O403" s="456"/>
      <c r="P403" s="478"/>
      <c r="Q403" s="457"/>
    </row>
    <row r="404" spans="1:17" ht="14.4" customHeight="1" x14ac:dyDescent="0.3">
      <c r="A404" s="452" t="s">
        <v>1195</v>
      </c>
      <c r="B404" s="453" t="s">
        <v>1028</v>
      </c>
      <c r="C404" s="453" t="s">
        <v>1029</v>
      </c>
      <c r="D404" s="453" t="s">
        <v>1082</v>
      </c>
      <c r="E404" s="453" t="s">
        <v>1083</v>
      </c>
      <c r="F404" s="456">
        <v>3</v>
      </c>
      <c r="G404" s="456">
        <v>348</v>
      </c>
      <c r="H404" s="456">
        <v>0.49572649572649574</v>
      </c>
      <c r="I404" s="456">
        <v>116</v>
      </c>
      <c r="J404" s="456">
        <v>6</v>
      </c>
      <c r="K404" s="456">
        <v>702</v>
      </c>
      <c r="L404" s="456">
        <v>1</v>
      </c>
      <c r="M404" s="456">
        <v>117</v>
      </c>
      <c r="N404" s="456">
        <v>2</v>
      </c>
      <c r="O404" s="456">
        <v>272</v>
      </c>
      <c r="P404" s="478">
        <v>0.38746438746438744</v>
      </c>
      <c r="Q404" s="457">
        <v>136</v>
      </c>
    </row>
    <row r="405" spans="1:17" ht="14.4" customHeight="1" x14ac:dyDescent="0.3">
      <c r="A405" s="452" t="s">
        <v>1195</v>
      </c>
      <c r="B405" s="453" t="s">
        <v>1028</v>
      </c>
      <c r="C405" s="453" t="s">
        <v>1029</v>
      </c>
      <c r="D405" s="453" t="s">
        <v>1084</v>
      </c>
      <c r="E405" s="453" t="s">
        <v>1085</v>
      </c>
      <c r="F405" s="456">
        <v>2</v>
      </c>
      <c r="G405" s="456">
        <v>170</v>
      </c>
      <c r="H405" s="456"/>
      <c r="I405" s="456">
        <v>85</v>
      </c>
      <c r="J405" s="456"/>
      <c r="K405" s="456"/>
      <c r="L405" s="456"/>
      <c r="M405" s="456"/>
      <c r="N405" s="456"/>
      <c r="O405" s="456"/>
      <c r="P405" s="478"/>
      <c r="Q405" s="457"/>
    </row>
    <row r="406" spans="1:17" ht="14.4" customHeight="1" x14ac:dyDescent="0.3">
      <c r="A406" s="452" t="s">
        <v>1195</v>
      </c>
      <c r="B406" s="453" t="s">
        <v>1028</v>
      </c>
      <c r="C406" s="453" t="s">
        <v>1029</v>
      </c>
      <c r="D406" s="453" t="s">
        <v>1086</v>
      </c>
      <c r="E406" s="453" t="s">
        <v>1087</v>
      </c>
      <c r="F406" s="456">
        <v>1</v>
      </c>
      <c r="G406" s="456">
        <v>98</v>
      </c>
      <c r="H406" s="456">
        <v>0.49494949494949497</v>
      </c>
      <c r="I406" s="456">
        <v>98</v>
      </c>
      <c r="J406" s="456">
        <v>2</v>
      </c>
      <c r="K406" s="456">
        <v>198</v>
      </c>
      <c r="L406" s="456">
        <v>1</v>
      </c>
      <c r="M406" s="456">
        <v>99</v>
      </c>
      <c r="N406" s="456">
        <v>1</v>
      </c>
      <c r="O406" s="456">
        <v>137</v>
      </c>
      <c r="P406" s="478">
        <v>0.69191919191919193</v>
      </c>
      <c r="Q406" s="457">
        <v>137</v>
      </c>
    </row>
    <row r="407" spans="1:17" ht="14.4" customHeight="1" x14ac:dyDescent="0.3">
      <c r="A407" s="452" t="s">
        <v>1195</v>
      </c>
      <c r="B407" s="453" t="s">
        <v>1028</v>
      </c>
      <c r="C407" s="453" t="s">
        <v>1029</v>
      </c>
      <c r="D407" s="453" t="s">
        <v>1088</v>
      </c>
      <c r="E407" s="453" t="s">
        <v>1089</v>
      </c>
      <c r="F407" s="456">
        <v>1</v>
      </c>
      <c r="G407" s="456">
        <v>21</v>
      </c>
      <c r="H407" s="456"/>
      <c r="I407" s="456">
        <v>21</v>
      </c>
      <c r="J407" s="456"/>
      <c r="K407" s="456"/>
      <c r="L407" s="456"/>
      <c r="M407" s="456"/>
      <c r="N407" s="456"/>
      <c r="O407" s="456"/>
      <c r="P407" s="478"/>
      <c r="Q407" s="457"/>
    </row>
    <row r="408" spans="1:17" ht="14.4" customHeight="1" x14ac:dyDescent="0.3">
      <c r="A408" s="452" t="s">
        <v>1195</v>
      </c>
      <c r="B408" s="453" t="s">
        <v>1028</v>
      </c>
      <c r="C408" s="453" t="s">
        <v>1029</v>
      </c>
      <c r="D408" s="453" t="s">
        <v>1090</v>
      </c>
      <c r="E408" s="453" t="s">
        <v>1091</v>
      </c>
      <c r="F408" s="456">
        <v>35</v>
      </c>
      <c r="G408" s="456">
        <v>17045</v>
      </c>
      <c r="H408" s="456"/>
      <c r="I408" s="456">
        <v>487</v>
      </c>
      <c r="J408" s="456"/>
      <c r="K408" s="456"/>
      <c r="L408" s="456"/>
      <c r="M408" s="456"/>
      <c r="N408" s="456"/>
      <c r="O408" s="456"/>
      <c r="P408" s="478"/>
      <c r="Q408" s="457"/>
    </row>
    <row r="409" spans="1:17" ht="14.4" customHeight="1" x14ac:dyDescent="0.3">
      <c r="A409" s="452" t="s">
        <v>1195</v>
      </c>
      <c r="B409" s="453" t="s">
        <v>1028</v>
      </c>
      <c r="C409" s="453" t="s">
        <v>1029</v>
      </c>
      <c r="D409" s="453" t="s">
        <v>1098</v>
      </c>
      <c r="E409" s="453" t="s">
        <v>1099</v>
      </c>
      <c r="F409" s="456">
        <v>2</v>
      </c>
      <c r="G409" s="456">
        <v>82</v>
      </c>
      <c r="H409" s="456">
        <v>2</v>
      </c>
      <c r="I409" s="456">
        <v>41</v>
      </c>
      <c r="J409" s="456">
        <v>1</v>
      </c>
      <c r="K409" s="456">
        <v>41</v>
      </c>
      <c r="L409" s="456">
        <v>1</v>
      </c>
      <c r="M409" s="456">
        <v>41</v>
      </c>
      <c r="N409" s="456">
        <v>1</v>
      </c>
      <c r="O409" s="456">
        <v>51</v>
      </c>
      <c r="P409" s="478">
        <v>1.2439024390243902</v>
      </c>
      <c r="Q409" s="457">
        <v>51</v>
      </c>
    </row>
    <row r="410" spans="1:17" ht="14.4" customHeight="1" x14ac:dyDescent="0.3">
      <c r="A410" s="452" t="s">
        <v>1195</v>
      </c>
      <c r="B410" s="453" t="s">
        <v>1028</v>
      </c>
      <c r="C410" s="453" t="s">
        <v>1029</v>
      </c>
      <c r="D410" s="453" t="s">
        <v>1110</v>
      </c>
      <c r="E410" s="453" t="s">
        <v>1111</v>
      </c>
      <c r="F410" s="456">
        <v>2</v>
      </c>
      <c r="G410" s="456">
        <v>4144</v>
      </c>
      <c r="H410" s="456"/>
      <c r="I410" s="456">
        <v>2072</v>
      </c>
      <c r="J410" s="456"/>
      <c r="K410" s="456"/>
      <c r="L410" s="456"/>
      <c r="M410" s="456"/>
      <c r="N410" s="456"/>
      <c r="O410" s="456"/>
      <c r="P410" s="478"/>
      <c r="Q410" s="457"/>
    </row>
    <row r="411" spans="1:17" ht="14.4" customHeight="1" x14ac:dyDescent="0.3">
      <c r="A411" s="452" t="s">
        <v>1195</v>
      </c>
      <c r="B411" s="453" t="s">
        <v>1028</v>
      </c>
      <c r="C411" s="453" t="s">
        <v>1029</v>
      </c>
      <c r="D411" s="453" t="s">
        <v>1124</v>
      </c>
      <c r="E411" s="453" t="s">
        <v>1125</v>
      </c>
      <c r="F411" s="456">
        <v>1</v>
      </c>
      <c r="G411" s="456">
        <v>248</v>
      </c>
      <c r="H411" s="456"/>
      <c r="I411" s="456">
        <v>248</v>
      </c>
      <c r="J411" s="456"/>
      <c r="K411" s="456"/>
      <c r="L411" s="456"/>
      <c r="M411" s="456"/>
      <c r="N411" s="456"/>
      <c r="O411" s="456"/>
      <c r="P411" s="478"/>
      <c r="Q411" s="457"/>
    </row>
    <row r="412" spans="1:17" ht="14.4" customHeight="1" x14ac:dyDescent="0.3">
      <c r="A412" s="452" t="s">
        <v>1196</v>
      </c>
      <c r="B412" s="453" t="s">
        <v>1028</v>
      </c>
      <c r="C412" s="453" t="s">
        <v>1029</v>
      </c>
      <c r="D412" s="453" t="s">
        <v>1030</v>
      </c>
      <c r="E412" s="453" t="s">
        <v>1031</v>
      </c>
      <c r="F412" s="456">
        <v>25</v>
      </c>
      <c r="G412" s="456">
        <v>4025</v>
      </c>
      <c r="H412" s="456">
        <v>1.1078998073217727</v>
      </c>
      <c r="I412" s="456">
        <v>161</v>
      </c>
      <c r="J412" s="456">
        <v>21</v>
      </c>
      <c r="K412" s="456">
        <v>3633</v>
      </c>
      <c r="L412" s="456">
        <v>1</v>
      </c>
      <c r="M412" s="456">
        <v>173</v>
      </c>
      <c r="N412" s="456">
        <v>21</v>
      </c>
      <c r="O412" s="456">
        <v>3633</v>
      </c>
      <c r="P412" s="478">
        <v>1</v>
      </c>
      <c r="Q412" s="457">
        <v>173</v>
      </c>
    </row>
    <row r="413" spans="1:17" ht="14.4" customHeight="1" x14ac:dyDescent="0.3">
      <c r="A413" s="452" t="s">
        <v>1196</v>
      </c>
      <c r="B413" s="453" t="s">
        <v>1028</v>
      </c>
      <c r="C413" s="453" t="s">
        <v>1029</v>
      </c>
      <c r="D413" s="453" t="s">
        <v>1046</v>
      </c>
      <c r="E413" s="453" t="s">
        <v>1047</v>
      </c>
      <c r="F413" s="456">
        <v>134</v>
      </c>
      <c r="G413" s="456">
        <v>5360</v>
      </c>
      <c r="H413" s="456">
        <v>0.57338468121523323</v>
      </c>
      <c r="I413" s="456">
        <v>40</v>
      </c>
      <c r="J413" s="456">
        <v>228</v>
      </c>
      <c r="K413" s="456">
        <v>9348</v>
      </c>
      <c r="L413" s="456">
        <v>1</v>
      </c>
      <c r="M413" s="456">
        <v>41</v>
      </c>
      <c r="N413" s="456">
        <v>168</v>
      </c>
      <c r="O413" s="456">
        <v>7728</v>
      </c>
      <c r="P413" s="478">
        <v>0.82670089858793327</v>
      </c>
      <c r="Q413" s="457">
        <v>46</v>
      </c>
    </row>
    <row r="414" spans="1:17" ht="14.4" customHeight="1" x14ac:dyDescent="0.3">
      <c r="A414" s="452" t="s">
        <v>1196</v>
      </c>
      <c r="B414" s="453" t="s">
        <v>1028</v>
      </c>
      <c r="C414" s="453" t="s">
        <v>1029</v>
      </c>
      <c r="D414" s="453" t="s">
        <v>1048</v>
      </c>
      <c r="E414" s="453" t="s">
        <v>1049</v>
      </c>
      <c r="F414" s="456">
        <v>14</v>
      </c>
      <c r="G414" s="456">
        <v>5362</v>
      </c>
      <c r="H414" s="456">
        <v>0.69817708333333328</v>
      </c>
      <c r="I414" s="456">
        <v>383</v>
      </c>
      <c r="J414" s="456">
        <v>20</v>
      </c>
      <c r="K414" s="456">
        <v>7680</v>
      </c>
      <c r="L414" s="456">
        <v>1</v>
      </c>
      <c r="M414" s="456">
        <v>384</v>
      </c>
      <c r="N414" s="456">
        <v>19</v>
      </c>
      <c r="O414" s="456">
        <v>6593</v>
      </c>
      <c r="P414" s="478">
        <v>0.85846354166666672</v>
      </c>
      <c r="Q414" s="457">
        <v>347</v>
      </c>
    </row>
    <row r="415" spans="1:17" ht="14.4" customHeight="1" x14ac:dyDescent="0.3">
      <c r="A415" s="452" t="s">
        <v>1196</v>
      </c>
      <c r="B415" s="453" t="s">
        <v>1028</v>
      </c>
      <c r="C415" s="453" t="s">
        <v>1029</v>
      </c>
      <c r="D415" s="453" t="s">
        <v>1050</v>
      </c>
      <c r="E415" s="453" t="s">
        <v>1051</v>
      </c>
      <c r="F415" s="456"/>
      <c r="G415" s="456"/>
      <c r="H415" s="456"/>
      <c r="I415" s="456"/>
      <c r="J415" s="456">
        <v>6</v>
      </c>
      <c r="K415" s="456">
        <v>222</v>
      </c>
      <c r="L415" s="456">
        <v>1</v>
      </c>
      <c r="M415" s="456">
        <v>37</v>
      </c>
      <c r="N415" s="456">
        <v>2</v>
      </c>
      <c r="O415" s="456">
        <v>102</v>
      </c>
      <c r="P415" s="478">
        <v>0.45945945945945948</v>
      </c>
      <c r="Q415" s="457">
        <v>51</v>
      </c>
    </row>
    <row r="416" spans="1:17" ht="14.4" customHeight="1" x14ac:dyDescent="0.3">
      <c r="A416" s="452" t="s">
        <v>1196</v>
      </c>
      <c r="B416" s="453" t="s">
        <v>1028</v>
      </c>
      <c r="C416" s="453" t="s">
        <v>1029</v>
      </c>
      <c r="D416" s="453" t="s">
        <v>1054</v>
      </c>
      <c r="E416" s="453" t="s">
        <v>1055</v>
      </c>
      <c r="F416" s="456">
        <v>30</v>
      </c>
      <c r="G416" s="456">
        <v>13350</v>
      </c>
      <c r="H416" s="456">
        <v>0.80899284935159377</v>
      </c>
      <c r="I416" s="456">
        <v>445</v>
      </c>
      <c r="J416" s="456">
        <v>37</v>
      </c>
      <c r="K416" s="456">
        <v>16502</v>
      </c>
      <c r="L416" s="456">
        <v>1</v>
      </c>
      <c r="M416" s="456">
        <v>446</v>
      </c>
      <c r="N416" s="456">
        <v>127</v>
      </c>
      <c r="O416" s="456">
        <v>47879</v>
      </c>
      <c r="P416" s="478">
        <v>2.9014058901951278</v>
      </c>
      <c r="Q416" s="457">
        <v>377</v>
      </c>
    </row>
    <row r="417" spans="1:17" ht="14.4" customHeight="1" x14ac:dyDescent="0.3">
      <c r="A417" s="452" t="s">
        <v>1196</v>
      </c>
      <c r="B417" s="453" t="s">
        <v>1028</v>
      </c>
      <c r="C417" s="453" t="s">
        <v>1029</v>
      </c>
      <c r="D417" s="453" t="s">
        <v>1056</v>
      </c>
      <c r="E417" s="453" t="s">
        <v>1057</v>
      </c>
      <c r="F417" s="456">
        <v>94</v>
      </c>
      <c r="G417" s="456">
        <v>3854</v>
      </c>
      <c r="H417" s="456">
        <v>0.79105090311986859</v>
      </c>
      <c r="I417" s="456">
        <v>41</v>
      </c>
      <c r="J417" s="456">
        <v>116</v>
      </c>
      <c r="K417" s="456">
        <v>4872</v>
      </c>
      <c r="L417" s="456">
        <v>1</v>
      </c>
      <c r="M417" s="456">
        <v>42</v>
      </c>
      <c r="N417" s="456">
        <v>104</v>
      </c>
      <c r="O417" s="456">
        <v>3536</v>
      </c>
      <c r="P417" s="478">
        <v>0.72577996715927751</v>
      </c>
      <c r="Q417" s="457">
        <v>34</v>
      </c>
    </row>
    <row r="418" spans="1:17" ht="14.4" customHeight="1" x14ac:dyDescent="0.3">
      <c r="A418" s="452" t="s">
        <v>1196</v>
      </c>
      <c r="B418" s="453" t="s">
        <v>1028</v>
      </c>
      <c r="C418" s="453" t="s">
        <v>1029</v>
      </c>
      <c r="D418" s="453" t="s">
        <v>1058</v>
      </c>
      <c r="E418" s="453" t="s">
        <v>1059</v>
      </c>
      <c r="F418" s="456">
        <v>2</v>
      </c>
      <c r="G418" s="456">
        <v>982</v>
      </c>
      <c r="H418" s="456">
        <v>0.99796747967479671</v>
      </c>
      <c r="I418" s="456">
        <v>491</v>
      </c>
      <c r="J418" s="456">
        <v>2</v>
      </c>
      <c r="K418" s="456">
        <v>984</v>
      </c>
      <c r="L418" s="456">
        <v>1</v>
      </c>
      <c r="M418" s="456">
        <v>492</v>
      </c>
      <c r="N418" s="456">
        <v>2</v>
      </c>
      <c r="O418" s="456">
        <v>1048</v>
      </c>
      <c r="P418" s="478">
        <v>1.065040650406504</v>
      </c>
      <c r="Q418" s="457">
        <v>524</v>
      </c>
    </row>
    <row r="419" spans="1:17" ht="14.4" customHeight="1" x14ac:dyDescent="0.3">
      <c r="A419" s="452" t="s">
        <v>1196</v>
      </c>
      <c r="B419" s="453" t="s">
        <v>1028</v>
      </c>
      <c r="C419" s="453" t="s">
        <v>1029</v>
      </c>
      <c r="D419" s="453" t="s">
        <v>1060</v>
      </c>
      <c r="E419" s="453" t="s">
        <v>1061</v>
      </c>
      <c r="F419" s="456">
        <v>9</v>
      </c>
      <c r="G419" s="456">
        <v>279</v>
      </c>
      <c r="H419" s="456">
        <v>0.26470588235294118</v>
      </c>
      <c r="I419" s="456">
        <v>31</v>
      </c>
      <c r="J419" s="456">
        <v>34</v>
      </c>
      <c r="K419" s="456">
        <v>1054</v>
      </c>
      <c r="L419" s="456">
        <v>1</v>
      </c>
      <c r="M419" s="456">
        <v>31</v>
      </c>
      <c r="N419" s="456">
        <v>3</v>
      </c>
      <c r="O419" s="456">
        <v>171</v>
      </c>
      <c r="P419" s="478">
        <v>0.16223908918406071</v>
      </c>
      <c r="Q419" s="457">
        <v>57</v>
      </c>
    </row>
    <row r="420" spans="1:17" ht="14.4" customHeight="1" x14ac:dyDescent="0.3">
      <c r="A420" s="452" t="s">
        <v>1196</v>
      </c>
      <c r="B420" s="453" t="s">
        <v>1028</v>
      </c>
      <c r="C420" s="453" t="s">
        <v>1029</v>
      </c>
      <c r="D420" s="453" t="s">
        <v>1066</v>
      </c>
      <c r="E420" s="453" t="s">
        <v>1067</v>
      </c>
      <c r="F420" s="456"/>
      <c r="G420" s="456"/>
      <c r="H420" s="456"/>
      <c r="I420" s="456"/>
      <c r="J420" s="456">
        <v>2</v>
      </c>
      <c r="K420" s="456">
        <v>472</v>
      </c>
      <c r="L420" s="456">
        <v>1</v>
      </c>
      <c r="M420" s="456">
        <v>236</v>
      </c>
      <c r="N420" s="456"/>
      <c r="O420" s="456"/>
      <c r="P420" s="478"/>
      <c r="Q420" s="457"/>
    </row>
    <row r="421" spans="1:17" ht="14.4" customHeight="1" x14ac:dyDescent="0.3">
      <c r="A421" s="452" t="s">
        <v>1196</v>
      </c>
      <c r="B421" s="453" t="s">
        <v>1028</v>
      </c>
      <c r="C421" s="453" t="s">
        <v>1029</v>
      </c>
      <c r="D421" s="453" t="s">
        <v>1068</v>
      </c>
      <c r="E421" s="453" t="s">
        <v>1069</v>
      </c>
      <c r="F421" s="456">
        <v>77</v>
      </c>
      <c r="G421" s="456">
        <v>10087</v>
      </c>
      <c r="H421" s="456">
        <v>0.62396387479896076</v>
      </c>
      <c r="I421" s="456">
        <v>131</v>
      </c>
      <c r="J421" s="456">
        <v>118</v>
      </c>
      <c r="K421" s="456">
        <v>16166</v>
      </c>
      <c r="L421" s="456">
        <v>1</v>
      </c>
      <c r="M421" s="456">
        <v>137</v>
      </c>
      <c r="N421" s="456">
        <v>105</v>
      </c>
      <c r="O421" s="456">
        <v>14805</v>
      </c>
      <c r="P421" s="478">
        <v>0.91581096127675365</v>
      </c>
      <c r="Q421" s="457">
        <v>141</v>
      </c>
    </row>
    <row r="422" spans="1:17" ht="14.4" customHeight="1" x14ac:dyDescent="0.3">
      <c r="A422" s="452" t="s">
        <v>1196</v>
      </c>
      <c r="B422" s="453" t="s">
        <v>1028</v>
      </c>
      <c r="C422" s="453" t="s">
        <v>1029</v>
      </c>
      <c r="D422" s="453" t="s">
        <v>1070</v>
      </c>
      <c r="E422" s="453" t="s">
        <v>1071</v>
      </c>
      <c r="F422" s="456"/>
      <c r="G422" s="456"/>
      <c r="H422" s="456"/>
      <c r="I422" s="456"/>
      <c r="J422" s="456">
        <v>2</v>
      </c>
      <c r="K422" s="456">
        <v>410</v>
      </c>
      <c r="L422" s="456">
        <v>1</v>
      </c>
      <c r="M422" s="456">
        <v>205</v>
      </c>
      <c r="N422" s="456"/>
      <c r="O422" s="456"/>
      <c r="P422" s="478"/>
      <c r="Q422" s="457"/>
    </row>
    <row r="423" spans="1:17" ht="14.4" customHeight="1" x14ac:dyDescent="0.3">
      <c r="A423" s="452" t="s">
        <v>1196</v>
      </c>
      <c r="B423" s="453" t="s">
        <v>1028</v>
      </c>
      <c r="C423" s="453" t="s">
        <v>1029</v>
      </c>
      <c r="D423" s="453" t="s">
        <v>1074</v>
      </c>
      <c r="E423" s="453" t="s">
        <v>1075</v>
      </c>
      <c r="F423" s="456">
        <v>225</v>
      </c>
      <c r="G423" s="456">
        <v>3600</v>
      </c>
      <c r="H423" s="456">
        <v>0.61559507523939805</v>
      </c>
      <c r="I423" s="456">
        <v>16</v>
      </c>
      <c r="J423" s="456">
        <v>344</v>
      </c>
      <c r="K423" s="456">
        <v>5848</v>
      </c>
      <c r="L423" s="456">
        <v>1</v>
      </c>
      <c r="M423" s="456">
        <v>17</v>
      </c>
      <c r="N423" s="456">
        <v>324</v>
      </c>
      <c r="O423" s="456">
        <v>5508</v>
      </c>
      <c r="P423" s="478">
        <v>0.94186046511627908</v>
      </c>
      <c r="Q423" s="457">
        <v>17</v>
      </c>
    </row>
    <row r="424" spans="1:17" ht="14.4" customHeight="1" x14ac:dyDescent="0.3">
      <c r="A424" s="452" t="s">
        <v>1196</v>
      </c>
      <c r="B424" s="453" t="s">
        <v>1028</v>
      </c>
      <c r="C424" s="453" t="s">
        <v>1029</v>
      </c>
      <c r="D424" s="453" t="s">
        <v>1078</v>
      </c>
      <c r="E424" s="453" t="s">
        <v>1079</v>
      </c>
      <c r="F424" s="456">
        <v>2</v>
      </c>
      <c r="G424" s="456">
        <v>206</v>
      </c>
      <c r="H424" s="456">
        <v>2</v>
      </c>
      <c r="I424" s="456">
        <v>103</v>
      </c>
      <c r="J424" s="456">
        <v>1</v>
      </c>
      <c r="K424" s="456">
        <v>103</v>
      </c>
      <c r="L424" s="456">
        <v>1</v>
      </c>
      <c r="M424" s="456">
        <v>103</v>
      </c>
      <c r="N424" s="456"/>
      <c r="O424" s="456"/>
      <c r="P424" s="478"/>
      <c r="Q424" s="457"/>
    </row>
    <row r="425" spans="1:17" ht="14.4" customHeight="1" x14ac:dyDescent="0.3">
      <c r="A425" s="452" t="s">
        <v>1196</v>
      </c>
      <c r="B425" s="453" t="s">
        <v>1028</v>
      </c>
      <c r="C425" s="453" t="s">
        <v>1029</v>
      </c>
      <c r="D425" s="453" t="s">
        <v>1082</v>
      </c>
      <c r="E425" s="453" t="s">
        <v>1083</v>
      </c>
      <c r="F425" s="456">
        <v>64</v>
      </c>
      <c r="G425" s="456">
        <v>7424</v>
      </c>
      <c r="H425" s="456">
        <v>0.61604846070865493</v>
      </c>
      <c r="I425" s="456">
        <v>116</v>
      </c>
      <c r="J425" s="456">
        <v>103</v>
      </c>
      <c r="K425" s="456">
        <v>12051</v>
      </c>
      <c r="L425" s="456">
        <v>1</v>
      </c>
      <c r="M425" s="456">
        <v>117</v>
      </c>
      <c r="N425" s="456">
        <v>94</v>
      </c>
      <c r="O425" s="456">
        <v>12784</v>
      </c>
      <c r="P425" s="478">
        <v>1.0608248278151191</v>
      </c>
      <c r="Q425" s="457">
        <v>136</v>
      </c>
    </row>
    <row r="426" spans="1:17" ht="14.4" customHeight="1" x14ac:dyDescent="0.3">
      <c r="A426" s="452" t="s">
        <v>1196</v>
      </c>
      <c r="B426" s="453" t="s">
        <v>1028</v>
      </c>
      <c r="C426" s="453" t="s">
        <v>1029</v>
      </c>
      <c r="D426" s="453" t="s">
        <v>1084</v>
      </c>
      <c r="E426" s="453" t="s">
        <v>1085</v>
      </c>
      <c r="F426" s="456">
        <v>8</v>
      </c>
      <c r="G426" s="456">
        <v>680</v>
      </c>
      <c r="H426" s="456">
        <v>0.62271062271062272</v>
      </c>
      <c r="I426" s="456">
        <v>85</v>
      </c>
      <c r="J426" s="456">
        <v>12</v>
      </c>
      <c r="K426" s="456">
        <v>1092</v>
      </c>
      <c r="L426" s="456">
        <v>1</v>
      </c>
      <c r="M426" s="456">
        <v>91</v>
      </c>
      <c r="N426" s="456">
        <v>3</v>
      </c>
      <c r="O426" s="456">
        <v>273</v>
      </c>
      <c r="P426" s="478">
        <v>0.25</v>
      </c>
      <c r="Q426" s="457">
        <v>91</v>
      </c>
    </row>
    <row r="427" spans="1:17" ht="14.4" customHeight="1" x14ac:dyDescent="0.3">
      <c r="A427" s="452" t="s">
        <v>1196</v>
      </c>
      <c r="B427" s="453" t="s">
        <v>1028</v>
      </c>
      <c r="C427" s="453" t="s">
        <v>1029</v>
      </c>
      <c r="D427" s="453" t="s">
        <v>1086</v>
      </c>
      <c r="E427" s="453" t="s">
        <v>1087</v>
      </c>
      <c r="F427" s="456">
        <v>1</v>
      </c>
      <c r="G427" s="456">
        <v>98</v>
      </c>
      <c r="H427" s="456">
        <v>0.16498316498316498</v>
      </c>
      <c r="I427" s="456">
        <v>98</v>
      </c>
      <c r="J427" s="456">
        <v>6</v>
      </c>
      <c r="K427" s="456">
        <v>594</v>
      </c>
      <c r="L427" s="456">
        <v>1</v>
      </c>
      <c r="M427" s="456">
        <v>99</v>
      </c>
      <c r="N427" s="456"/>
      <c r="O427" s="456"/>
      <c r="P427" s="478"/>
      <c r="Q427" s="457"/>
    </row>
    <row r="428" spans="1:17" ht="14.4" customHeight="1" x14ac:dyDescent="0.3">
      <c r="A428" s="452" t="s">
        <v>1196</v>
      </c>
      <c r="B428" s="453" t="s">
        <v>1028</v>
      </c>
      <c r="C428" s="453" t="s">
        <v>1029</v>
      </c>
      <c r="D428" s="453" t="s">
        <v>1088</v>
      </c>
      <c r="E428" s="453" t="s">
        <v>1089</v>
      </c>
      <c r="F428" s="456">
        <v>18</v>
      </c>
      <c r="G428" s="456">
        <v>378</v>
      </c>
      <c r="H428" s="456">
        <v>2</v>
      </c>
      <c r="I428" s="456">
        <v>21</v>
      </c>
      <c r="J428" s="456">
        <v>9</v>
      </c>
      <c r="K428" s="456">
        <v>189</v>
      </c>
      <c r="L428" s="456">
        <v>1</v>
      </c>
      <c r="M428" s="456">
        <v>21</v>
      </c>
      <c r="N428" s="456">
        <v>3</v>
      </c>
      <c r="O428" s="456">
        <v>198</v>
      </c>
      <c r="P428" s="478">
        <v>1.0476190476190477</v>
      </c>
      <c r="Q428" s="457">
        <v>66</v>
      </c>
    </row>
    <row r="429" spans="1:17" ht="14.4" customHeight="1" x14ac:dyDescent="0.3">
      <c r="A429" s="452" t="s">
        <v>1196</v>
      </c>
      <c r="B429" s="453" t="s">
        <v>1028</v>
      </c>
      <c r="C429" s="453" t="s">
        <v>1029</v>
      </c>
      <c r="D429" s="453" t="s">
        <v>1090</v>
      </c>
      <c r="E429" s="453" t="s">
        <v>1091</v>
      </c>
      <c r="F429" s="456">
        <v>226</v>
      </c>
      <c r="G429" s="456">
        <v>110062</v>
      </c>
      <c r="H429" s="456">
        <v>0.55550956957118636</v>
      </c>
      <c r="I429" s="456">
        <v>487</v>
      </c>
      <c r="J429" s="456">
        <v>406</v>
      </c>
      <c r="K429" s="456">
        <v>198128</v>
      </c>
      <c r="L429" s="456">
        <v>1</v>
      </c>
      <c r="M429" s="456">
        <v>488</v>
      </c>
      <c r="N429" s="456">
        <v>324</v>
      </c>
      <c r="O429" s="456">
        <v>106272</v>
      </c>
      <c r="P429" s="478">
        <v>0.53638052168295247</v>
      </c>
      <c r="Q429" s="457">
        <v>328</v>
      </c>
    </row>
    <row r="430" spans="1:17" ht="14.4" customHeight="1" x14ac:dyDescent="0.3">
      <c r="A430" s="452" t="s">
        <v>1196</v>
      </c>
      <c r="B430" s="453" t="s">
        <v>1028</v>
      </c>
      <c r="C430" s="453" t="s">
        <v>1029</v>
      </c>
      <c r="D430" s="453" t="s">
        <v>1098</v>
      </c>
      <c r="E430" s="453" t="s">
        <v>1099</v>
      </c>
      <c r="F430" s="456">
        <v>22</v>
      </c>
      <c r="G430" s="456">
        <v>902</v>
      </c>
      <c r="H430" s="456">
        <v>0.7857142857142857</v>
      </c>
      <c r="I430" s="456">
        <v>41</v>
      </c>
      <c r="J430" s="456">
        <v>28</v>
      </c>
      <c r="K430" s="456">
        <v>1148</v>
      </c>
      <c r="L430" s="456">
        <v>1</v>
      </c>
      <c r="M430" s="456">
        <v>41</v>
      </c>
      <c r="N430" s="456">
        <v>12</v>
      </c>
      <c r="O430" s="456">
        <v>612</v>
      </c>
      <c r="P430" s="478">
        <v>0.5331010452961672</v>
      </c>
      <c r="Q430" s="457">
        <v>51</v>
      </c>
    </row>
    <row r="431" spans="1:17" ht="14.4" customHeight="1" x14ac:dyDescent="0.3">
      <c r="A431" s="452" t="s">
        <v>1196</v>
      </c>
      <c r="B431" s="453" t="s">
        <v>1028</v>
      </c>
      <c r="C431" s="453" t="s">
        <v>1029</v>
      </c>
      <c r="D431" s="453" t="s">
        <v>1106</v>
      </c>
      <c r="E431" s="453" t="s">
        <v>1107</v>
      </c>
      <c r="F431" s="456"/>
      <c r="G431" s="456"/>
      <c r="H431" s="456"/>
      <c r="I431" s="456"/>
      <c r="J431" s="456">
        <v>1</v>
      </c>
      <c r="K431" s="456">
        <v>223</v>
      </c>
      <c r="L431" s="456">
        <v>1</v>
      </c>
      <c r="M431" s="456">
        <v>223</v>
      </c>
      <c r="N431" s="456"/>
      <c r="O431" s="456"/>
      <c r="P431" s="478"/>
      <c r="Q431" s="457"/>
    </row>
    <row r="432" spans="1:17" ht="14.4" customHeight="1" x14ac:dyDescent="0.3">
      <c r="A432" s="452" t="s">
        <v>1196</v>
      </c>
      <c r="B432" s="453" t="s">
        <v>1028</v>
      </c>
      <c r="C432" s="453" t="s">
        <v>1029</v>
      </c>
      <c r="D432" s="453" t="s">
        <v>1108</v>
      </c>
      <c r="E432" s="453" t="s">
        <v>1109</v>
      </c>
      <c r="F432" s="456">
        <v>7</v>
      </c>
      <c r="G432" s="456">
        <v>5334</v>
      </c>
      <c r="H432" s="456">
        <v>0.30394894295971281</v>
      </c>
      <c r="I432" s="456">
        <v>762</v>
      </c>
      <c r="J432" s="456">
        <v>23</v>
      </c>
      <c r="K432" s="456">
        <v>17549</v>
      </c>
      <c r="L432" s="456">
        <v>1</v>
      </c>
      <c r="M432" s="456">
        <v>763</v>
      </c>
      <c r="N432" s="456">
        <v>32</v>
      </c>
      <c r="O432" s="456">
        <v>24416</v>
      </c>
      <c r="P432" s="478">
        <v>1.3913043478260869</v>
      </c>
      <c r="Q432" s="457">
        <v>763</v>
      </c>
    </row>
    <row r="433" spans="1:17" ht="14.4" customHeight="1" x14ac:dyDescent="0.3">
      <c r="A433" s="452" t="s">
        <v>1196</v>
      </c>
      <c r="B433" s="453" t="s">
        <v>1028</v>
      </c>
      <c r="C433" s="453" t="s">
        <v>1029</v>
      </c>
      <c r="D433" s="453" t="s">
        <v>1110</v>
      </c>
      <c r="E433" s="453" t="s">
        <v>1111</v>
      </c>
      <c r="F433" s="456">
        <v>2</v>
      </c>
      <c r="G433" s="456">
        <v>4144</v>
      </c>
      <c r="H433" s="456"/>
      <c r="I433" s="456">
        <v>2072</v>
      </c>
      <c r="J433" s="456"/>
      <c r="K433" s="456"/>
      <c r="L433" s="456"/>
      <c r="M433" s="456"/>
      <c r="N433" s="456">
        <v>2</v>
      </c>
      <c r="O433" s="456">
        <v>4232</v>
      </c>
      <c r="P433" s="478"/>
      <c r="Q433" s="457">
        <v>2116</v>
      </c>
    </row>
    <row r="434" spans="1:17" ht="14.4" customHeight="1" x14ac:dyDescent="0.3">
      <c r="A434" s="452" t="s">
        <v>1196</v>
      </c>
      <c r="B434" s="453" t="s">
        <v>1028</v>
      </c>
      <c r="C434" s="453" t="s">
        <v>1029</v>
      </c>
      <c r="D434" s="453" t="s">
        <v>1112</v>
      </c>
      <c r="E434" s="453" t="s">
        <v>1113</v>
      </c>
      <c r="F434" s="456"/>
      <c r="G434" s="456"/>
      <c r="H434" s="456"/>
      <c r="I434" s="456"/>
      <c r="J434" s="456"/>
      <c r="K434" s="456"/>
      <c r="L434" s="456"/>
      <c r="M434" s="456"/>
      <c r="N434" s="456">
        <v>1</v>
      </c>
      <c r="O434" s="456">
        <v>612</v>
      </c>
      <c r="P434" s="478"/>
      <c r="Q434" s="457">
        <v>612</v>
      </c>
    </row>
    <row r="435" spans="1:17" ht="14.4" customHeight="1" x14ac:dyDescent="0.3">
      <c r="A435" s="452" t="s">
        <v>1196</v>
      </c>
      <c r="B435" s="453" t="s">
        <v>1028</v>
      </c>
      <c r="C435" s="453" t="s">
        <v>1029</v>
      </c>
      <c r="D435" s="453" t="s">
        <v>1124</v>
      </c>
      <c r="E435" s="453" t="s">
        <v>1125</v>
      </c>
      <c r="F435" s="456"/>
      <c r="G435" s="456"/>
      <c r="H435" s="456"/>
      <c r="I435" s="456"/>
      <c r="J435" s="456">
        <v>2</v>
      </c>
      <c r="K435" s="456">
        <v>498</v>
      </c>
      <c r="L435" s="456">
        <v>1</v>
      </c>
      <c r="M435" s="456">
        <v>249</v>
      </c>
      <c r="N435" s="456"/>
      <c r="O435" s="456"/>
      <c r="P435" s="478"/>
      <c r="Q435" s="457"/>
    </row>
    <row r="436" spans="1:17" ht="14.4" customHeight="1" x14ac:dyDescent="0.3">
      <c r="A436" s="452" t="s">
        <v>1196</v>
      </c>
      <c r="B436" s="453" t="s">
        <v>1028</v>
      </c>
      <c r="C436" s="453" t="s">
        <v>1029</v>
      </c>
      <c r="D436" s="453" t="s">
        <v>1134</v>
      </c>
      <c r="E436" s="453" t="s">
        <v>1135</v>
      </c>
      <c r="F436" s="456">
        <v>49</v>
      </c>
      <c r="G436" s="456">
        <v>2009</v>
      </c>
      <c r="H436" s="456">
        <v>0.7247474747474747</v>
      </c>
      <c r="I436" s="456">
        <v>41</v>
      </c>
      <c r="J436" s="456">
        <v>66</v>
      </c>
      <c r="K436" s="456">
        <v>2772</v>
      </c>
      <c r="L436" s="456">
        <v>1</v>
      </c>
      <c r="M436" s="456">
        <v>42</v>
      </c>
      <c r="N436" s="456">
        <v>56</v>
      </c>
      <c r="O436" s="456">
        <v>2464</v>
      </c>
      <c r="P436" s="478">
        <v>0.88888888888888884</v>
      </c>
      <c r="Q436" s="457">
        <v>44</v>
      </c>
    </row>
    <row r="437" spans="1:17" ht="14.4" customHeight="1" x14ac:dyDescent="0.3">
      <c r="A437" s="452" t="s">
        <v>1197</v>
      </c>
      <c r="B437" s="453" t="s">
        <v>1028</v>
      </c>
      <c r="C437" s="453" t="s">
        <v>1029</v>
      </c>
      <c r="D437" s="453" t="s">
        <v>1030</v>
      </c>
      <c r="E437" s="453" t="s">
        <v>1031</v>
      </c>
      <c r="F437" s="456">
        <v>41</v>
      </c>
      <c r="G437" s="456">
        <v>6601</v>
      </c>
      <c r="H437" s="456">
        <v>0.52268588170084729</v>
      </c>
      <c r="I437" s="456">
        <v>161</v>
      </c>
      <c r="J437" s="456">
        <v>73</v>
      </c>
      <c r="K437" s="456">
        <v>12629</v>
      </c>
      <c r="L437" s="456">
        <v>1</v>
      </c>
      <c r="M437" s="456">
        <v>173</v>
      </c>
      <c r="N437" s="456">
        <v>75</v>
      </c>
      <c r="O437" s="456">
        <v>12975</v>
      </c>
      <c r="P437" s="478">
        <v>1.0273972602739727</v>
      </c>
      <c r="Q437" s="457">
        <v>173</v>
      </c>
    </row>
    <row r="438" spans="1:17" ht="14.4" customHeight="1" x14ac:dyDescent="0.3">
      <c r="A438" s="452" t="s">
        <v>1197</v>
      </c>
      <c r="B438" s="453" t="s">
        <v>1028</v>
      </c>
      <c r="C438" s="453" t="s">
        <v>1029</v>
      </c>
      <c r="D438" s="453" t="s">
        <v>1044</v>
      </c>
      <c r="E438" s="453" t="s">
        <v>1045</v>
      </c>
      <c r="F438" s="456"/>
      <c r="G438" s="456"/>
      <c r="H438" s="456"/>
      <c r="I438" s="456"/>
      <c r="J438" s="456">
        <v>1</v>
      </c>
      <c r="K438" s="456">
        <v>1173</v>
      </c>
      <c r="L438" s="456">
        <v>1</v>
      </c>
      <c r="M438" s="456">
        <v>1173</v>
      </c>
      <c r="N438" s="456">
        <v>4</v>
      </c>
      <c r="O438" s="456">
        <v>4280</v>
      </c>
      <c r="P438" s="478">
        <v>3.6487638533674338</v>
      </c>
      <c r="Q438" s="457">
        <v>1070</v>
      </c>
    </row>
    <row r="439" spans="1:17" ht="14.4" customHeight="1" x14ac:dyDescent="0.3">
      <c r="A439" s="452" t="s">
        <v>1197</v>
      </c>
      <c r="B439" s="453" t="s">
        <v>1028</v>
      </c>
      <c r="C439" s="453" t="s">
        <v>1029</v>
      </c>
      <c r="D439" s="453" t="s">
        <v>1046</v>
      </c>
      <c r="E439" s="453" t="s">
        <v>1047</v>
      </c>
      <c r="F439" s="456">
        <v>30</v>
      </c>
      <c r="G439" s="456">
        <v>1200</v>
      </c>
      <c r="H439" s="456">
        <v>0.91463414634146345</v>
      </c>
      <c r="I439" s="456">
        <v>40</v>
      </c>
      <c r="J439" s="456">
        <v>32</v>
      </c>
      <c r="K439" s="456">
        <v>1312</v>
      </c>
      <c r="L439" s="456">
        <v>1</v>
      </c>
      <c r="M439" s="456">
        <v>41</v>
      </c>
      <c r="N439" s="456">
        <v>26</v>
      </c>
      <c r="O439" s="456">
        <v>1196</v>
      </c>
      <c r="P439" s="478">
        <v>0.91158536585365857</v>
      </c>
      <c r="Q439" s="457">
        <v>46</v>
      </c>
    </row>
    <row r="440" spans="1:17" ht="14.4" customHeight="1" x14ac:dyDescent="0.3">
      <c r="A440" s="452" t="s">
        <v>1197</v>
      </c>
      <c r="B440" s="453" t="s">
        <v>1028</v>
      </c>
      <c r="C440" s="453" t="s">
        <v>1029</v>
      </c>
      <c r="D440" s="453" t="s">
        <v>1048</v>
      </c>
      <c r="E440" s="453" t="s">
        <v>1049</v>
      </c>
      <c r="F440" s="456">
        <v>7</v>
      </c>
      <c r="G440" s="456">
        <v>2681</v>
      </c>
      <c r="H440" s="456">
        <v>6.981770833333333</v>
      </c>
      <c r="I440" s="456">
        <v>383</v>
      </c>
      <c r="J440" s="456">
        <v>1</v>
      </c>
      <c r="K440" s="456">
        <v>384</v>
      </c>
      <c r="L440" s="456">
        <v>1</v>
      </c>
      <c r="M440" s="456">
        <v>384</v>
      </c>
      <c r="N440" s="456">
        <v>2</v>
      </c>
      <c r="O440" s="456">
        <v>694</v>
      </c>
      <c r="P440" s="478">
        <v>1.8072916666666667</v>
      </c>
      <c r="Q440" s="457">
        <v>347</v>
      </c>
    </row>
    <row r="441" spans="1:17" ht="14.4" customHeight="1" x14ac:dyDescent="0.3">
      <c r="A441" s="452" t="s">
        <v>1197</v>
      </c>
      <c r="B441" s="453" t="s">
        <v>1028</v>
      </c>
      <c r="C441" s="453" t="s">
        <v>1029</v>
      </c>
      <c r="D441" s="453" t="s">
        <v>1054</v>
      </c>
      <c r="E441" s="453" t="s">
        <v>1055</v>
      </c>
      <c r="F441" s="456"/>
      <c r="G441" s="456"/>
      <c r="H441" s="456"/>
      <c r="I441" s="456"/>
      <c r="J441" s="456"/>
      <c r="K441" s="456"/>
      <c r="L441" s="456"/>
      <c r="M441" s="456"/>
      <c r="N441" s="456">
        <v>2</v>
      </c>
      <c r="O441" s="456">
        <v>754</v>
      </c>
      <c r="P441" s="478"/>
      <c r="Q441" s="457">
        <v>377</v>
      </c>
    </row>
    <row r="442" spans="1:17" ht="14.4" customHeight="1" x14ac:dyDescent="0.3">
      <c r="A442" s="452" t="s">
        <v>1197</v>
      </c>
      <c r="B442" s="453" t="s">
        <v>1028</v>
      </c>
      <c r="C442" s="453" t="s">
        <v>1029</v>
      </c>
      <c r="D442" s="453" t="s">
        <v>1058</v>
      </c>
      <c r="E442" s="453" t="s">
        <v>1059</v>
      </c>
      <c r="F442" s="456"/>
      <c r="G442" s="456"/>
      <c r="H442" s="456"/>
      <c r="I442" s="456"/>
      <c r="J442" s="456">
        <v>4</v>
      </c>
      <c r="K442" s="456">
        <v>1968</v>
      </c>
      <c r="L442" s="456">
        <v>1</v>
      </c>
      <c r="M442" s="456">
        <v>492</v>
      </c>
      <c r="N442" s="456">
        <v>5</v>
      </c>
      <c r="O442" s="456">
        <v>2620</v>
      </c>
      <c r="P442" s="478">
        <v>1.3313008130081301</v>
      </c>
      <c r="Q442" s="457">
        <v>524</v>
      </c>
    </row>
    <row r="443" spans="1:17" ht="14.4" customHeight="1" x14ac:dyDescent="0.3">
      <c r="A443" s="452" t="s">
        <v>1197</v>
      </c>
      <c r="B443" s="453" t="s">
        <v>1028</v>
      </c>
      <c r="C443" s="453" t="s">
        <v>1029</v>
      </c>
      <c r="D443" s="453" t="s">
        <v>1060</v>
      </c>
      <c r="E443" s="453" t="s">
        <v>1061</v>
      </c>
      <c r="F443" s="456"/>
      <c r="G443" s="456"/>
      <c r="H443" s="456"/>
      <c r="I443" s="456"/>
      <c r="J443" s="456">
        <v>5</v>
      </c>
      <c r="K443" s="456">
        <v>155</v>
      </c>
      <c r="L443" s="456">
        <v>1</v>
      </c>
      <c r="M443" s="456">
        <v>31</v>
      </c>
      <c r="N443" s="456">
        <v>6</v>
      </c>
      <c r="O443" s="456">
        <v>342</v>
      </c>
      <c r="P443" s="478">
        <v>2.2064516129032259</v>
      </c>
      <c r="Q443" s="457">
        <v>57</v>
      </c>
    </row>
    <row r="444" spans="1:17" ht="14.4" customHeight="1" x14ac:dyDescent="0.3">
      <c r="A444" s="452" t="s">
        <v>1197</v>
      </c>
      <c r="B444" s="453" t="s">
        <v>1028</v>
      </c>
      <c r="C444" s="453" t="s">
        <v>1029</v>
      </c>
      <c r="D444" s="453" t="s">
        <v>1062</v>
      </c>
      <c r="E444" s="453" t="s">
        <v>1063</v>
      </c>
      <c r="F444" s="456">
        <v>1</v>
      </c>
      <c r="G444" s="456">
        <v>207</v>
      </c>
      <c r="H444" s="456"/>
      <c r="I444" s="456">
        <v>207</v>
      </c>
      <c r="J444" s="456"/>
      <c r="K444" s="456"/>
      <c r="L444" s="456"/>
      <c r="M444" s="456"/>
      <c r="N444" s="456">
        <v>1</v>
      </c>
      <c r="O444" s="456">
        <v>224</v>
      </c>
      <c r="P444" s="478"/>
      <c r="Q444" s="457">
        <v>224</v>
      </c>
    </row>
    <row r="445" spans="1:17" ht="14.4" customHeight="1" x14ac:dyDescent="0.3">
      <c r="A445" s="452" t="s">
        <v>1197</v>
      </c>
      <c r="B445" s="453" t="s">
        <v>1028</v>
      </c>
      <c r="C445" s="453" t="s">
        <v>1029</v>
      </c>
      <c r="D445" s="453" t="s">
        <v>1064</v>
      </c>
      <c r="E445" s="453" t="s">
        <v>1065</v>
      </c>
      <c r="F445" s="456">
        <v>1</v>
      </c>
      <c r="G445" s="456">
        <v>380</v>
      </c>
      <c r="H445" s="456"/>
      <c r="I445" s="456">
        <v>380</v>
      </c>
      <c r="J445" s="456"/>
      <c r="K445" s="456"/>
      <c r="L445" s="456"/>
      <c r="M445" s="456"/>
      <c r="N445" s="456">
        <v>2</v>
      </c>
      <c r="O445" s="456">
        <v>1106</v>
      </c>
      <c r="P445" s="478"/>
      <c r="Q445" s="457">
        <v>553</v>
      </c>
    </row>
    <row r="446" spans="1:17" ht="14.4" customHeight="1" x14ac:dyDescent="0.3">
      <c r="A446" s="452" t="s">
        <v>1197</v>
      </c>
      <c r="B446" s="453" t="s">
        <v>1028</v>
      </c>
      <c r="C446" s="453" t="s">
        <v>1029</v>
      </c>
      <c r="D446" s="453" t="s">
        <v>1066</v>
      </c>
      <c r="E446" s="453" t="s">
        <v>1067</v>
      </c>
      <c r="F446" s="456"/>
      <c r="G446" s="456"/>
      <c r="H446" s="456"/>
      <c r="I446" s="456"/>
      <c r="J446" s="456">
        <v>1</v>
      </c>
      <c r="K446" s="456">
        <v>236</v>
      </c>
      <c r="L446" s="456">
        <v>1</v>
      </c>
      <c r="M446" s="456">
        <v>236</v>
      </c>
      <c r="N446" s="456"/>
      <c r="O446" s="456"/>
      <c r="P446" s="478"/>
      <c r="Q446" s="457"/>
    </row>
    <row r="447" spans="1:17" ht="14.4" customHeight="1" x14ac:dyDescent="0.3">
      <c r="A447" s="452" t="s">
        <v>1197</v>
      </c>
      <c r="B447" s="453" t="s">
        <v>1028</v>
      </c>
      <c r="C447" s="453" t="s">
        <v>1029</v>
      </c>
      <c r="D447" s="453" t="s">
        <v>1074</v>
      </c>
      <c r="E447" s="453" t="s">
        <v>1075</v>
      </c>
      <c r="F447" s="456">
        <v>15</v>
      </c>
      <c r="G447" s="456">
        <v>240</v>
      </c>
      <c r="H447" s="456">
        <v>1.1764705882352942</v>
      </c>
      <c r="I447" s="456">
        <v>16</v>
      </c>
      <c r="J447" s="456">
        <v>12</v>
      </c>
      <c r="K447" s="456">
        <v>204</v>
      </c>
      <c r="L447" s="456">
        <v>1</v>
      </c>
      <c r="M447" s="456">
        <v>17</v>
      </c>
      <c r="N447" s="456">
        <v>14</v>
      </c>
      <c r="O447" s="456">
        <v>238</v>
      </c>
      <c r="P447" s="478">
        <v>1.1666666666666667</v>
      </c>
      <c r="Q447" s="457">
        <v>17</v>
      </c>
    </row>
    <row r="448" spans="1:17" ht="14.4" customHeight="1" x14ac:dyDescent="0.3">
      <c r="A448" s="452" t="s">
        <v>1197</v>
      </c>
      <c r="B448" s="453" t="s">
        <v>1028</v>
      </c>
      <c r="C448" s="453" t="s">
        <v>1029</v>
      </c>
      <c r="D448" s="453" t="s">
        <v>1076</v>
      </c>
      <c r="E448" s="453" t="s">
        <v>1077</v>
      </c>
      <c r="F448" s="456"/>
      <c r="G448" s="456"/>
      <c r="H448" s="456"/>
      <c r="I448" s="456"/>
      <c r="J448" s="456">
        <v>1</v>
      </c>
      <c r="K448" s="456">
        <v>139</v>
      </c>
      <c r="L448" s="456">
        <v>1</v>
      </c>
      <c r="M448" s="456">
        <v>139</v>
      </c>
      <c r="N448" s="456"/>
      <c r="O448" s="456"/>
      <c r="P448" s="478"/>
      <c r="Q448" s="457"/>
    </row>
    <row r="449" spans="1:17" ht="14.4" customHeight="1" x14ac:dyDescent="0.3">
      <c r="A449" s="452" t="s">
        <v>1197</v>
      </c>
      <c r="B449" s="453" t="s">
        <v>1028</v>
      </c>
      <c r="C449" s="453" t="s">
        <v>1029</v>
      </c>
      <c r="D449" s="453" t="s">
        <v>1078</v>
      </c>
      <c r="E449" s="453" t="s">
        <v>1079</v>
      </c>
      <c r="F449" s="456">
        <v>1</v>
      </c>
      <c r="G449" s="456">
        <v>103</v>
      </c>
      <c r="H449" s="456">
        <v>0.125</v>
      </c>
      <c r="I449" s="456">
        <v>103</v>
      </c>
      <c r="J449" s="456">
        <v>8</v>
      </c>
      <c r="K449" s="456">
        <v>824</v>
      </c>
      <c r="L449" s="456">
        <v>1</v>
      </c>
      <c r="M449" s="456">
        <v>103</v>
      </c>
      <c r="N449" s="456">
        <v>3</v>
      </c>
      <c r="O449" s="456">
        <v>195</v>
      </c>
      <c r="P449" s="478">
        <v>0.23665048543689321</v>
      </c>
      <c r="Q449" s="457">
        <v>65</v>
      </c>
    </row>
    <row r="450" spans="1:17" ht="14.4" customHeight="1" x14ac:dyDescent="0.3">
      <c r="A450" s="452" t="s">
        <v>1197</v>
      </c>
      <c r="B450" s="453" t="s">
        <v>1028</v>
      </c>
      <c r="C450" s="453" t="s">
        <v>1029</v>
      </c>
      <c r="D450" s="453" t="s">
        <v>1082</v>
      </c>
      <c r="E450" s="453" t="s">
        <v>1083</v>
      </c>
      <c r="F450" s="456">
        <v>62</v>
      </c>
      <c r="G450" s="456">
        <v>7192</v>
      </c>
      <c r="H450" s="456">
        <v>0.46218109376004113</v>
      </c>
      <c r="I450" s="456">
        <v>116</v>
      </c>
      <c r="J450" s="456">
        <v>133</v>
      </c>
      <c r="K450" s="456">
        <v>15561</v>
      </c>
      <c r="L450" s="456">
        <v>1</v>
      </c>
      <c r="M450" s="456">
        <v>117</v>
      </c>
      <c r="N450" s="456">
        <v>94</v>
      </c>
      <c r="O450" s="456">
        <v>12784</v>
      </c>
      <c r="P450" s="478">
        <v>0.82154103206734785</v>
      </c>
      <c r="Q450" s="457">
        <v>136</v>
      </c>
    </row>
    <row r="451" spans="1:17" ht="14.4" customHeight="1" x14ac:dyDescent="0.3">
      <c r="A451" s="452" t="s">
        <v>1197</v>
      </c>
      <c r="B451" s="453" t="s">
        <v>1028</v>
      </c>
      <c r="C451" s="453" t="s">
        <v>1029</v>
      </c>
      <c r="D451" s="453" t="s">
        <v>1084</v>
      </c>
      <c r="E451" s="453" t="s">
        <v>1085</v>
      </c>
      <c r="F451" s="456">
        <v>8</v>
      </c>
      <c r="G451" s="456">
        <v>680</v>
      </c>
      <c r="H451" s="456">
        <v>0.31135531135531136</v>
      </c>
      <c r="I451" s="456">
        <v>85</v>
      </c>
      <c r="J451" s="456">
        <v>24</v>
      </c>
      <c r="K451" s="456">
        <v>2184</v>
      </c>
      <c r="L451" s="456">
        <v>1</v>
      </c>
      <c r="M451" s="456">
        <v>91</v>
      </c>
      <c r="N451" s="456">
        <v>35</v>
      </c>
      <c r="O451" s="456">
        <v>3185</v>
      </c>
      <c r="P451" s="478">
        <v>1.4583333333333333</v>
      </c>
      <c r="Q451" s="457">
        <v>91</v>
      </c>
    </row>
    <row r="452" spans="1:17" ht="14.4" customHeight="1" x14ac:dyDescent="0.3">
      <c r="A452" s="452" t="s">
        <v>1197</v>
      </c>
      <c r="B452" s="453" t="s">
        <v>1028</v>
      </c>
      <c r="C452" s="453" t="s">
        <v>1029</v>
      </c>
      <c r="D452" s="453" t="s">
        <v>1086</v>
      </c>
      <c r="E452" s="453" t="s">
        <v>1087</v>
      </c>
      <c r="F452" s="456">
        <v>1</v>
      </c>
      <c r="G452" s="456">
        <v>98</v>
      </c>
      <c r="H452" s="456">
        <v>0.32996632996632996</v>
      </c>
      <c r="I452" s="456">
        <v>98</v>
      </c>
      <c r="J452" s="456">
        <v>3</v>
      </c>
      <c r="K452" s="456">
        <v>297</v>
      </c>
      <c r="L452" s="456">
        <v>1</v>
      </c>
      <c r="M452" s="456">
        <v>99</v>
      </c>
      <c r="N452" s="456">
        <v>1</v>
      </c>
      <c r="O452" s="456">
        <v>137</v>
      </c>
      <c r="P452" s="478">
        <v>0.46127946127946129</v>
      </c>
      <c r="Q452" s="457">
        <v>137</v>
      </c>
    </row>
    <row r="453" spans="1:17" ht="14.4" customHeight="1" x14ac:dyDescent="0.3">
      <c r="A453" s="452" t="s">
        <v>1197</v>
      </c>
      <c r="B453" s="453" t="s">
        <v>1028</v>
      </c>
      <c r="C453" s="453" t="s">
        <v>1029</v>
      </c>
      <c r="D453" s="453" t="s">
        <v>1088</v>
      </c>
      <c r="E453" s="453" t="s">
        <v>1089</v>
      </c>
      <c r="F453" s="456"/>
      <c r="G453" s="456"/>
      <c r="H453" s="456"/>
      <c r="I453" s="456"/>
      <c r="J453" s="456">
        <v>6</v>
      </c>
      <c r="K453" s="456">
        <v>126</v>
      </c>
      <c r="L453" s="456">
        <v>1</v>
      </c>
      <c r="M453" s="456">
        <v>21</v>
      </c>
      <c r="N453" s="456">
        <v>1</v>
      </c>
      <c r="O453" s="456">
        <v>66</v>
      </c>
      <c r="P453" s="478">
        <v>0.52380952380952384</v>
      </c>
      <c r="Q453" s="457">
        <v>66</v>
      </c>
    </row>
    <row r="454" spans="1:17" ht="14.4" customHeight="1" x14ac:dyDescent="0.3">
      <c r="A454" s="452" t="s">
        <v>1197</v>
      </c>
      <c r="B454" s="453" t="s">
        <v>1028</v>
      </c>
      <c r="C454" s="453" t="s">
        <v>1029</v>
      </c>
      <c r="D454" s="453" t="s">
        <v>1090</v>
      </c>
      <c r="E454" s="453" t="s">
        <v>1091</v>
      </c>
      <c r="F454" s="456">
        <v>14</v>
      </c>
      <c r="G454" s="456">
        <v>6818</v>
      </c>
      <c r="H454" s="456">
        <v>0.63505961251862886</v>
      </c>
      <c r="I454" s="456">
        <v>487</v>
      </c>
      <c r="J454" s="456">
        <v>22</v>
      </c>
      <c r="K454" s="456">
        <v>10736</v>
      </c>
      <c r="L454" s="456">
        <v>1</v>
      </c>
      <c r="M454" s="456">
        <v>488</v>
      </c>
      <c r="N454" s="456">
        <v>18</v>
      </c>
      <c r="O454" s="456">
        <v>5904</v>
      </c>
      <c r="P454" s="478">
        <v>0.54992548435171384</v>
      </c>
      <c r="Q454" s="457">
        <v>328</v>
      </c>
    </row>
    <row r="455" spans="1:17" ht="14.4" customHeight="1" x14ac:dyDescent="0.3">
      <c r="A455" s="452" t="s">
        <v>1197</v>
      </c>
      <c r="B455" s="453" t="s">
        <v>1028</v>
      </c>
      <c r="C455" s="453" t="s">
        <v>1029</v>
      </c>
      <c r="D455" s="453" t="s">
        <v>1098</v>
      </c>
      <c r="E455" s="453" t="s">
        <v>1099</v>
      </c>
      <c r="F455" s="456">
        <v>2</v>
      </c>
      <c r="G455" s="456">
        <v>82</v>
      </c>
      <c r="H455" s="456">
        <v>5.2631578947368418E-2</v>
      </c>
      <c r="I455" s="456">
        <v>41</v>
      </c>
      <c r="J455" s="456">
        <v>38</v>
      </c>
      <c r="K455" s="456">
        <v>1558</v>
      </c>
      <c r="L455" s="456">
        <v>1</v>
      </c>
      <c r="M455" s="456">
        <v>41</v>
      </c>
      <c r="N455" s="456">
        <v>22</v>
      </c>
      <c r="O455" s="456">
        <v>1122</v>
      </c>
      <c r="P455" s="478">
        <v>0.72015404364569957</v>
      </c>
      <c r="Q455" s="457">
        <v>51</v>
      </c>
    </row>
    <row r="456" spans="1:17" ht="14.4" customHeight="1" x14ac:dyDescent="0.3">
      <c r="A456" s="452" t="s">
        <v>1197</v>
      </c>
      <c r="B456" s="453" t="s">
        <v>1028</v>
      </c>
      <c r="C456" s="453" t="s">
        <v>1029</v>
      </c>
      <c r="D456" s="453" t="s">
        <v>1112</v>
      </c>
      <c r="E456" s="453" t="s">
        <v>1113</v>
      </c>
      <c r="F456" s="456"/>
      <c r="G456" s="456"/>
      <c r="H456" s="456"/>
      <c r="I456" s="456"/>
      <c r="J456" s="456">
        <v>3</v>
      </c>
      <c r="K456" s="456">
        <v>1842</v>
      </c>
      <c r="L456" s="456">
        <v>1</v>
      </c>
      <c r="M456" s="456">
        <v>614</v>
      </c>
      <c r="N456" s="456">
        <v>3</v>
      </c>
      <c r="O456" s="456">
        <v>1836</v>
      </c>
      <c r="P456" s="478">
        <v>0.99674267100977199</v>
      </c>
      <c r="Q456" s="457">
        <v>612</v>
      </c>
    </row>
    <row r="457" spans="1:17" ht="14.4" customHeight="1" x14ac:dyDescent="0.3">
      <c r="A457" s="452" t="s">
        <v>1197</v>
      </c>
      <c r="B457" s="453" t="s">
        <v>1028</v>
      </c>
      <c r="C457" s="453" t="s">
        <v>1029</v>
      </c>
      <c r="D457" s="453" t="s">
        <v>1124</v>
      </c>
      <c r="E457" s="453" t="s">
        <v>1125</v>
      </c>
      <c r="F457" s="456"/>
      <c r="G457" s="456"/>
      <c r="H457" s="456"/>
      <c r="I457" s="456"/>
      <c r="J457" s="456">
        <v>1</v>
      </c>
      <c r="K457" s="456">
        <v>249</v>
      </c>
      <c r="L457" s="456">
        <v>1</v>
      </c>
      <c r="M457" s="456">
        <v>249</v>
      </c>
      <c r="N457" s="456"/>
      <c r="O457" s="456"/>
      <c r="P457" s="478"/>
      <c r="Q457" s="457"/>
    </row>
    <row r="458" spans="1:17" ht="14.4" customHeight="1" x14ac:dyDescent="0.3">
      <c r="A458" s="452" t="s">
        <v>1198</v>
      </c>
      <c r="B458" s="453" t="s">
        <v>1028</v>
      </c>
      <c r="C458" s="453" t="s">
        <v>1029</v>
      </c>
      <c r="D458" s="453" t="s">
        <v>1046</v>
      </c>
      <c r="E458" s="453" t="s">
        <v>1047</v>
      </c>
      <c r="F458" s="456">
        <v>3</v>
      </c>
      <c r="G458" s="456">
        <v>120</v>
      </c>
      <c r="H458" s="456"/>
      <c r="I458" s="456">
        <v>40</v>
      </c>
      <c r="J458" s="456"/>
      <c r="K458" s="456"/>
      <c r="L458" s="456"/>
      <c r="M458" s="456"/>
      <c r="N458" s="456"/>
      <c r="O458" s="456"/>
      <c r="P458" s="478"/>
      <c r="Q458" s="457"/>
    </row>
    <row r="459" spans="1:17" ht="14.4" customHeight="1" x14ac:dyDescent="0.3">
      <c r="A459" s="452" t="s">
        <v>1199</v>
      </c>
      <c r="B459" s="453" t="s">
        <v>1028</v>
      </c>
      <c r="C459" s="453" t="s">
        <v>1029</v>
      </c>
      <c r="D459" s="453" t="s">
        <v>1030</v>
      </c>
      <c r="E459" s="453" t="s">
        <v>1031</v>
      </c>
      <c r="F459" s="456">
        <v>33</v>
      </c>
      <c r="G459" s="456">
        <v>5313</v>
      </c>
      <c r="H459" s="456">
        <v>0.52949970101654376</v>
      </c>
      <c r="I459" s="456">
        <v>161</v>
      </c>
      <c r="J459" s="456">
        <v>58</v>
      </c>
      <c r="K459" s="456">
        <v>10034</v>
      </c>
      <c r="L459" s="456">
        <v>1</v>
      </c>
      <c r="M459" s="456">
        <v>173</v>
      </c>
      <c r="N459" s="456">
        <v>40</v>
      </c>
      <c r="O459" s="456">
        <v>6920</v>
      </c>
      <c r="P459" s="478">
        <v>0.68965517241379315</v>
      </c>
      <c r="Q459" s="457">
        <v>173</v>
      </c>
    </row>
    <row r="460" spans="1:17" ht="14.4" customHeight="1" x14ac:dyDescent="0.3">
      <c r="A460" s="452" t="s">
        <v>1199</v>
      </c>
      <c r="B460" s="453" t="s">
        <v>1028</v>
      </c>
      <c r="C460" s="453" t="s">
        <v>1029</v>
      </c>
      <c r="D460" s="453" t="s">
        <v>1046</v>
      </c>
      <c r="E460" s="453" t="s">
        <v>1047</v>
      </c>
      <c r="F460" s="456">
        <v>6</v>
      </c>
      <c r="G460" s="456">
        <v>240</v>
      </c>
      <c r="H460" s="456">
        <v>0.58536585365853655</v>
      </c>
      <c r="I460" s="456">
        <v>40</v>
      </c>
      <c r="J460" s="456">
        <v>10</v>
      </c>
      <c r="K460" s="456">
        <v>410</v>
      </c>
      <c r="L460" s="456">
        <v>1</v>
      </c>
      <c r="M460" s="456">
        <v>41</v>
      </c>
      <c r="N460" s="456">
        <v>3</v>
      </c>
      <c r="O460" s="456">
        <v>138</v>
      </c>
      <c r="P460" s="478">
        <v>0.33658536585365856</v>
      </c>
      <c r="Q460" s="457">
        <v>46</v>
      </c>
    </row>
    <row r="461" spans="1:17" ht="14.4" customHeight="1" x14ac:dyDescent="0.3">
      <c r="A461" s="452" t="s">
        <v>1199</v>
      </c>
      <c r="B461" s="453" t="s">
        <v>1028</v>
      </c>
      <c r="C461" s="453" t="s">
        <v>1029</v>
      </c>
      <c r="D461" s="453" t="s">
        <v>1060</v>
      </c>
      <c r="E461" s="453" t="s">
        <v>1061</v>
      </c>
      <c r="F461" s="456">
        <v>1</v>
      </c>
      <c r="G461" s="456">
        <v>31</v>
      </c>
      <c r="H461" s="456">
        <v>0.25</v>
      </c>
      <c r="I461" s="456">
        <v>31</v>
      </c>
      <c r="J461" s="456">
        <v>4</v>
      </c>
      <c r="K461" s="456">
        <v>124</v>
      </c>
      <c r="L461" s="456">
        <v>1</v>
      </c>
      <c r="M461" s="456">
        <v>31</v>
      </c>
      <c r="N461" s="456">
        <v>3</v>
      </c>
      <c r="O461" s="456">
        <v>171</v>
      </c>
      <c r="P461" s="478">
        <v>1.3790322580645162</v>
      </c>
      <c r="Q461" s="457">
        <v>57</v>
      </c>
    </row>
    <row r="462" spans="1:17" ht="14.4" customHeight="1" x14ac:dyDescent="0.3">
      <c r="A462" s="452" t="s">
        <v>1199</v>
      </c>
      <c r="B462" s="453" t="s">
        <v>1028</v>
      </c>
      <c r="C462" s="453" t="s">
        <v>1029</v>
      </c>
      <c r="D462" s="453" t="s">
        <v>1076</v>
      </c>
      <c r="E462" s="453" t="s">
        <v>1077</v>
      </c>
      <c r="F462" s="456"/>
      <c r="G462" s="456"/>
      <c r="H462" s="456"/>
      <c r="I462" s="456"/>
      <c r="J462" s="456"/>
      <c r="K462" s="456"/>
      <c r="L462" s="456"/>
      <c r="M462" s="456"/>
      <c r="N462" s="456">
        <v>1</v>
      </c>
      <c r="O462" s="456">
        <v>143</v>
      </c>
      <c r="P462" s="478"/>
      <c r="Q462" s="457">
        <v>143</v>
      </c>
    </row>
    <row r="463" spans="1:17" ht="14.4" customHeight="1" x14ac:dyDescent="0.3">
      <c r="A463" s="452" t="s">
        <v>1199</v>
      </c>
      <c r="B463" s="453" t="s">
        <v>1028</v>
      </c>
      <c r="C463" s="453" t="s">
        <v>1029</v>
      </c>
      <c r="D463" s="453" t="s">
        <v>1078</v>
      </c>
      <c r="E463" s="453" t="s">
        <v>1079</v>
      </c>
      <c r="F463" s="456">
        <v>4</v>
      </c>
      <c r="G463" s="456">
        <v>412</v>
      </c>
      <c r="H463" s="456"/>
      <c r="I463" s="456">
        <v>103</v>
      </c>
      <c r="J463" s="456"/>
      <c r="K463" s="456"/>
      <c r="L463" s="456"/>
      <c r="M463" s="456"/>
      <c r="N463" s="456"/>
      <c r="O463" s="456"/>
      <c r="P463" s="478"/>
      <c r="Q463" s="457"/>
    </row>
    <row r="464" spans="1:17" ht="14.4" customHeight="1" x14ac:dyDescent="0.3">
      <c r="A464" s="452" t="s">
        <v>1199</v>
      </c>
      <c r="B464" s="453" t="s">
        <v>1028</v>
      </c>
      <c r="C464" s="453" t="s">
        <v>1029</v>
      </c>
      <c r="D464" s="453" t="s">
        <v>1082</v>
      </c>
      <c r="E464" s="453" t="s">
        <v>1083</v>
      </c>
      <c r="F464" s="456">
        <v>27</v>
      </c>
      <c r="G464" s="456">
        <v>3132</v>
      </c>
      <c r="H464" s="456">
        <v>0.78733031674208143</v>
      </c>
      <c r="I464" s="456">
        <v>116</v>
      </c>
      <c r="J464" s="456">
        <v>34</v>
      </c>
      <c r="K464" s="456">
        <v>3978</v>
      </c>
      <c r="L464" s="456">
        <v>1</v>
      </c>
      <c r="M464" s="456">
        <v>117</v>
      </c>
      <c r="N464" s="456">
        <v>15</v>
      </c>
      <c r="O464" s="456">
        <v>2040</v>
      </c>
      <c r="P464" s="478">
        <v>0.51282051282051277</v>
      </c>
      <c r="Q464" s="457">
        <v>136</v>
      </c>
    </row>
    <row r="465" spans="1:17" ht="14.4" customHeight="1" x14ac:dyDescent="0.3">
      <c r="A465" s="452" t="s">
        <v>1199</v>
      </c>
      <c r="B465" s="453" t="s">
        <v>1028</v>
      </c>
      <c r="C465" s="453" t="s">
        <v>1029</v>
      </c>
      <c r="D465" s="453" t="s">
        <v>1084</v>
      </c>
      <c r="E465" s="453" t="s">
        <v>1085</v>
      </c>
      <c r="F465" s="456">
        <v>8</v>
      </c>
      <c r="G465" s="456">
        <v>680</v>
      </c>
      <c r="H465" s="456">
        <v>0.29890109890109889</v>
      </c>
      <c r="I465" s="456">
        <v>85</v>
      </c>
      <c r="J465" s="456">
        <v>25</v>
      </c>
      <c r="K465" s="456">
        <v>2275</v>
      </c>
      <c r="L465" s="456">
        <v>1</v>
      </c>
      <c r="M465" s="456">
        <v>91</v>
      </c>
      <c r="N465" s="456">
        <v>10</v>
      </c>
      <c r="O465" s="456">
        <v>910</v>
      </c>
      <c r="P465" s="478">
        <v>0.4</v>
      </c>
      <c r="Q465" s="457">
        <v>91</v>
      </c>
    </row>
    <row r="466" spans="1:17" ht="14.4" customHeight="1" x14ac:dyDescent="0.3">
      <c r="A466" s="452" t="s">
        <v>1199</v>
      </c>
      <c r="B466" s="453" t="s">
        <v>1028</v>
      </c>
      <c r="C466" s="453" t="s">
        <v>1029</v>
      </c>
      <c r="D466" s="453" t="s">
        <v>1088</v>
      </c>
      <c r="E466" s="453" t="s">
        <v>1089</v>
      </c>
      <c r="F466" s="456">
        <v>3</v>
      </c>
      <c r="G466" s="456">
        <v>63</v>
      </c>
      <c r="H466" s="456">
        <v>1.5</v>
      </c>
      <c r="I466" s="456">
        <v>21</v>
      </c>
      <c r="J466" s="456">
        <v>2</v>
      </c>
      <c r="K466" s="456">
        <v>42</v>
      </c>
      <c r="L466" s="456">
        <v>1</v>
      </c>
      <c r="M466" s="456">
        <v>21</v>
      </c>
      <c r="N466" s="456"/>
      <c r="O466" s="456"/>
      <c r="P466" s="478"/>
      <c r="Q466" s="457"/>
    </row>
    <row r="467" spans="1:17" ht="14.4" customHeight="1" x14ac:dyDescent="0.3">
      <c r="A467" s="452" t="s">
        <v>1199</v>
      </c>
      <c r="B467" s="453" t="s">
        <v>1028</v>
      </c>
      <c r="C467" s="453" t="s">
        <v>1029</v>
      </c>
      <c r="D467" s="453" t="s">
        <v>1098</v>
      </c>
      <c r="E467" s="453" t="s">
        <v>1099</v>
      </c>
      <c r="F467" s="456">
        <v>14</v>
      </c>
      <c r="G467" s="456">
        <v>574</v>
      </c>
      <c r="H467" s="456">
        <v>1.0769230769230769</v>
      </c>
      <c r="I467" s="456">
        <v>41</v>
      </c>
      <c r="J467" s="456">
        <v>13</v>
      </c>
      <c r="K467" s="456">
        <v>533</v>
      </c>
      <c r="L467" s="456">
        <v>1</v>
      </c>
      <c r="M467" s="456">
        <v>41</v>
      </c>
      <c r="N467" s="456">
        <v>11</v>
      </c>
      <c r="O467" s="456">
        <v>561</v>
      </c>
      <c r="P467" s="478">
        <v>1.0525328330206378</v>
      </c>
      <c r="Q467" s="457">
        <v>51</v>
      </c>
    </row>
    <row r="468" spans="1:17" ht="14.4" customHeight="1" x14ac:dyDescent="0.3">
      <c r="A468" s="452" t="s">
        <v>1200</v>
      </c>
      <c r="B468" s="453" t="s">
        <v>1028</v>
      </c>
      <c r="C468" s="453" t="s">
        <v>1029</v>
      </c>
      <c r="D468" s="453" t="s">
        <v>1030</v>
      </c>
      <c r="E468" s="453" t="s">
        <v>1031</v>
      </c>
      <c r="F468" s="456">
        <v>7</v>
      </c>
      <c r="G468" s="456">
        <v>1127</v>
      </c>
      <c r="H468" s="456">
        <v>3.2572254335260116</v>
      </c>
      <c r="I468" s="456">
        <v>161</v>
      </c>
      <c r="J468" s="456">
        <v>2</v>
      </c>
      <c r="K468" s="456">
        <v>346</v>
      </c>
      <c r="L468" s="456">
        <v>1</v>
      </c>
      <c r="M468" s="456">
        <v>173</v>
      </c>
      <c r="N468" s="456">
        <v>7</v>
      </c>
      <c r="O468" s="456">
        <v>1211</v>
      </c>
      <c r="P468" s="478">
        <v>3.5</v>
      </c>
      <c r="Q468" s="457">
        <v>173</v>
      </c>
    </row>
    <row r="469" spans="1:17" ht="14.4" customHeight="1" x14ac:dyDescent="0.3">
      <c r="A469" s="452" t="s">
        <v>1200</v>
      </c>
      <c r="B469" s="453" t="s">
        <v>1028</v>
      </c>
      <c r="C469" s="453" t="s">
        <v>1029</v>
      </c>
      <c r="D469" s="453" t="s">
        <v>1046</v>
      </c>
      <c r="E469" s="453" t="s">
        <v>1047</v>
      </c>
      <c r="F469" s="456">
        <v>16</v>
      </c>
      <c r="G469" s="456">
        <v>640</v>
      </c>
      <c r="H469" s="456"/>
      <c r="I469" s="456">
        <v>40</v>
      </c>
      <c r="J469" s="456"/>
      <c r="K469" s="456"/>
      <c r="L469" s="456"/>
      <c r="M469" s="456"/>
      <c r="N469" s="456">
        <v>18</v>
      </c>
      <c r="O469" s="456">
        <v>828</v>
      </c>
      <c r="P469" s="478"/>
      <c r="Q469" s="457">
        <v>46</v>
      </c>
    </row>
    <row r="470" spans="1:17" ht="14.4" customHeight="1" x14ac:dyDescent="0.3">
      <c r="A470" s="452" t="s">
        <v>1200</v>
      </c>
      <c r="B470" s="453" t="s">
        <v>1028</v>
      </c>
      <c r="C470" s="453" t="s">
        <v>1029</v>
      </c>
      <c r="D470" s="453" t="s">
        <v>1058</v>
      </c>
      <c r="E470" s="453" t="s">
        <v>1059</v>
      </c>
      <c r="F470" s="456"/>
      <c r="G470" s="456"/>
      <c r="H470" s="456"/>
      <c r="I470" s="456"/>
      <c r="J470" s="456"/>
      <c r="K470" s="456"/>
      <c r="L470" s="456"/>
      <c r="M470" s="456"/>
      <c r="N470" s="456">
        <v>1</v>
      </c>
      <c r="O470" s="456">
        <v>524</v>
      </c>
      <c r="P470" s="478"/>
      <c r="Q470" s="457">
        <v>524</v>
      </c>
    </row>
    <row r="471" spans="1:17" ht="14.4" customHeight="1" x14ac:dyDescent="0.3">
      <c r="A471" s="452" t="s">
        <v>1200</v>
      </c>
      <c r="B471" s="453" t="s">
        <v>1028</v>
      </c>
      <c r="C471" s="453" t="s">
        <v>1029</v>
      </c>
      <c r="D471" s="453" t="s">
        <v>1060</v>
      </c>
      <c r="E471" s="453" t="s">
        <v>1061</v>
      </c>
      <c r="F471" s="456"/>
      <c r="G471" s="456"/>
      <c r="H471" s="456"/>
      <c r="I471" s="456"/>
      <c r="J471" s="456"/>
      <c r="K471" s="456"/>
      <c r="L471" s="456"/>
      <c r="M471" s="456"/>
      <c r="N471" s="456">
        <v>2</v>
      </c>
      <c r="O471" s="456">
        <v>114</v>
      </c>
      <c r="P471" s="478"/>
      <c r="Q471" s="457">
        <v>57</v>
      </c>
    </row>
    <row r="472" spans="1:17" ht="14.4" customHeight="1" x14ac:dyDescent="0.3">
      <c r="A472" s="452" t="s">
        <v>1200</v>
      </c>
      <c r="B472" s="453" t="s">
        <v>1028</v>
      </c>
      <c r="C472" s="453" t="s">
        <v>1029</v>
      </c>
      <c r="D472" s="453" t="s">
        <v>1074</v>
      </c>
      <c r="E472" s="453" t="s">
        <v>1075</v>
      </c>
      <c r="F472" s="456"/>
      <c r="G472" s="456"/>
      <c r="H472" s="456"/>
      <c r="I472" s="456"/>
      <c r="J472" s="456"/>
      <c r="K472" s="456"/>
      <c r="L472" s="456"/>
      <c r="M472" s="456"/>
      <c r="N472" s="456">
        <v>2</v>
      </c>
      <c r="O472" s="456">
        <v>34</v>
      </c>
      <c r="P472" s="478"/>
      <c r="Q472" s="457">
        <v>17</v>
      </c>
    </row>
    <row r="473" spans="1:17" ht="14.4" customHeight="1" x14ac:dyDescent="0.3">
      <c r="A473" s="452" t="s">
        <v>1200</v>
      </c>
      <c r="B473" s="453" t="s">
        <v>1028</v>
      </c>
      <c r="C473" s="453" t="s">
        <v>1029</v>
      </c>
      <c r="D473" s="453" t="s">
        <v>1082</v>
      </c>
      <c r="E473" s="453" t="s">
        <v>1083</v>
      </c>
      <c r="F473" s="456">
        <v>20</v>
      </c>
      <c r="G473" s="456">
        <v>2320</v>
      </c>
      <c r="H473" s="456">
        <v>1.166415284062343</v>
      </c>
      <c r="I473" s="456">
        <v>116</v>
      </c>
      <c r="J473" s="456">
        <v>17</v>
      </c>
      <c r="K473" s="456">
        <v>1989</v>
      </c>
      <c r="L473" s="456">
        <v>1</v>
      </c>
      <c r="M473" s="456">
        <v>117</v>
      </c>
      <c r="N473" s="456">
        <v>58</v>
      </c>
      <c r="O473" s="456">
        <v>7888</v>
      </c>
      <c r="P473" s="478">
        <v>3.9658119658119659</v>
      </c>
      <c r="Q473" s="457">
        <v>136</v>
      </c>
    </row>
    <row r="474" spans="1:17" ht="14.4" customHeight="1" x14ac:dyDescent="0.3">
      <c r="A474" s="452" t="s">
        <v>1200</v>
      </c>
      <c r="B474" s="453" t="s">
        <v>1028</v>
      </c>
      <c r="C474" s="453" t="s">
        <v>1029</v>
      </c>
      <c r="D474" s="453" t="s">
        <v>1084</v>
      </c>
      <c r="E474" s="453" t="s">
        <v>1085</v>
      </c>
      <c r="F474" s="456">
        <v>5</v>
      </c>
      <c r="G474" s="456">
        <v>425</v>
      </c>
      <c r="H474" s="456"/>
      <c r="I474" s="456">
        <v>85</v>
      </c>
      <c r="J474" s="456"/>
      <c r="K474" s="456"/>
      <c r="L474" s="456"/>
      <c r="M474" s="456"/>
      <c r="N474" s="456"/>
      <c r="O474" s="456"/>
      <c r="P474" s="478"/>
      <c r="Q474" s="457"/>
    </row>
    <row r="475" spans="1:17" ht="14.4" customHeight="1" x14ac:dyDescent="0.3">
      <c r="A475" s="452" t="s">
        <v>1200</v>
      </c>
      <c r="B475" s="453" t="s">
        <v>1028</v>
      </c>
      <c r="C475" s="453" t="s">
        <v>1029</v>
      </c>
      <c r="D475" s="453" t="s">
        <v>1088</v>
      </c>
      <c r="E475" s="453" t="s">
        <v>1089</v>
      </c>
      <c r="F475" s="456">
        <v>1</v>
      </c>
      <c r="G475" s="456">
        <v>21</v>
      </c>
      <c r="H475" s="456"/>
      <c r="I475" s="456">
        <v>21</v>
      </c>
      <c r="J475" s="456"/>
      <c r="K475" s="456"/>
      <c r="L475" s="456"/>
      <c r="M475" s="456"/>
      <c r="N475" s="456"/>
      <c r="O475" s="456"/>
      <c r="P475" s="478"/>
      <c r="Q475" s="457"/>
    </row>
    <row r="476" spans="1:17" ht="14.4" customHeight="1" x14ac:dyDescent="0.3">
      <c r="A476" s="452" t="s">
        <v>1200</v>
      </c>
      <c r="B476" s="453" t="s">
        <v>1028</v>
      </c>
      <c r="C476" s="453" t="s">
        <v>1029</v>
      </c>
      <c r="D476" s="453" t="s">
        <v>1090</v>
      </c>
      <c r="E476" s="453" t="s">
        <v>1091</v>
      </c>
      <c r="F476" s="456"/>
      <c r="G476" s="456"/>
      <c r="H476" s="456"/>
      <c r="I476" s="456"/>
      <c r="J476" s="456"/>
      <c r="K476" s="456"/>
      <c r="L476" s="456"/>
      <c r="M476" s="456"/>
      <c r="N476" s="456">
        <v>2</v>
      </c>
      <c r="O476" s="456">
        <v>656</v>
      </c>
      <c r="P476" s="478"/>
      <c r="Q476" s="457">
        <v>328</v>
      </c>
    </row>
    <row r="477" spans="1:17" ht="14.4" customHeight="1" x14ac:dyDescent="0.3">
      <c r="A477" s="452" t="s">
        <v>1200</v>
      </c>
      <c r="B477" s="453" t="s">
        <v>1028</v>
      </c>
      <c r="C477" s="453" t="s">
        <v>1029</v>
      </c>
      <c r="D477" s="453" t="s">
        <v>1098</v>
      </c>
      <c r="E477" s="453" t="s">
        <v>1099</v>
      </c>
      <c r="F477" s="456">
        <v>1</v>
      </c>
      <c r="G477" s="456">
        <v>41</v>
      </c>
      <c r="H477" s="456">
        <v>1</v>
      </c>
      <c r="I477" s="456">
        <v>41</v>
      </c>
      <c r="J477" s="456">
        <v>1</v>
      </c>
      <c r="K477" s="456">
        <v>41</v>
      </c>
      <c r="L477" s="456">
        <v>1</v>
      </c>
      <c r="M477" s="456">
        <v>41</v>
      </c>
      <c r="N477" s="456"/>
      <c r="O477" s="456"/>
      <c r="P477" s="478"/>
      <c r="Q477" s="457"/>
    </row>
    <row r="478" spans="1:17" ht="14.4" customHeight="1" x14ac:dyDescent="0.3">
      <c r="A478" s="452" t="s">
        <v>1200</v>
      </c>
      <c r="B478" s="453" t="s">
        <v>1028</v>
      </c>
      <c r="C478" s="453" t="s">
        <v>1029</v>
      </c>
      <c r="D478" s="453" t="s">
        <v>1112</v>
      </c>
      <c r="E478" s="453" t="s">
        <v>1113</v>
      </c>
      <c r="F478" s="456"/>
      <c r="G478" s="456"/>
      <c r="H478" s="456"/>
      <c r="I478" s="456"/>
      <c r="J478" s="456"/>
      <c r="K478" s="456"/>
      <c r="L478" s="456"/>
      <c r="M478" s="456"/>
      <c r="N478" s="456">
        <v>1</v>
      </c>
      <c r="O478" s="456">
        <v>612</v>
      </c>
      <c r="P478" s="478"/>
      <c r="Q478" s="457">
        <v>612</v>
      </c>
    </row>
    <row r="479" spans="1:17" ht="14.4" customHeight="1" x14ac:dyDescent="0.3">
      <c r="A479" s="452" t="s">
        <v>1200</v>
      </c>
      <c r="B479" s="453" t="s">
        <v>1028</v>
      </c>
      <c r="C479" s="453" t="s">
        <v>1029</v>
      </c>
      <c r="D479" s="453" t="s">
        <v>1132</v>
      </c>
      <c r="E479" s="453" t="s">
        <v>1133</v>
      </c>
      <c r="F479" s="456">
        <v>5</v>
      </c>
      <c r="G479" s="456">
        <v>135</v>
      </c>
      <c r="H479" s="456"/>
      <c r="I479" s="456">
        <v>27</v>
      </c>
      <c r="J479" s="456"/>
      <c r="K479" s="456"/>
      <c r="L479" s="456"/>
      <c r="M479" s="456"/>
      <c r="N479" s="456"/>
      <c r="O479" s="456"/>
      <c r="P479" s="478"/>
      <c r="Q479" s="457"/>
    </row>
    <row r="480" spans="1:17" ht="14.4" customHeight="1" x14ac:dyDescent="0.3">
      <c r="A480" s="452" t="s">
        <v>1201</v>
      </c>
      <c r="B480" s="453" t="s">
        <v>1028</v>
      </c>
      <c r="C480" s="453" t="s">
        <v>1029</v>
      </c>
      <c r="D480" s="453" t="s">
        <v>1030</v>
      </c>
      <c r="E480" s="453" t="s">
        <v>1031</v>
      </c>
      <c r="F480" s="456">
        <v>26</v>
      </c>
      <c r="G480" s="456">
        <v>4186</v>
      </c>
      <c r="H480" s="456">
        <v>0.25204720616570325</v>
      </c>
      <c r="I480" s="456">
        <v>161</v>
      </c>
      <c r="J480" s="456">
        <v>96</v>
      </c>
      <c r="K480" s="456">
        <v>16608</v>
      </c>
      <c r="L480" s="456">
        <v>1</v>
      </c>
      <c r="M480" s="456">
        <v>173</v>
      </c>
      <c r="N480" s="456">
        <v>115</v>
      </c>
      <c r="O480" s="456">
        <v>19895</v>
      </c>
      <c r="P480" s="478">
        <v>1.1979166666666667</v>
      </c>
      <c r="Q480" s="457">
        <v>173</v>
      </c>
    </row>
    <row r="481" spans="1:17" ht="14.4" customHeight="1" x14ac:dyDescent="0.3">
      <c r="A481" s="452" t="s">
        <v>1201</v>
      </c>
      <c r="B481" s="453" t="s">
        <v>1028</v>
      </c>
      <c r="C481" s="453" t="s">
        <v>1029</v>
      </c>
      <c r="D481" s="453" t="s">
        <v>1044</v>
      </c>
      <c r="E481" s="453" t="s">
        <v>1045</v>
      </c>
      <c r="F481" s="456"/>
      <c r="G481" s="456"/>
      <c r="H481" s="456"/>
      <c r="I481" s="456"/>
      <c r="J481" s="456">
        <v>5</v>
      </c>
      <c r="K481" s="456">
        <v>5865</v>
      </c>
      <c r="L481" s="456">
        <v>1</v>
      </c>
      <c r="M481" s="456">
        <v>1173</v>
      </c>
      <c r="N481" s="456"/>
      <c r="O481" s="456"/>
      <c r="P481" s="478"/>
      <c r="Q481" s="457"/>
    </row>
    <row r="482" spans="1:17" ht="14.4" customHeight="1" x14ac:dyDescent="0.3">
      <c r="A482" s="452" t="s">
        <v>1201</v>
      </c>
      <c r="B482" s="453" t="s">
        <v>1028</v>
      </c>
      <c r="C482" s="453" t="s">
        <v>1029</v>
      </c>
      <c r="D482" s="453" t="s">
        <v>1046</v>
      </c>
      <c r="E482" s="453" t="s">
        <v>1047</v>
      </c>
      <c r="F482" s="456">
        <v>39</v>
      </c>
      <c r="G482" s="456">
        <v>1560</v>
      </c>
      <c r="H482" s="456">
        <v>0.50064184852374838</v>
      </c>
      <c r="I482" s="456">
        <v>40</v>
      </c>
      <c r="J482" s="456">
        <v>76</v>
      </c>
      <c r="K482" s="456">
        <v>3116</v>
      </c>
      <c r="L482" s="456">
        <v>1</v>
      </c>
      <c r="M482" s="456">
        <v>41</v>
      </c>
      <c r="N482" s="456">
        <v>91</v>
      </c>
      <c r="O482" s="456">
        <v>4186</v>
      </c>
      <c r="P482" s="478">
        <v>1.3433889602053914</v>
      </c>
      <c r="Q482" s="457">
        <v>46</v>
      </c>
    </row>
    <row r="483" spans="1:17" ht="14.4" customHeight="1" x14ac:dyDescent="0.3">
      <c r="A483" s="452" t="s">
        <v>1201</v>
      </c>
      <c r="B483" s="453" t="s">
        <v>1028</v>
      </c>
      <c r="C483" s="453" t="s">
        <v>1029</v>
      </c>
      <c r="D483" s="453" t="s">
        <v>1048</v>
      </c>
      <c r="E483" s="453" t="s">
        <v>1049</v>
      </c>
      <c r="F483" s="456"/>
      <c r="G483" s="456"/>
      <c r="H483" s="456"/>
      <c r="I483" s="456"/>
      <c r="J483" s="456">
        <v>7</v>
      </c>
      <c r="K483" s="456">
        <v>2688</v>
      </c>
      <c r="L483" s="456">
        <v>1</v>
      </c>
      <c r="M483" s="456">
        <v>384</v>
      </c>
      <c r="N483" s="456">
        <v>5</v>
      </c>
      <c r="O483" s="456">
        <v>1735</v>
      </c>
      <c r="P483" s="478">
        <v>0.64546130952380953</v>
      </c>
      <c r="Q483" s="457">
        <v>347</v>
      </c>
    </row>
    <row r="484" spans="1:17" ht="14.4" customHeight="1" x14ac:dyDescent="0.3">
      <c r="A484" s="452" t="s">
        <v>1201</v>
      </c>
      <c r="B484" s="453" t="s">
        <v>1028</v>
      </c>
      <c r="C484" s="453" t="s">
        <v>1029</v>
      </c>
      <c r="D484" s="453" t="s">
        <v>1054</v>
      </c>
      <c r="E484" s="453" t="s">
        <v>1055</v>
      </c>
      <c r="F484" s="456"/>
      <c r="G484" s="456"/>
      <c r="H484" s="456"/>
      <c r="I484" s="456"/>
      <c r="J484" s="456"/>
      <c r="K484" s="456"/>
      <c r="L484" s="456"/>
      <c r="M484" s="456"/>
      <c r="N484" s="456">
        <v>14</v>
      </c>
      <c r="O484" s="456">
        <v>5278</v>
      </c>
      <c r="P484" s="478"/>
      <c r="Q484" s="457">
        <v>377</v>
      </c>
    </row>
    <row r="485" spans="1:17" ht="14.4" customHeight="1" x14ac:dyDescent="0.3">
      <c r="A485" s="452" t="s">
        <v>1201</v>
      </c>
      <c r="B485" s="453" t="s">
        <v>1028</v>
      </c>
      <c r="C485" s="453" t="s">
        <v>1029</v>
      </c>
      <c r="D485" s="453" t="s">
        <v>1058</v>
      </c>
      <c r="E485" s="453" t="s">
        <v>1059</v>
      </c>
      <c r="F485" s="456">
        <v>7</v>
      </c>
      <c r="G485" s="456">
        <v>3437</v>
      </c>
      <c r="H485" s="456">
        <v>0.77619692863595302</v>
      </c>
      <c r="I485" s="456">
        <v>491</v>
      </c>
      <c r="J485" s="456">
        <v>9</v>
      </c>
      <c r="K485" s="456">
        <v>4428</v>
      </c>
      <c r="L485" s="456">
        <v>1</v>
      </c>
      <c r="M485" s="456">
        <v>492</v>
      </c>
      <c r="N485" s="456">
        <v>32</v>
      </c>
      <c r="O485" s="456">
        <v>16768</v>
      </c>
      <c r="P485" s="478">
        <v>3.7868112014453477</v>
      </c>
      <c r="Q485" s="457">
        <v>524</v>
      </c>
    </row>
    <row r="486" spans="1:17" ht="14.4" customHeight="1" x14ac:dyDescent="0.3">
      <c r="A486" s="452" t="s">
        <v>1201</v>
      </c>
      <c r="B486" s="453" t="s">
        <v>1028</v>
      </c>
      <c r="C486" s="453" t="s">
        <v>1029</v>
      </c>
      <c r="D486" s="453" t="s">
        <v>1060</v>
      </c>
      <c r="E486" s="453" t="s">
        <v>1061</v>
      </c>
      <c r="F486" s="456"/>
      <c r="G486" s="456"/>
      <c r="H486" s="456"/>
      <c r="I486" s="456"/>
      <c r="J486" s="456">
        <v>9</v>
      </c>
      <c r="K486" s="456">
        <v>279</v>
      </c>
      <c r="L486" s="456">
        <v>1</v>
      </c>
      <c r="M486" s="456">
        <v>31</v>
      </c>
      <c r="N486" s="456"/>
      <c r="O486" s="456"/>
      <c r="P486" s="478"/>
      <c r="Q486" s="457"/>
    </row>
    <row r="487" spans="1:17" ht="14.4" customHeight="1" x14ac:dyDescent="0.3">
      <c r="A487" s="452" t="s">
        <v>1201</v>
      </c>
      <c r="B487" s="453" t="s">
        <v>1028</v>
      </c>
      <c r="C487" s="453" t="s">
        <v>1029</v>
      </c>
      <c r="D487" s="453" t="s">
        <v>1074</v>
      </c>
      <c r="E487" s="453" t="s">
        <v>1075</v>
      </c>
      <c r="F487" s="456">
        <v>11</v>
      </c>
      <c r="G487" s="456">
        <v>176</v>
      </c>
      <c r="H487" s="456">
        <v>0.33396584440227706</v>
      </c>
      <c r="I487" s="456">
        <v>16</v>
      </c>
      <c r="J487" s="456">
        <v>31</v>
      </c>
      <c r="K487" s="456">
        <v>527</v>
      </c>
      <c r="L487" s="456">
        <v>1</v>
      </c>
      <c r="M487" s="456">
        <v>17</v>
      </c>
      <c r="N487" s="456">
        <v>38</v>
      </c>
      <c r="O487" s="456">
        <v>646</v>
      </c>
      <c r="P487" s="478">
        <v>1.2258064516129032</v>
      </c>
      <c r="Q487" s="457">
        <v>17</v>
      </c>
    </row>
    <row r="488" spans="1:17" ht="14.4" customHeight="1" x14ac:dyDescent="0.3">
      <c r="A488" s="452" t="s">
        <v>1201</v>
      </c>
      <c r="B488" s="453" t="s">
        <v>1028</v>
      </c>
      <c r="C488" s="453" t="s">
        <v>1029</v>
      </c>
      <c r="D488" s="453" t="s">
        <v>1078</v>
      </c>
      <c r="E488" s="453" t="s">
        <v>1079</v>
      </c>
      <c r="F488" s="456">
        <v>5</v>
      </c>
      <c r="G488" s="456">
        <v>515</v>
      </c>
      <c r="H488" s="456">
        <v>1.6666666666666667</v>
      </c>
      <c r="I488" s="456">
        <v>103</v>
      </c>
      <c r="J488" s="456">
        <v>3</v>
      </c>
      <c r="K488" s="456">
        <v>309</v>
      </c>
      <c r="L488" s="456">
        <v>1</v>
      </c>
      <c r="M488" s="456">
        <v>103</v>
      </c>
      <c r="N488" s="456">
        <v>4</v>
      </c>
      <c r="O488" s="456">
        <v>260</v>
      </c>
      <c r="P488" s="478">
        <v>0.84142394822006472</v>
      </c>
      <c r="Q488" s="457">
        <v>65</v>
      </c>
    </row>
    <row r="489" spans="1:17" ht="14.4" customHeight="1" x14ac:dyDescent="0.3">
      <c r="A489" s="452" t="s">
        <v>1201</v>
      </c>
      <c r="B489" s="453" t="s">
        <v>1028</v>
      </c>
      <c r="C489" s="453" t="s">
        <v>1029</v>
      </c>
      <c r="D489" s="453" t="s">
        <v>1082</v>
      </c>
      <c r="E489" s="453" t="s">
        <v>1083</v>
      </c>
      <c r="F489" s="456">
        <v>101</v>
      </c>
      <c r="G489" s="456">
        <v>11716</v>
      </c>
      <c r="H489" s="456">
        <v>0.62979089394183729</v>
      </c>
      <c r="I489" s="456">
        <v>116</v>
      </c>
      <c r="J489" s="456">
        <v>159</v>
      </c>
      <c r="K489" s="456">
        <v>18603</v>
      </c>
      <c r="L489" s="456">
        <v>1</v>
      </c>
      <c r="M489" s="456">
        <v>117</v>
      </c>
      <c r="N489" s="456">
        <v>217</v>
      </c>
      <c r="O489" s="456">
        <v>29512</v>
      </c>
      <c r="P489" s="478">
        <v>1.5864107939579637</v>
      </c>
      <c r="Q489" s="457">
        <v>136</v>
      </c>
    </row>
    <row r="490" spans="1:17" ht="14.4" customHeight="1" x14ac:dyDescent="0.3">
      <c r="A490" s="452" t="s">
        <v>1201</v>
      </c>
      <c r="B490" s="453" t="s">
        <v>1028</v>
      </c>
      <c r="C490" s="453" t="s">
        <v>1029</v>
      </c>
      <c r="D490" s="453" t="s">
        <v>1084</v>
      </c>
      <c r="E490" s="453" t="s">
        <v>1085</v>
      </c>
      <c r="F490" s="456">
        <v>9</v>
      </c>
      <c r="G490" s="456">
        <v>765</v>
      </c>
      <c r="H490" s="456">
        <v>0.28021978021978022</v>
      </c>
      <c r="I490" s="456">
        <v>85</v>
      </c>
      <c r="J490" s="456">
        <v>30</v>
      </c>
      <c r="K490" s="456">
        <v>2730</v>
      </c>
      <c r="L490" s="456">
        <v>1</v>
      </c>
      <c r="M490" s="456">
        <v>91</v>
      </c>
      <c r="N490" s="456">
        <v>67</v>
      </c>
      <c r="O490" s="456">
        <v>6097</v>
      </c>
      <c r="P490" s="478">
        <v>2.2333333333333334</v>
      </c>
      <c r="Q490" s="457">
        <v>91</v>
      </c>
    </row>
    <row r="491" spans="1:17" ht="14.4" customHeight="1" x14ac:dyDescent="0.3">
      <c r="A491" s="452" t="s">
        <v>1201</v>
      </c>
      <c r="B491" s="453" t="s">
        <v>1028</v>
      </c>
      <c r="C491" s="453" t="s">
        <v>1029</v>
      </c>
      <c r="D491" s="453" t="s">
        <v>1088</v>
      </c>
      <c r="E491" s="453" t="s">
        <v>1089</v>
      </c>
      <c r="F491" s="456">
        <v>3</v>
      </c>
      <c r="G491" s="456">
        <v>63</v>
      </c>
      <c r="H491" s="456">
        <v>0.375</v>
      </c>
      <c r="I491" s="456">
        <v>21</v>
      </c>
      <c r="J491" s="456">
        <v>8</v>
      </c>
      <c r="K491" s="456">
        <v>168</v>
      </c>
      <c r="L491" s="456">
        <v>1</v>
      </c>
      <c r="M491" s="456">
        <v>21</v>
      </c>
      <c r="N491" s="456">
        <v>9</v>
      </c>
      <c r="O491" s="456">
        <v>594</v>
      </c>
      <c r="P491" s="478">
        <v>3.5357142857142856</v>
      </c>
      <c r="Q491" s="457">
        <v>66</v>
      </c>
    </row>
    <row r="492" spans="1:17" ht="14.4" customHeight="1" x14ac:dyDescent="0.3">
      <c r="A492" s="452" t="s">
        <v>1201</v>
      </c>
      <c r="B492" s="453" t="s">
        <v>1028</v>
      </c>
      <c r="C492" s="453" t="s">
        <v>1029</v>
      </c>
      <c r="D492" s="453" t="s">
        <v>1090</v>
      </c>
      <c r="E492" s="453" t="s">
        <v>1091</v>
      </c>
      <c r="F492" s="456">
        <v>28</v>
      </c>
      <c r="G492" s="456">
        <v>13636</v>
      </c>
      <c r="H492" s="456">
        <v>0.48176936122102881</v>
      </c>
      <c r="I492" s="456">
        <v>487</v>
      </c>
      <c r="J492" s="456">
        <v>58</v>
      </c>
      <c r="K492" s="456">
        <v>28304</v>
      </c>
      <c r="L492" s="456">
        <v>1</v>
      </c>
      <c r="M492" s="456">
        <v>488</v>
      </c>
      <c r="N492" s="456">
        <v>58</v>
      </c>
      <c r="O492" s="456">
        <v>19024</v>
      </c>
      <c r="P492" s="478">
        <v>0.67213114754098358</v>
      </c>
      <c r="Q492" s="457">
        <v>328</v>
      </c>
    </row>
    <row r="493" spans="1:17" ht="14.4" customHeight="1" x14ac:dyDescent="0.3">
      <c r="A493" s="452" t="s">
        <v>1201</v>
      </c>
      <c r="B493" s="453" t="s">
        <v>1028</v>
      </c>
      <c r="C493" s="453" t="s">
        <v>1029</v>
      </c>
      <c r="D493" s="453" t="s">
        <v>1098</v>
      </c>
      <c r="E493" s="453" t="s">
        <v>1099</v>
      </c>
      <c r="F493" s="456">
        <v>2</v>
      </c>
      <c r="G493" s="456">
        <v>82</v>
      </c>
      <c r="H493" s="456">
        <v>0.13333333333333333</v>
      </c>
      <c r="I493" s="456">
        <v>41</v>
      </c>
      <c r="J493" s="456">
        <v>15</v>
      </c>
      <c r="K493" s="456">
        <v>615</v>
      </c>
      <c r="L493" s="456">
        <v>1</v>
      </c>
      <c r="M493" s="456">
        <v>41</v>
      </c>
      <c r="N493" s="456">
        <v>4</v>
      </c>
      <c r="O493" s="456">
        <v>204</v>
      </c>
      <c r="P493" s="478">
        <v>0.33170731707317075</v>
      </c>
      <c r="Q493" s="457">
        <v>51</v>
      </c>
    </row>
    <row r="494" spans="1:17" ht="14.4" customHeight="1" x14ac:dyDescent="0.3">
      <c r="A494" s="452" t="s">
        <v>1201</v>
      </c>
      <c r="B494" s="453" t="s">
        <v>1028</v>
      </c>
      <c r="C494" s="453" t="s">
        <v>1029</v>
      </c>
      <c r="D494" s="453" t="s">
        <v>1110</v>
      </c>
      <c r="E494" s="453" t="s">
        <v>1111</v>
      </c>
      <c r="F494" s="456"/>
      <c r="G494" s="456"/>
      <c r="H494" s="456"/>
      <c r="I494" s="456"/>
      <c r="J494" s="456"/>
      <c r="K494" s="456"/>
      <c r="L494" s="456"/>
      <c r="M494" s="456"/>
      <c r="N494" s="456">
        <v>2</v>
      </c>
      <c r="O494" s="456">
        <v>4232</v>
      </c>
      <c r="P494" s="478"/>
      <c r="Q494" s="457">
        <v>2116</v>
      </c>
    </row>
    <row r="495" spans="1:17" ht="14.4" customHeight="1" x14ac:dyDescent="0.3">
      <c r="A495" s="452" t="s">
        <v>1201</v>
      </c>
      <c r="B495" s="453" t="s">
        <v>1028</v>
      </c>
      <c r="C495" s="453" t="s">
        <v>1029</v>
      </c>
      <c r="D495" s="453" t="s">
        <v>1112</v>
      </c>
      <c r="E495" s="453" t="s">
        <v>1113</v>
      </c>
      <c r="F495" s="456">
        <v>8</v>
      </c>
      <c r="G495" s="456">
        <v>4864</v>
      </c>
      <c r="H495" s="456">
        <v>0.8802026782482808</v>
      </c>
      <c r="I495" s="456">
        <v>608</v>
      </c>
      <c r="J495" s="456">
        <v>9</v>
      </c>
      <c r="K495" s="456">
        <v>5526</v>
      </c>
      <c r="L495" s="456">
        <v>1</v>
      </c>
      <c r="M495" s="456">
        <v>614</v>
      </c>
      <c r="N495" s="456">
        <v>66</v>
      </c>
      <c r="O495" s="456">
        <v>40392</v>
      </c>
      <c r="P495" s="478">
        <v>7.3094462540716609</v>
      </c>
      <c r="Q495" s="457">
        <v>612</v>
      </c>
    </row>
    <row r="496" spans="1:17" ht="14.4" customHeight="1" x14ac:dyDescent="0.3">
      <c r="A496" s="452" t="s">
        <v>1201</v>
      </c>
      <c r="B496" s="453" t="s">
        <v>1028</v>
      </c>
      <c r="C496" s="453" t="s">
        <v>1029</v>
      </c>
      <c r="D496" s="453" t="s">
        <v>1144</v>
      </c>
      <c r="E496" s="453"/>
      <c r="F496" s="456"/>
      <c r="G496" s="456"/>
      <c r="H496" s="456"/>
      <c r="I496" s="456"/>
      <c r="J496" s="456"/>
      <c r="K496" s="456"/>
      <c r="L496" s="456"/>
      <c r="M496" s="456"/>
      <c r="N496" s="456">
        <v>4</v>
      </c>
      <c r="O496" s="456">
        <v>5972</v>
      </c>
      <c r="P496" s="478"/>
      <c r="Q496" s="457">
        <v>1493</v>
      </c>
    </row>
    <row r="497" spans="1:17" ht="14.4" customHeight="1" x14ac:dyDescent="0.3">
      <c r="A497" s="452" t="s">
        <v>1201</v>
      </c>
      <c r="B497" s="453" t="s">
        <v>1028</v>
      </c>
      <c r="C497" s="453" t="s">
        <v>1029</v>
      </c>
      <c r="D497" s="453" t="s">
        <v>1146</v>
      </c>
      <c r="E497" s="453"/>
      <c r="F497" s="456"/>
      <c r="G497" s="456"/>
      <c r="H497" s="456"/>
      <c r="I497" s="456"/>
      <c r="J497" s="456"/>
      <c r="K497" s="456"/>
      <c r="L497" s="456"/>
      <c r="M497" s="456"/>
      <c r="N497" s="456">
        <v>2</v>
      </c>
      <c r="O497" s="456">
        <v>1774</v>
      </c>
      <c r="P497" s="478"/>
      <c r="Q497" s="457">
        <v>887</v>
      </c>
    </row>
    <row r="498" spans="1:17" ht="14.4" customHeight="1" x14ac:dyDescent="0.3">
      <c r="A498" s="452" t="s">
        <v>1202</v>
      </c>
      <c r="B498" s="453" t="s">
        <v>1028</v>
      </c>
      <c r="C498" s="453" t="s">
        <v>1029</v>
      </c>
      <c r="D498" s="453" t="s">
        <v>1030</v>
      </c>
      <c r="E498" s="453" t="s">
        <v>1031</v>
      </c>
      <c r="F498" s="456">
        <v>221</v>
      </c>
      <c r="G498" s="456">
        <v>35581</v>
      </c>
      <c r="H498" s="456">
        <v>1.076809006446146</v>
      </c>
      <c r="I498" s="456">
        <v>161</v>
      </c>
      <c r="J498" s="456">
        <v>191</v>
      </c>
      <c r="K498" s="456">
        <v>33043</v>
      </c>
      <c r="L498" s="456">
        <v>1</v>
      </c>
      <c r="M498" s="456">
        <v>173</v>
      </c>
      <c r="N498" s="456">
        <v>183</v>
      </c>
      <c r="O498" s="456">
        <v>31659</v>
      </c>
      <c r="P498" s="478">
        <v>0.95811518324607325</v>
      </c>
      <c r="Q498" s="457">
        <v>173</v>
      </c>
    </row>
    <row r="499" spans="1:17" ht="14.4" customHeight="1" x14ac:dyDescent="0.3">
      <c r="A499" s="452" t="s">
        <v>1202</v>
      </c>
      <c r="B499" s="453" t="s">
        <v>1028</v>
      </c>
      <c r="C499" s="453" t="s">
        <v>1029</v>
      </c>
      <c r="D499" s="453" t="s">
        <v>1046</v>
      </c>
      <c r="E499" s="453" t="s">
        <v>1047</v>
      </c>
      <c r="F499" s="456">
        <v>15</v>
      </c>
      <c r="G499" s="456">
        <v>600</v>
      </c>
      <c r="H499" s="456">
        <v>1.8292682926829269</v>
      </c>
      <c r="I499" s="456">
        <v>40</v>
      </c>
      <c r="J499" s="456">
        <v>8</v>
      </c>
      <c r="K499" s="456">
        <v>328</v>
      </c>
      <c r="L499" s="456">
        <v>1</v>
      </c>
      <c r="M499" s="456">
        <v>41</v>
      </c>
      <c r="N499" s="456">
        <v>8</v>
      </c>
      <c r="O499" s="456">
        <v>368</v>
      </c>
      <c r="P499" s="478">
        <v>1.1219512195121952</v>
      </c>
      <c r="Q499" s="457">
        <v>46</v>
      </c>
    </row>
    <row r="500" spans="1:17" ht="14.4" customHeight="1" x14ac:dyDescent="0.3">
      <c r="A500" s="452" t="s">
        <v>1202</v>
      </c>
      <c r="B500" s="453" t="s">
        <v>1028</v>
      </c>
      <c r="C500" s="453" t="s">
        <v>1029</v>
      </c>
      <c r="D500" s="453" t="s">
        <v>1054</v>
      </c>
      <c r="E500" s="453" t="s">
        <v>1055</v>
      </c>
      <c r="F500" s="456"/>
      <c r="G500" s="456"/>
      <c r="H500" s="456"/>
      <c r="I500" s="456"/>
      <c r="J500" s="456"/>
      <c r="K500" s="456"/>
      <c r="L500" s="456"/>
      <c r="M500" s="456"/>
      <c r="N500" s="456">
        <v>2</v>
      </c>
      <c r="O500" s="456">
        <v>754</v>
      </c>
      <c r="P500" s="478"/>
      <c r="Q500" s="457">
        <v>377</v>
      </c>
    </row>
    <row r="501" spans="1:17" ht="14.4" customHeight="1" x14ac:dyDescent="0.3">
      <c r="A501" s="452" t="s">
        <v>1202</v>
      </c>
      <c r="B501" s="453" t="s">
        <v>1028</v>
      </c>
      <c r="C501" s="453" t="s">
        <v>1029</v>
      </c>
      <c r="D501" s="453" t="s">
        <v>1058</v>
      </c>
      <c r="E501" s="453" t="s">
        <v>1059</v>
      </c>
      <c r="F501" s="456"/>
      <c r="G501" s="456"/>
      <c r="H501" s="456"/>
      <c r="I501" s="456"/>
      <c r="J501" s="456"/>
      <c r="K501" s="456"/>
      <c r="L501" s="456"/>
      <c r="M501" s="456"/>
      <c r="N501" s="456">
        <v>1</v>
      </c>
      <c r="O501" s="456">
        <v>524</v>
      </c>
      <c r="P501" s="478"/>
      <c r="Q501" s="457">
        <v>524</v>
      </c>
    </row>
    <row r="502" spans="1:17" ht="14.4" customHeight="1" x14ac:dyDescent="0.3">
      <c r="A502" s="452" t="s">
        <v>1202</v>
      </c>
      <c r="B502" s="453" t="s">
        <v>1028</v>
      </c>
      <c r="C502" s="453" t="s">
        <v>1029</v>
      </c>
      <c r="D502" s="453" t="s">
        <v>1060</v>
      </c>
      <c r="E502" s="453" t="s">
        <v>1061</v>
      </c>
      <c r="F502" s="456">
        <v>5</v>
      </c>
      <c r="G502" s="456">
        <v>155</v>
      </c>
      <c r="H502" s="456"/>
      <c r="I502" s="456">
        <v>31</v>
      </c>
      <c r="J502" s="456"/>
      <c r="K502" s="456"/>
      <c r="L502" s="456"/>
      <c r="M502" s="456"/>
      <c r="N502" s="456">
        <v>2</v>
      </c>
      <c r="O502" s="456">
        <v>114</v>
      </c>
      <c r="P502" s="478"/>
      <c r="Q502" s="457">
        <v>57</v>
      </c>
    </row>
    <row r="503" spans="1:17" ht="14.4" customHeight="1" x14ac:dyDescent="0.3">
      <c r="A503" s="452" t="s">
        <v>1202</v>
      </c>
      <c r="B503" s="453" t="s">
        <v>1028</v>
      </c>
      <c r="C503" s="453" t="s">
        <v>1029</v>
      </c>
      <c r="D503" s="453" t="s">
        <v>1062</v>
      </c>
      <c r="E503" s="453" t="s">
        <v>1063</v>
      </c>
      <c r="F503" s="456">
        <v>2</v>
      </c>
      <c r="G503" s="456">
        <v>414</v>
      </c>
      <c r="H503" s="456"/>
      <c r="I503" s="456">
        <v>207</v>
      </c>
      <c r="J503" s="456"/>
      <c r="K503" s="456"/>
      <c r="L503" s="456"/>
      <c r="M503" s="456"/>
      <c r="N503" s="456"/>
      <c r="O503" s="456"/>
      <c r="P503" s="478"/>
      <c r="Q503" s="457"/>
    </row>
    <row r="504" spans="1:17" ht="14.4" customHeight="1" x14ac:dyDescent="0.3">
      <c r="A504" s="452" t="s">
        <v>1202</v>
      </c>
      <c r="B504" s="453" t="s">
        <v>1028</v>
      </c>
      <c r="C504" s="453" t="s">
        <v>1029</v>
      </c>
      <c r="D504" s="453" t="s">
        <v>1064</v>
      </c>
      <c r="E504" s="453" t="s">
        <v>1065</v>
      </c>
      <c r="F504" s="456">
        <v>2</v>
      </c>
      <c r="G504" s="456">
        <v>760</v>
      </c>
      <c r="H504" s="456"/>
      <c r="I504" s="456">
        <v>380</v>
      </c>
      <c r="J504" s="456"/>
      <c r="K504" s="456"/>
      <c r="L504" s="456"/>
      <c r="M504" s="456"/>
      <c r="N504" s="456"/>
      <c r="O504" s="456"/>
      <c r="P504" s="478"/>
      <c r="Q504" s="457"/>
    </row>
    <row r="505" spans="1:17" ht="14.4" customHeight="1" x14ac:dyDescent="0.3">
      <c r="A505" s="452" t="s">
        <v>1202</v>
      </c>
      <c r="B505" s="453" t="s">
        <v>1028</v>
      </c>
      <c r="C505" s="453" t="s">
        <v>1029</v>
      </c>
      <c r="D505" s="453" t="s">
        <v>1074</v>
      </c>
      <c r="E505" s="453" t="s">
        <v>1075</v>
      </c>
      <c r="F505" s="456">
        <v>1</v>
      </c>
      <c r="G505" s="456">
        <v>16</v>
      </c>
      <c r="H505" s="456"/>
      <c r="I505" s="456">
        <v>16</v>
      </c>
      <c r="J505" s="456"/>
      <c r="K505" s="456"/>
      <c r="L505" s="456"/>
      <c r="M505" s="456"/>
      <c r="N505" s="456">
        <v>1</v>
      </c>
      <c r="O505" s="456">
        <v>17</v>
      </c>
      <c r="P505" s="478"/>
      <c r="Q505" s="457">
        <v>17</v>
      </c>
    </row>
    <row r="506" spans="1:17" ht="14.4" customHeight="1" x14ac:dyDescent="0.3">
      <c r="A506" s="452" t="s">
        <v>1202</v>
      </c>
      <c r="B506" s="453" t="s">
        <v>1028</v>
      </c>
      <c r="C506" s="453" t="s">
        <v>1029</v>
      </c>
      <c r="D506" s="453" t="s">
        <v>1076</v>
      </c>
      <c r="E506" s="453" t="s">
        <v>1077</v>
      </c>
      <c r="F506" s="456">
        <v>2</v>
      </c>
      <c r="G506" s="456">
        <v>272</v>
      </c>
      <c r="H506" s="456">
        <v>1.9568345323741008</v>
      </c>
      <c r="I506" s="456">
        <v>136</v>
      </c>
      <c r="J506" s="456">
        <v>1</v>
      </c>
      <c r="K506" s="456">
        <v>139</v>
      </c>
      <c r="L506" s="456">
        <v>1</v>
      </c>
      <c r="M506" s="456">
        <v>139</v>
      </c>
      <c r="N506" s="456"/>
      <c r="O506" s="456"/>
      <c r="P506" s="478"/>
      <c r="Q506" s="457"/>
    </row>
    <row r="507" spans="1:17" ht="14.4" customHeight="1" x14ac:dyDescent="0.3">
      <c r="A507" s="452" t="s">
        <v>1202</v>
      </c>
      <c r="B507" s="453" t="s">
        <v>1028</v>
      </c>
      <c r="C507" s="453" t="s">
        <v>1029</v>
      </c>
      <c r="D507" s="453" t="s">
        <v>1078</v>
      </c>
      <c r="E507" s="453" t="s">
        <v>1079</v>
      </c>
      <c r="F507" s="456"/>
      <c r="G507" s="456"/>
      <c r="H507" s="456"/>
      <c r="I507" s="456"/>
      <c r="J507" s="456"/>
      <c r="K507" s="456"/>
      <c r="L507" s="456"/>
      <c r="M507" s="456"/>
      <c r="N507" s="456">
        <v>1</v>
      </c>
      <c r="O507" s="456">
        <v>65</v>
      </c>
      <c r="P507" s="478"/>
      <c r="Q507" s="457">
        <v>65</v>
      </c>
    </row>
    <row r="508" spans="1:17" ht="14.4" customHeight="1" x14ac:dyDescent="0.3">
      <c r="A508" s="452" t="s">
        <v>1202</v>
      </c>
      <c r="B508" s="453" t="s">
        <v>1028</v>
      </c>
      <c r="C508" s="453" t="s">
        <v>1029</v>
      </c>
      <c r="D508" s="453" t="s">
        <v>1082</v>
      </c>
      <c r="E508" s="453" t="s">
        <v>1083</v>
      </c>
      <c r="F508" s="456">
        <v>91</v>
      </c>
      <c r="G508" s="456">
        <v>10556</v>
      </c>
      <c r="H508" s="456">
        <v>2.5777777777777779</v>
      </c>
      <c r="I508" s="456">
        <v>116</v>
      </c>
      <c r="J508" s="456">
        <v>35</v>
      </c>
      <c r="K508" s="456">
        <v>4095</v>
      </c>
      <c r="L508" s="456">
        <v>1</v>
      </c>
      <c r="M508" s="456">
        <v>117</v>
      </c>
      <c r="N508" s="456">
        <v>51</v>
      </c>
      <c r="O508" s="456">
        <v>6936</v>
      </c>
      <c r="P508" s="478">
        <v>1.6937728937728938</v>
      </c>
      <c r="Q508" s="457">
        <v>136</v>
      </c>
    </row>
    <row r="509" spans="1:17" ht="14.4" customHeight="1" x14ac:dyDescent="0.3">
      <c r="A509" s="452" t="s">
        <v>1202</v>
      </c>
      <c r="B509" s="453" t="s">
        <v>1028</v>
      </c>
      <c r="C509" s="453" t="s">
        <v>1029</v>
      </c>
      <c r="D509" s="453" t="s">
        <v>1084</v>
      </c>
      <c r="E509" s="453" t="s">
        <v>1085</v>
      </c>
      <c r="F509" s="456">
        <v>34</v>
      </c>
      <c r="G509" s="456">
        <v>2890</v>
      </c>
      <c r="H509" s="456">
        <v>3.1758241758241756</v>
      </c>
      <c r="I509" s="456">
        <v>85</v>
      </c>
      <c r="J509" s="456">
        <v>10</v>
      </c>
      <c r="K509" s="456">
        <v>910</v>
      </c>
      <c r="L509" s="456">
        <v>1</v>
      </c>
      <c r="M509" s="456">
        <v>91</v>
      </c>
      <c r="N509" s="456">
        <v>12</v>
      </c>
      <c r="O509" s="456">
        <v>1092</v>
      </c>
      <c r="P509" s="478">
        <v>1.2</v>
      </c>
      <c r="Q509" s="457">
        <v>91</v>
      </c>
    </row>
    <row r="510" spans="1:17" ht="14.4" customHeight="1" x14ac:dyDescent="0.3">
      <c r="A510" s="452" t="s">
        <v>1202</v>
      </c>
      <c r="B510" s="453" t="s">
        <v>1028</v>
      </c>
      <c r="C510" s="453" t="s">
        <v>1029</v>
      </c>
      <c r="D510" s="453" t="s">
        <v>1088</v>
      </c>
      <c r="E510" s="453" t="s">
        <v>1089</v>
      </c>
      <c r="F510" s="456">
        <v>6</v>
      </c>
      <c r="G510" s="456">
        <v>126</v>
      </c>
      <c r="H510" s="456">
        <v>3</v>
      </c>
      <c r="I510" s="456">
        <v>21</v>
      </c>
      <c r="J510" s="456">
        <v>2</v>
      </c>
      <c r="K510" s="456">
        <v>42</v>
      </c>
      <c r="L510" s="456">
        <v>1</v>
      </c>
      <c r="M510" s="456">
        <v>21</v>
      </c>
      <c r="N510" s="456"/>
      <c r="O510" s="456"/>
      <c r="P510" s="478"/>
      <c r="Q510" s="457"/>
    </row>
    <row r="511" spans="1:17" ht="14.4" customHeight="1" x14ac:dyDescent="0.3">
      <c r="A511" s="452" t="s">
        <v>1202</v>
      </c>
      <c r="B511" s="453" t="s">
        <v>1028</v>
      </c>
      <c r="C511" s="453" t="s">
        <v>1029</v>
      </c>
      <c r="D511" s="453" t="s">
        <v>1098</v>
      </c>
      <c r="E511" s="453" t="s">
        <v>1099</v>
      </c>
      <c r="F511" s="456">
        <v>10</v>
      </c>
      <c r="G511" s="456">
        <v>410</v>
      </c>
      <c r="H511" s="456">
        <v>2</v>
      </c>
      <c r="I511" s="456">
        <v>41</v>
      </c>
      <c r="J511" s="456">
        <v>5</v>
      </c>
      <c r="K511" s="456">
        <v>205</v>
      </c>
      <c r="L511" s="456">
        <v>1</v>
      </c>
      <c r="M511" s="456">
        <v>41</v>
      </c>
      <c r="N511" s="456">
        <v>5</v>
      </c>
      <c r="O511" s="456">
        <v>255</v>
      </c>
      <c r="P511" s="478">
        <v>1.2439024390243902</v>
      </c>
      <c r="Q511" s="457">
        <v>51</v>
      </c>
    </row>
    <row r="512" spans="1:17" ht="14.4" customHeight="1" x14ac:dyDescent="0.3">
      <c r="A512" s="452" t="s">
        <v>1202</v>
      </c>
      <c r="B512" s="453" t="s">
        <v>1028</v>
      </c>
      <c r="C512" s="453" t="s">
        <v>1029</v>
      </c>
      <c r="D512" s="453" t="s">
        <v>1106</v>
      </c>
      <c r="E512" s="453" t="s">
        <v>1107</v>
      </c>
      <c r="F512" s="456">
        <v>1</v>
      </c>
      <c r="G512" s="456">
        <v>219</v>
      </c>
      <c r="H512" s="456"/>
      <c r="I512" s="456">
        <v>219</v>
      </c>
      <c r="J512" s="456"/>
      <c r="K512" s="456"/>
      <c r="L512" s="456"/>
      <c r="M512" s="456"/>
      <c r="N512" s="456"/>
      <c r="O512" s="456"/>
      <c r="P512" s="478"/>
      <c r="Q512" s="457"/>
    </row>
    <row r="513" spans="1:17" ht="14.4" customHeight="1" x14ac:dyDescent="0.3">
      <c r="A513" s="452" t="s">
        <v>1202</v>
      </c>
      <c r="B513" s="453" t="s">
        <v>1028</v>
      </c>
      <c r="C513" s="453" t="s">
        <v>1029</v>
      </c>
      <c r="D513" s="453" t="s">
        <v>1112</v>
      </c>
      <c r="E513" s="453" t="s">
        <v>1113</v>
      </c>
      <c r="F513" s="456"/>
      <c r="G513" s="456"/>
      <c r="H513" s="456"/>
      <c r="I513" s="456"/>
      <c r="J513" s="456"/>
      <c r="K513" s="456"/>
      <c r="L513" s="456"/>
      <c r="M513" s="456"/>
      <c r="N513" s="456">
        <v>1</v>
      </c>
      <c r="O513" s="456">
        <v>612</v>
      </c>
      <c r="P513" s="478"/>
      <c r="Q513" s="457">
        <v>612</v>
      </c>
    </row>
    <row r="514" spans="1:17" ht="14.4" customHeight="1" x14ac:dyDescent="0.3">
      <c r="A514" s="452" t="s">
        <v>1203</v>
      </c>
      <c r="B514" s="453" t="s">
        <v>1028</v>
      </c>
      <c r="C514" s="453" t="s">
        <v>1029</v>
      </c>
      <c r="D514" s="453" t="s">
        <v>1030</v>
      </c>
      <c r="E514" s="453" t="s">
        <v>1031</v>
      </c>
      <c r="F514" s="456">
        <v>278</v>
      </c>
      <c r="G514" s="456">
        <v>44758</v>
      </c>
      <c r="H514" s="456">
        <v>1.096257470363476</v>
      </c>
      <c r="I514" s="456">
        <v>161</v>
      </c>
      <c r="J514" s="456">
        <v>236</v>
      </c>
      <c r="K514" s="456">
        <v>40828</v>
      </c>
      <c r="L514" s="456">
        <v>1</v>
      </c>
      <c r="M514" s="456">
        <v>173</v>
      </c>
      <c r="N514" s="456">
        <v>148</v>
      </c>
      <c r="O514" s="456">
        <v>25604</v>
      </c>
      <c r="P514" s="478">
        <v>0.6271186440677966</v>
      </c>
      <c r="Q514" s="457">
        <v>173</v>
      </c>
    </row>
    <row r="515" spans="1:17" ht="14.4" customHeight="1" x14ac:dyDescent="0.3">
      <c r="A515" s="452" t="s">
        <v>1203</v>
      </c>
      <c r="B515" s="453" t="s">
        <v>1028</v>
      </c>
      <c r="C515" s="453" t="s">
        <v>1029</v>
      </c>
      <c r="D515" s="453" t="s">
        <v>1044</v>
      </c>
      <c r="E515" s="453" t="s">
        <v>1045</v>
      </c>
      <c r="F515" s="456">
        <v>5</v>
      </c>
      <c r="G515" s="456">
        <v>5845</v>
      </c>
      <c r="H515" s="456">
        <v>0.11073221559155064</v>
      </c>
      <c r="I515" s="456">
        <v>1169</v>
      </c>
      <c r="J515" s="456">
        <v>45</v>
      </c>
      <c r="K515" s="456">
        <v>52785</v>
      </c>
      <c r="L515" s="456">
        <v>1</v>
      </c>
      <c r="M515" s="456">
        <v>1173</v>
      </c>
      <c r="N515" s="456">
        <v>47</v>
      </c>
      <c r="O515" s="456">
        <v>50290</v>
      </c>
      <c r="P515" s="478">
        <v>0.95273278393482996</v>
      </c>
      <c r="Q515" s="457">
        <v>1070</v>
      </c>
    </row>
    <row r="516" spans="1:17" ht="14.4" customHeight="1" x14ac:dyDescent="0.3">
      <c r="A516" s="452" t="s">
        <v>1203</v>
      </c>
      <c r="B516" s="453" t="s">
        <v>1028</v>
      </c>
      <c r="C516" s="453" t="s">
        <v>1029</v>
      </c>
      <c r="D516" s="453" t="s">
        <v>1046</v>
      </c>
      <c r="E516" s="453" t="s">
        <v>1047</v>
      </c>
      <c r="F516" s="456">
        <v>970</v>
      </c>
      <c r="G516" s="456">
        <v>38800</v>
      </c>
      <c r="H516" s="456">
        <v>1.1107294171533264</v>
      </c>
      <c r="I516" s="456">
        <v>40</v>
      </c>
      <c r="J516" s="456">
        <v>852</v>
      </c>
      <c r="K516" s="456">
        <v>34932</v>
      </c>
      <c r="L516" s="456">
        <v>1</v>
      </c>
      <c r="M516" s="456">
        <v>41</v>
      </c>
      <c r="N516" s="456">
        <v>913</v>
      </c>
      <c r="O516" s="456">
        <v>41998</v>
      </c>
      <c r="P516" s="478">
        <v>1.2022787129279744</v>
      </c>
      <c r="Q516" s="457">
        <v>46</v>
      </c>
    </row>
    <row r="517" spans="1:17" ht="14.4" customHeight="1" x14ac:dyDescent="0.3">
      <c r="A517" s="452" t="s">
        <v>1203</v>
      </c>
      <c r="B517" s="453" t="s">
        <v>1028</v>
      </c>
      <c r="C517" s="453" t="s">
        <v>1029</v>
      </c>
      <c r="D517" s="453" t="s">
        <v>1048</v>
      </c>
      <c r="E517" s="453" t="s">
        <v>1049</v>
      </c>
      <c r="F517" s="456">
        <v>47</v>
      </c>
      <c r="G517" s="456">
        <v>18001</v>
      </c>
      <c r="H517" s="456">
        <v>0.62503472222222223</v>
      </c>
      <c r="I517" s="456">
        <v>383</v>
      </c>
      <c r="J517" s="456">
        <v>75</v>
      </c>
      <c r="K517" s="456">
        <v>28800</v>
      </c>
      <c r="L517" s="456">
        <v>1</v>
      </c>
      <c r="M517" s="456">
        <v>384</v>
      </c>
      <c r="N517" s="456">
        <v>110</v>
      </c>
      <c r="O517" s="456">
        <v>38170</v>
      </c>
      <c r="P517" s="478">
        <v>1.3253472222222222</v>
      </c>
      <c r="Q517" s="457">
        <v>347</v>
      </c>
    </row>
    <row r="518" spans="1:17" ht="14.4" customHeight="1" x14ac:dyDescent="0.3">
      <c r="A518" s="452" t="s">
        <v>1203</v>
      </c>
      <c r="B518" s="453" t="s">
        <v>1028</v>
      </c>
      <c r="C518" s="453" t="s">
        <v>1029</v>
      </c>
      <c r="D518" s="453" t="s">
        <v>1050</v>
      </c>
      <c r="E518" s="453" t="s">
        <v>1051</v>
      </c>
      <c r="F518" s="456"/>
      <c r="G518" s="456"/>
      <c r="H518" s="456"/>
      <c r="I518" s="456"/>
      <c r="J518" s="456"/>
      <c r="K518" s="456"/>
      <c r="L518" s="456"/>
      <c r="M518" s="456"/>
      <c r="N518" s="456">
        <v>2</v>
      </c>
      <c r="O518" s="456">
        <v>102</v>
      </c>
      <c r="P518" s="478"/>
      <c r="Q518" s="457">
        <v>51</v>
      </c>
    </row>
    <row r="519" spans="1:17" ht="14.4" customHeight="1" x14ac:dyDescent="0.3">
      <c r="A519" s="452" t="s">
        <v>1203</v>
      </c>
      <c r="B519" s="453" t="s">
        <v>1028</v>
      </c>
      <c r="C519" s="453" t="s">
        <v>1029</v>
      </c>
      <c r="D519" s="453" t="s">
        <v>1054</v>
      </c>
      <c r="E519" s="453" t="s">
        <v>1055</v>
      </c>
      <c r="F519" s="456">
        <v>84</v>
      </c>
      <c r="G519" s="456">
        <v>37380</v>
      </c>
      <c r="H519" s="456">
        <v>0.89161339566835229</v>
      </c>
      <c r="I519" s="456">
        <v>445</v>
      </c>
      <c r="J519" s="456">
        <v>94</v>
      </c>
      <c r="K519" s="456">
        <v>41924</v>
      </c>
      <c r="L519" s="456">
        <v>1</v>
      </c>
      <c r="M519" s="456">
        <v>446</v>
      </c>
      <c r="N519" s="456">
        <v>157</v>
      </c>
      <c r="O519" s="456">
        <v>59189</v>
      </c>
      <c r="P519" s="478">
        <v>1.4118166205514742</v>
      </c>
      <c r="Q519" s="457">
        <v>377</v>
      </c>
    </row>
    <row r="520" spans="1:17" ht="14.4" customHeight="1" x14ac:dyDescent="0.3">
      <c r="A520" s="452" t="s">
        <v>1203</v>
      </c>
      <c r="B520" s="453" t="s">
        <v>1028</v>
      </c>
      <c r="C520" s="453" t="s">
        <v>1029</v>
      </c>
      <c r="D520" s="453" t="s">
        <v>1056</v>
      </c>
      <c r="E520" s="453" t="s">
        <v>1057</v>
      </c>
      <c r="F520" s="456">
        <v>18</v>
      </c>
      <c r="G520" s="456">
        <v>738</v>
      </c>
      <c r="H520" s="456">
        <v>1.0336134453781514</v>
      </c>
      <c r="I520" s="456">
        <v>41</v>
      </c>
      <c r="J520" s="456">
        <v>17</v>
      </c>
      <c r="K520" s="456">
        <v>714</v>
      </c>
      <c r="L520" s="456">
        <v>1</v>
      </c>
      <c r="M520" s="456">
        <v>42</v>
      </c>
      <c r="N520" s="456">
        <v>15</v>
      </c>
      <c r="O520" s="456">
        <v>510</v>
      </c>
      <c r="P520" s="478">
        <v>0.7142857142857143</v>
      </c>
      <c r="Q520" s="457">
        <v>34</v>
      </c>
    </row>
    <row r="521" spans="1:17" ht="14.4" customHeight="1" x14ac:dyDescent="0.3">
      <c r="A521" s="452" t="s">
        <v>1203</v>
      </c>
      <c r="B521" s="453" t="s">
        <v>1028</v>
      </c>
      <c r="C521" s="453" t="s">
        <v>1029</v>
      </c>
      <c r="D521" s="453" t="s">
        <v>1058</v>
      </c>
      <c r="E521" s="453" t="s">
        <v>1059</v>
      </c>
      <c r="F521" s="456">
        <v>79</v>
      </c>
      <c r="G521" s="456">
        <v>38789</v>
      </c>
      <c r="H521" s="456">
        <v>0.9167375685384761</v>
      </c>
      <c r="I521" s="456">
        <v>491</v>
      </c>
      <c r="J521" s="456">
        <v>86</v>
      </c>
      <c r="K521" s="456">
        <v>42312</v>
      </c>
      <c r="L521" s="456">
        <v>1</v>
      </c>
      <c r="M521" s="456">
        <v>492</v>
      </c>
      <c r="N521" s="456">
        <v>139</v>
      </c>
      <c r="O521" s="456">
        <v>72836</v>
      </c>
      <c r="P521" s="478">
        <v>1.7214029117035357</v>
      </c>
      <c r="Q521" s="457">
        <v>524</v>
      </c>
    </row>
    <row r="522" spans="1:17" ht="14.4" customHeight="1" x14ac:dyDescent="0.3">
      <c r="A522" s="452" t="s">
        <v>1203</v>
      </c>
      <c r="B522" s="453" t="s">
        <v>1028</v>
      </c>
      <c r="C522" s="453" t="s">
        <v>1029</v>
      </c>
      <c r="D522" s="453" t="s">
        <v>1060</v>
      </c>
      <c r="E522" s="453" t="s">
        <v>1061</v>
      </c>
      <c r="F522" s="456">
        <v>129</v>
      </c>
      <c r="G522" s="456">
        <v>3999</v>
      </c>
      <c r="H522" s="456">
        <v>0.8896551724137931</v>
      </c>
      <c r="I522" s="456">
        <v>31</v>
      </c>
      <c r="J522" s="456">
        <v>145</v>
      </c>
      <c r="K522" s="456">
        <v>4495</v>
      </c>
      <c r="L522" s="456">
        <v>1</v>
      </c>
      <c r="M522" s="456">
        <v>31</v>
      </c>
      <c r="N522" s="456">
        <v>122</v>
      </c>
      <c r="O522" s="456">
        <v>6954</v>
      </c>
      <c r="P522" s="478">
        <v>1.5470522803114573</v>
      </c>
      <c r="Q522" s="457">
        <v>57</v>
      </c>
    </row>
    <row r="523" spans="1:17" ht="14.4" customHeight="1" x14ac:dyDescent="0.3">
      <c r="A523" s="452" t="s">
        <v>1203</v>
      </c>
      <c r="B523" s="453" t="s">
        <v>1028</v>
      </c>
      <c r="C523" s="453" t="s">
        <v>1029</v>
      </c>
      <c r="D523" s="453" t="s">
        <v>1062</v>
      </c>
      <c r="E523" s="453" t="s">
        <v>1063</v>
      </c>
      <c r="F523" s="456"/>
      <c r="G523" s="456"/>
      <c r="H523" s="456"/>
      <c r="I523" s="456"/>
      <c r="J523" s="456">
        <v>4</v>
      </c>
      <c r="K523" s="456">
        <v>832</v>
      </c>
      <c r="L523" s="456">
        <v>1</v>
      </c>
      <c r="M523" s="456">
        <v>208</v>
      </c>
      <c r="N523" s="456">
        <v>11</v>
      </c>
      <c r="O523" s="456">
        <v>2464</v>
      </c>
      <c r="P523" s="478">
        <v>2.9615384615384617</v>
      </c>
      <c r="Q523" s="457">
        <v>224</v>
      </c>
    </row>
    <row r="524" spans="1:17" ht="14.4" customHeight="1" x14ac:dyDescent="0.3">
      <c r="A524" s="452" t="s">
        <v>1203</v>
      </c>
      <c r="B524" s="453" t="s">
        <v>1028</v>
      </c>
      <c r="C524" s="453" t="s">
        <v>1029</v>
      </c>
      <c r="D524" s="453" t="s">
        <v>1064</v>
      </c>
      <c r="E524" s="453" t="s">
        <v>1065</v>
      </c>
      <c r="F524" s="456"/>
      <c r="G524" s="456"/>
      <c r="H524" s="456"/>
      <c r="I524" s="456"/>
      <c r="J524" s="456">
        <v>3</v>
      </c>
      <c r="K524" s="456">
        <v>1152</v>
      </c>
      <c r="L524" s="456">
        <v>1</v>
      </c>
      <c r="M524" s="456">
        <v>384</v>
      </c>
      <c r="N524" s="456">
        <v>9</v>
      </c>
      <c r="O524" s="456">
        <v>4977</v>
      </c>
      <c r="P524" s="478">
        <v>4.3203125</v>
      </c>
      <c r="Q524" s="457">
        <v>553</v>
      </c>
    </row>
    <row r="525" spans="1:17" ht="14.4" customHeight="1" x14ac:dyDescent="0.3">
      <c r="A525" s="452" t="s">
        <v>1203</v>
      </c>
      <c r="B525" s="453" t="s">
        <v>1028</v>
      </c>
      <c r="C525" s="453" t="s">
        <v>1029</v>
      </c>
      <c r="D525" s="453" t="s">
        <v>1068</v>
      </c>
      <c r="E525" s="453" t="s">
        <v>1069</v>
      </c>
      <c r="F525" s="456"/>
      <c r="G525" s="456"/>
      <c r="H525" s="456"/>
      <c r="I525" s="456"/>
      <c r="J525" s="456"/>
      <c r="K525" s="456"/>
      <c r="L525" s="456"/>
      <c r="M525" s="456"/>
      <c r="N525" s="456">
        <v>2</v>
      </c>
      <c r="O525" s="456">
        <v>282</v>
      </c>
      <c r="P525" s="478"/>
      <c r="Q525" s="457">
        <v>141</v>
      </c>
    </row>
    <row r="526" spans="1:17" ht="14.4" customHeight="1" x14ac:dyDescent="0.3">
      <c r="A526" s="452" t="s">
        <v>1203</v>
      </c>
      <c r="B526" s="453" t="s">
        <v>1028</v>
      </c>
      <c r="C526" s="453" t="s">
        <v>1029</v>
      </c>
      <c r="D526" s="453" t="s">
        <v>1074</v>
      </c>
      <c r="E526" s="453" t="s">
        <v>1075</v>
      </c>
      <c r="F526" s="456">
        <v>244</v>
      </c>
      <c r="G526" s="456">
        <v>3904</v>
      </c>
      <c r="H526" s="456">
        <v>0.65240641711229952</v>
      </c>
      <c r="I526" s="456">
        <v>16</v>
      </c>
      <c r="J526" s="456">
        <v>352</v>
      </c>
      <c r="K526" s="456">
        <v>5984</v>
      </c>
      <c r="L526" s="456">
        <v>1</v>
      </c>
      <c r="M526" s="456">
        <v>17</v>
      </c>
      <c r="N526" s="456">
        <v>316</v>
      </c>
      <c r="O526" s="456">
        <v>5372</v>
      </c>
      <c r="P526" s="478">
        <v>0.89772727272727271</v>
      </c>
      <c r="Q526" s="457">
        <v>17</v>
      </c>
    </row>
    <row r="527" spans="1:17" ht="14.4" customHeight="1" x14ac:dyDescent="0.3">
      <c r="A527" s="452" t="s">
        <v>1203</v>
      </c>
      <c r="B527" s="453" t="s">
        <v>1028</v>
      </c>
      <c r="C527" s="453" t="s">
        <v>1029</v>
      </c>
      <c r="D527" s="453" t="s">
        <v>1076</v>
      </c>
      <c r="E527" s="453" t="s">
        <v>1077</v>
      </c>
      <c r="F527" s="456">
        <v>744</v>
      </c>
      <c r="G527" s="456">
        <v>101184</v>
      </c>
      <c r="H527" s="456">
        <v>0.87809703985906573</v>
      </c>
      <c r="I527" s="456">
        <v>136</v>
      </c>
      <c r="J527" s="456">
        <v>829</v>
      </c>
      <c r="K527" s="456">
        <v>115231</v>
      </c>
      <c r="L527" s="456">
        <v>1</v>
      </c>
      <c r="M527" s="456">
        <v>139</v>
      </c>
      <c r="N527" s="456">
        <v>797</v>
      </c>
      <c r="O527" s="456">
        <v>113971</v>
      </c>
      <c r="P527" s="478">
        <v>0.98906544245906047</v>
      </c>
      <c r="Q527" s="457">
        <v>143</v>
      </c>
    </row>
    <row r="528" spans="1:17" ht="14.4" customHeight="1" x14ac:dyDescent="0.3">
      <c r="A528" s="452" t="s">
        <v>1203</v>
      </c>
      <c r="B528" s="453" t="s">
        <v>1028</v>
      </c>
      <c r="C528" s="453" t="s">
        <v>1029</v>
      </c>
      <c r="D528" s="453" t="s">
        <v>1078</v>
      </c>
      <c r="E528" s="453" t="s">
        <v>1079</v>
      </c>
      <c r="F528" s="456">
        <v>122</v>
      </c>
      <c r="G528" s="456">
        <v>12566</v>
      </c>
      <c r="H528" s="456">
        <v>0.62564102564102564</v>
      </c>
      <c r="I528" s="456">
        <v>103</v>
      </c>
      <c r="J528" s="456">
        <v>195</v>
      </c>
      <c r="K528" s="456">
        <v>20085</v>
      </c>
      <c r="L528" s="456">
        <v>1</v>
      </c>
      <c r="M528" s="456">
        <v>103</v>
      </c>
      <c r="N528" s="456">
        <v>175</v>
      </c>
      <c r="O528" s="456">
        <v>11375</v>
      </c>
      <c r="P528" s="478">
        <v>0.56634304207119746</v>
      </c>
      <c r="Q528" s="457">
        <v>65</v>
      </c>
    </row>
    <row r="529" spans="1:17" ht="14.4" customHeight="1" x14ac:dyDescent="0.3">
      <c r="A529" s="452" t="s">
        <v>1203</v>
      </c>
      <c r="B529" s="453" t="s">
        <v>1028</v>
      </c>
      <c r="C529" s="453" t="s">
        <v>1029</v>
      </c>
      <c r="D529" s="453" t="s">
        <v>1082</v>
      </c>
      <c r="E529" s="453" t="s">
        <v>1083</v>
      </c>
      <c r="F529" s="456">
        <v>372</v>
      </c>
      <c r="G529" s="456">
        <v>43152</v>
      </c>
      <c r="H529" s="456">
        <v>0.76998019377977622</v>
      </c>
      <c r="I529" s="456">
        <v>116</v>
      </c>
      <c r="J529" s="456">
        <v>479</v>
      </c>
      <c r="K529" s="456">
        <v>56043</v>
      </c>
      <c r="L529" s="456">
        <v>1</v>
      </c>
      <c r="M529" s="456">
        <v>117</v>
      </c>
      <c r="N529" s="456">
        <v>707</v>
      </c>
      <c r="O529" s="456">
        <v>96152</v>
      </c>
      <c r="P529" s="478">
        <v>1.7156826008600539</v>
      </c>
      <c r="Q529" s="457">
        <v>136</v>
      </c>
    </row>
    <row r="530" spans="1:17" ht="14.4" customHeight="1" x14ac:dyDescent="0.3">
      <c r="A530" s="452" t="s">
        <v>1203</v>
      </c>
      <c r="B530" s="453" t="s">
        <v>1028</v>
      </c>
      <c r="C530" s="453" t="s">
        <v>1029</v>
      </c>
      <c r="D530" s="453" t="s">
        <v>1084</v>
      </c>
      <c r="E530" s="453" t="s">
        <v>1085</v>
      </c>
      <c r="F530" s="456">
        <v>28</v>
      </c>
      <c r="G530" s="456">
        <v>2380</v>
      </c>
      <c r="H530" s="456">
        <v>1.0461538461538462</v>
      </c>
      <c r="I530" s="456">
        <v>85</v>
      </c>
      <c r="J530" s="456">
        <v>25</v>
      </c>
      <c r="K530" s="456">
        <v>2275</v>
      </c>
      <c r="L530" s="456">
        <v>1</v>
      </c>
      <c r="M530" s="456">
        <v>91</v>
      </c>
      <c r="N530" s="456">
        <v>36</v>
      </c>
      <c r="O530" s="456">
        <v>3276</v>
      </c>
      <c r="P530" s="478">
        <v>1.44</v>
      </c>
      <c r="Q530" s="457">
        <v>91</v>
      </c>
    </row>
    <row r="531" spans="1:17" ht="14.4" customHeight="1" x14ac:dyDescent="0.3">
      <c r="A531" s="452" t="s">
        <v>1203</v>
      </c>
      <c r="B531" s="453" t="s">
        <v>1028</v>
      </c>
      <c r="C531" s="453" t="s">
        <v>1029</v>
      </c>
      <c r="D531" s="453" t="s">
        <v>1086</v>
      </c>
      <c r="E531" s="453" t="s">
        <v>1087</v>
      </c>
      <c r="F531" s="456">
        <v>1</v>
      </c>
      <c r="G531" s="456">
        <v>98</v>
      </c>
      <c r="H531" s="456">
        <v>0.98989898989898994</v>
      </c>
      <c r="I531" s="456">
        <v>98</v>
      </c>
      <c r="J531" s="456">
        <v>1</v>
      </c>
      <c r="K531" s="456">
        <v>99</v>
      </c>
      <c r="L531" s="456">
        <v>1</v>
      </c>
      <c r="M531" s="456">
        <v>99</v>
      </c>
      <c r="N531" s="456"/>
      <c r="O531" s="456"/>
      <c r="P531" s="478"/>
      <c r="Q531" s="457"/>
    </row>
    <row r="532" spans="1:17" ht="14.4" customHeight="1" x14ac:dyDescent="0.3">
      <c r="A532" s="452" t="s">
        <v>1203</v>
      </c>
      <c r="B532" s="453" t="s">
        <v>1028</v>
      </c>
      <c r="C532" s="453" t="s">
        <v>1029</v>
      </c>
      <c r="D532" s="453" t="s">
        <v>1088</v>
      </c>
      <c r="E532" s="453" t="s">
        <v>1089</v>
      </c>
      <c r="F532" s="456">
        <v>84</v>
      </c>
      <c r="G532" s="456">
        <v>1764</v>
      </c>
      <c r="H532" s="456">
        <v>4.2</v>
      </c>
      <c r="I532" s="456">
        <v>21</v>
      </c>
      <c r="J532" s="456">
        <v>20</v>
      </c>
      <c r="K532" s="456">
        <v>420</v>
      </c>
      <c r="L532" s="456">
        <v>1</v>
      </c>
      <c r="M532" s="456">
        <v>21</v>
      </c>
      <c r="N532" s="456">
        <v>46</v>
      </c>
      <c r="O532" s="456">
        <v>3036</v>
      </c>
      <c r="P532" s="478">
        <v>7.2285714285714286</v>
      </c>
      <c r="Q532" s="457">
        <v>66</v>
      </c>
    </row>
    <row r="533" spans="1:17" ht="14.4" customHeight="1" x14ac:dyDescent="0.3">
      <c r="A533" s="452" t="s">
        <v>1203</v>
      </c>
      <c r="B533" s="453" t="s">
        <v>1028</v>
      </c>
      <c r="C533" s="453" t="s">
        <v>1029</v>
      </c>
      <c r="D533" s="453" t="s">
        <v>1090</v>
      </c>
      <c r="E533" s="453" t="s">
        <v>1091</v>
      </c>
      <c r="F533" s="456">
        <v>275</v>
      </c>
      <c r="G533" s="456">
        <v>133925</v>
      </c>
      <c r="H533" s="456">
        <v>0.70731050363359815</v>
      </c>
      <c r="I533" s="456">
        <v>487</v>
      </c>
      <c r="J533" s="456">
        <v>388</v>
      </c>
      <c r="K533" s="456">
        <v>189344</v>
      </c>
      <c r="L533" s="456">
        <v>1</v>
      </c>
      <c r="M533" s="456">
        <v>488</v>
      </c>
      <c r="N533" s="456">
        <v>207</v>
      </c>
      <c r="O533" s="456">
        <v>67896</v>
      </c>
      <c r="P533" s="478">
        <v>0.35858543180665881</v>
      </c>
      <c r="Q533" s="457">
        <v>328</v>
      </c>
    </row>
    <row r="534" spans="1:17" ht="14.4" customHeight="1" x14ac:dyDescent="0.3">
      <c r="A534" s="452" t="s">
        <v>1203</v>
      </c>
      <c r="B534" s="453" t="s">
        <v>1028</v>
      </c>
      <c r="C534" s="453" t="s">
        <v>1029</v>
      </c>
      <c r="D534" s="453" t="s">
        <v>1098</v>
      </c>
      <c r="E534" s="453" t="s">
        <v>1099</v>
      </c>
      <c r="F534" s="456">
        <v>67</v>
      </c>
      <c r="G534" s="456">
        <v>2747</v>
      </c>
      <c r="H534" s="456">
        <v>1.2407407407407407</v>
      </c>
      <c r="I534" s="456">
        <v>41</v>
      </c>
      <c r="J534" s="456">
        <v>54</v>
      </c>
      <c r="K534" s="456">
        <v>2214</v>
      </c>
      <c r="L534" s="456">
        <v>1</v>
      </c>
      <c r="M534" s="456">
        <v>41</v>
      </c>
      <c r="N534" s="456">
        <v>61</v>
      </c>
      <c r="O534" s="456">
        <v>3111</v>
      </c>
      <c r="P534" s="478">
        <v>1.4051490514905149</v>
      </c>
      <c r="Q534" s="457">
        <v>51</v>
      </c>
    </row>
    <row r="535" spans="1:17" ht="14.4" customHeight="1" x14ac:dyDescent="0.3">
      <c r="A535" s="452" t="s">
        <v>1203</v>
      </c>
      <c r="B535" s="453" t="s">
        <v>1028</v>
      </c>
      <c r="C535" s="453" t="s">
        <v>1029</v>
      </c>
      <c r="D535" s="453" t="s">
        <v>1106</v>
      </c>
      <c r="E535" s="453" t="s">
        <v>1107</v>
      </c>
      <c r="F535" s="456">
        <v>1</v>
      </c>
      <c r="G535" s="456">
        <v>219</v>
      </c>
      <c r="H535" s="456">
        <v>0.24551569506726456</v>
      </c>
      <c r="I535" s="456">
        <v>219</v>
      </c>
      <c r="J535" s="456">
        <v>4</v>
      </c>
      <c r="K535" s="456">
        <v>892</v>
      </c>
      <c r="L535" s="456">
        <v>1</v>
      </c>
      <c r="M535" s="456">
        <v>223</v>
      </c>
      <c r="N535" s="456">
        <v>2</v>
      </c>
      <c r="O535" s="456">
        <v>414</v>
      </c>
      <c r="P535" s="478">
        <v>0.4641255605381166</v>
      </c>
      <c r="Q535" s="457">
        <v>207</v>
      </c>
    </row>
    <row r="536" spans="1:17" ht="14.4" customHeight="1" x14ac:dyDescent="0.3">
      <c r="A536" s="452" t="s">
        <v>1203</v>
      </c>
      <c r="B536" s="453" t="s">
        <v>1028</v>
      </c>
      <c r="C536" s="453" t="s">
        <v>1029</v>
      </c>
      <c r="D536" s="453" t="s">
        <v>1108</v>
      </c>
      <c r="E536" s="453" t="s">
        <v>1109</v>
      </c>
      <c r="F536" s="456"/>
      <c r="G536" s="456"/>
      <c r="H536" s="456"/>
      <c r="I536" s="456"/>
      <c r="J536" s="456">
        <v>8</v>
      </c>
      <c r="K536" s="456">
        <v>6104</v>
      </c>
      <c r="L536" s="456">
        <v>1</v>
      </c>
      <c r="M536" s="456">
        <v>763</v>
      </c>
      <c r="N536" s="456">
        <v>4</v>
      </c>
      <c r="O536" s="456">
        <v>3052</v>
      </c>
      <c r="P536" s="478">
        <v>0.5</v>
      </c>
      <c r="Q536" s="457">
        <v>763</v>
      </c>
    </row>
    <row r="537" spans="1:17" ht="14.4" customHeight="1" x14ac:dyDescent="0.3">
      <c r="A537" s="452" t="s">
        <v>1203</v>
      </c>
      <c r="B537" s="453" t="s">
        <v>1028</v>
      </c>
      <c r="C537" s="453" t="s">
        <v>1029</v>
      </c>
      <c r="D537" s="453" t="s">
        <v>1110</v>
      </c>
      <c r="E537" s="453" t="s">
        <v>1111</v>
      </c>
      <c r="F537" s="456">
        <v>1</v>
      </c>
      <c r="G537" s="456">
        <v>2072</v>
      </c>
      <c r="H537" s="456">
        <v>0.32702020202020204</v>
      </c>
      <c r="I537" s="456">
        <v>2072</v>
      </c>
      <c r="J537" s="456">
        <v>3</v>
      </c>
      <c r="K537" s="456">
        <v>6336</v>
      </c>
      <c r="L537" s="456">
        <v>1</v>
      </c>
      <c r="M537" s="456">
        <v>2112</v>
      </c>
      <c r="N537" s="456">
        <v>2</v>
      </c>
      <c r="O537" s="456">
        <v>4232</v>
      </c>
      <c r="P537" s="478">
        <v>0.66792929292929293</v>
      </c>
      <c r="Q537" s="457">
        <v>2116</v>
      </c>
    </row>
    <row r="538" spans="1:17" ht="14.4" customHeight="1" x14ac:dyDescent="0.3">
      <c r="A538" s="452" t="s">
        <v>1203</v>
      </c>
      <c r="B538" s="453" t="s">
        <v>1028</v>
      </c>
      <c r="C538" s="453" t="s">
        <v>1029</v>
      </c>
      <c r="D538" s="453" t="s">
        <v>1112</v>
      </c>
      <c r="E538" s="453" t="s">
        <v>1113</v>
      </c>
      <c r="F538" s="456">
        <v>58</v>
      </c>
      <c r="G538" s="456">
        <v>35264</v>
      </c>
      <c r="H538" s="456">
        <v>1.9144408251900109</v>
      </c>
      <c r="I538" s="456">
        <v>608</v>
      </c>
      <c r="J538" s="456">
        <v>30</v>
      </c>
      <c r="K538" s="456">
        <v>18420</v>
      </c>
      <c r="L538" s="456">
        <v>1</v>
      </c>
      <c r="M538" s="456">
        <v>614</v>
      </c>
      <c r="N538" s="456">
        <v>60</v>
      </c>
      <c r="O538" s="456">
        <v>36720</v>
      </c>
      <c r="P538" s="478">
        <v>1.993485342019544</v>
      </c>
      <c r="Q538" s="457">
        <v>612</v>
      </c>
    </row>
    <row r="539" spans="1:17" ht="14.4" customHeight="1" x14ac:dyDescent="0.3">
      <c r="A539" s="452" t="s">
        <v>1203</v>
      </c>
      <c r="B539" s="453" t="s">
        <v>1028</v>
      </c>
      <c r="C539" s="453" t="s">
        <v>1029</v>
      </c>
      <c r="D539" s="453" t="s">
        <v>1116</v>
      </c>
      <c r="E539" s="453" t="s">
        <v>1117</v>
      </c>
      <c r="F539" s="456">
        <v>4</v>
      </c>
      <c r="G539" s="456">
        <v>2036</v>
      </c>
      <c r="H539" s="456">
        <v>0.4970703125</v>
      </c>
      <c r="I539" s="456">
        <v>509</v>
      </c>
      <c r="J539" s="456">
        <v>8</v>
      </c>
      <c r="K539" s="456">
        <v>4096</v>
      </c>
      <c r="L539" s="456">
        <v>1</v>
      </c>
      <c r="M539" s="456">
        <v>512</v>
      </c>
      <c r="N539" s="456">
        <v>2</v>
      </c>
      <c r="O539" s="456">
        <v>862</v>
      </c>
      <c r="P539" s="478">
        <v>0.21044921875</v>
      </c>
      <c r="Q539" s="457">
        <v>431</v>
      </c>
    </row>
    <row r="540" spans="1:17" ht="14.4" customHeight="1" x14ac:dyDescent="0.3">
      <c r="A540" s="452" t="s">
        <v>1203</v>
      </c>
      <c r="B540" s="453" t="s">
        <v>1028</v>
      </c>
      <c r="C540" s="453" t="s">
        <v>1029</v>
      </c>
      <c r="D540" s="453" t="s">
        <v>1130</v>
      </c>
      <c r="E540" s="453" t="s">
        <v>1131</v>
      </c>
      <c r="F540" s="456">
        <v>32</v>
      </c>
      <c r="G540" s="456">
        <v>4864</v>
      </c>
      <c r="H540" s="456"/>
      <c r="I540" s="456">
        <v>152</v>
      </c>
      <c r="J540" s="456"/>
      <c r="K540" s="456"/>
      <c r="L540" s="456"/>
      <c r="M540" s="456"/>
      <c r="N540" s="456"/>
      <c r="O540" s="456"/>
      <c r="P540" s="478"/>
      <c r="Q540" s="457"/>
    </row>
    <row r="541" spans="1:17" ht="14.4" customHeight="1" x14ac:dyDescent="0.3">
      <c r="A541" s="452" t="s">
        <v>1203</v>
      </c>
      <c r="B541" s="453" t="s">
        <v>1028</v>
      </c>
      <c r="C541" s="453" t="s">
        <v>1029</v>
      </c>
      <c r="D541" s="453" t="s">
        <v>1132</v>
      </c>
      <c r="E541" s="453" t="s">
        <v>1133</v>
      </c>
      <c r="F541" s="456"/>
      <c r="G541" s="456"/>
      <c r="H541" s="456"/>
      <c r="I541" s="456"/>
      <c r="J541" s="456">
        <v>2</v>
      </c>
      <c r="K541" s="456">
        <v>54</v>
      </c>
      <c r="L541" s="456">
        <v>1</v>
      </c>
      <c r="M541" s="456">
        <v>27</v>
      </c>
      <c r="N541" s="456"/>
      <c r="O541" s="456"/>
      <c r="P541" s="478"/>
      <c r="Q541" s="457"/>
    </row>
    <row r="542" spans="1:17" ht="14.4" customHeight="1" x14ac:dyDescent="0.3">
      <c r="A542" s="452" t="s">
        <v>1203</v>
      </c>
      <c r="B542" s="453" t="s">
        <v>1028</v>
      </c>
      <c r="C542" s="453" t="s">
        <v>1029</v>
      </c>
      <c r="D542" s="453" t="s">
        <v>1136</v>
      </c>
      <c r="E542" s="453" t="s">
        <v>1137</v>
      </c>
      <c r="F542" s="456">
        <v>1</v>
      </c>
      <c r="G542" s="456">
        <v>328</v>
      </c>
      <c r="H542" s="456"/>
      <c r="I542" s="456">
        <v>328</v>
      </c>
      <c r="J542" s="456"/>
      <c r="K542" s="456"/>
      <c r="L542" s="456"/>
      <c r="M542" s="456"/>
      <c r="N542" s="456">
        <v>8</v>
      </c>
      <c r="O542" s="456">
        <v>3016</v>
      </c>
      <c r="P542" s="478"/>
      <c r="Q542" s="457">
        <v>377</v>
      </c>
    </row>
    <row r="543" spans="1:17" ht="14.4" customHeight="1" x14ac:dyDescent="0.3">
      <c r="A543" s="452" t="s">
        <v>1203</v>
      </c>
      <c r="B543" s="453" t="s">
        <v>1028</v>
      </c>
      <c r="C543" s="453" t="s">
        <v>1029</v>
      </c>
      <c r="D543" s="453" t="s">
        <v>1144</v>
      </c>
      <c r="E543" s="453"/>
      <c r="F543" s="456"/>
      <c r="G543" s="456"/>
      <c r="H543" s="456"/>
      <c r="I543" s="456"/>
      <c r="J543" s="456"/>
      <c r="K543" s="456"/>
      <c r="L543" s="456"/>
      <c r="M543" s="456"/>
      <c r="N543" s="456">
        <v>29</v>
      </c>
      <c r="O543" s="456">
        <v>43297</v>
      </c>
      <c r="P543" s="478"/>
      <c r="Q543" s="457">
        <v>1493</v>
      </c>
    </row>
    <row r="544" spans="1:17" ht="14.4" customHeight="1" x14ac:dyDescent="0.3">
      <c r="A544" s="452" t="s">
        <v>1203</v>
      </c>
      <c r="B544" s="453" t="s">
        <v>1028</v>
      </c>
      <c r="C544" s="453" t="s">
        <v>1029</v>
      </c>
      <c r="D544" s="453" t="s">
        <v>1145</v>
      </c>
      <c r="E544" s="453"/>
      <c r="F544" s="456"/>
      <c r="G544" s="456"/>
      <c r="H544" s="456"/>
      <c r="I544" s="456"/>
      <c r="J544" s="456"/>
      <c r="K544" s="456"/>
      <c r="L544" s="456"/>
      <c r="M544" s="456"/>
      <c r="N544" s="456">
        <v>1</v>
      </c>
      <c r="O544" s="456">
        <v>327</v>
      </c>
      <c r="P544" s="478"/>
      <c r="Q544" s="457">
        <v>327</v>
      </c>
    </row>
    <row r="545" spans="1:17" ht="14.4" customHeight="1" x14ac:dyDescent="0.3">
      <c r="A545" s="452" t="s">
        <v>1203</v>
      </c>
      <c r="B545" s="453" t="s">
        <v>1028</v>
      </c>
      <c r="C545" s="453" t="s">
        <v>1029</v>
      </c>
      <c r="D545" s="453" t="s">
        <v>1146</v>
      </c>
      <c r="E545" s="453"/>
      <c r="F545" s="456"/>
      <c r="G545" s="456"/>
      <c r="H545" s="456"/>
      <c r="I545" s="456"/>
      <c r="J545" s="456"/>
      <c r="K545" s="456"/>
      <c r="L545" s="456"/>
      <c r="M545" s="456"/>
      <c r="N545" s="456">
        <v>14</v>
      </c>
      <c r="O545" s="456">
        <v>12418</v>
      </c>
      <c r="P545" s="478"/>
      <c r="Q545" s="457">
        <v>887</v>
      </c>
    </row>
    <row r="546" spans="1:17" ht="14.4" customHeight="1" x14ac:dyDescent="0.3">
      <c r="A546" s="452" t="s">
        <v>1204</v>
      </c>
      <c r="B546" s="453" t="s">
        <v>1028</v>
      </c>
      <c r="C546" s="453" t="s">
        <v>1029</v>
      </c>
      <c r="D546" s="453" t="s">
        <v>1030</v>
      </c>
      <c r="E546" s="453" t="s">
        <v>1031</v>
      </c>
      <c r="F546" s="456">
        <v>140</v>
      </c>
      <c r="G546" s="456">
        <v>22540</v>
      </c>
      <c r="H546" s="456">
        <v>0.87442293517476821</v>
      </c>
      <c r="I546" s="456">
        <v>161</v>
      </c>
      <c r="J546" s="456">
        <v>149</v>
      </c>
      <c r="K546" s="456">
        <v>25777</v>
      </c>
      <c r="L546" s="456">
        <v>1</v>
      </c>
      <c r="M546" s="456">
        <v>173</v>
      </c>
      <c r="N546" s="456">
        <v>221</v>
      </c>
      <c r="O546" s="456">
        <v>38233</v>
      </c>
      <c r="P546" s="478">
        <v>1.4832214765100671</v>
      </c>
      <c r="Q546" s="457">
        <v>173</v>
      </c>
    </row>
    <row r="547" spans="1:17" ht="14.4" customHeight="1" x14ac:dyDescent="0.3">
      <c r="A547" s="452" t="s">
        <v>1204</v>
      </c>
      <c r="B547" s="453" t="s">
        <v>1028</v>
      </c>
      <c r="C547" s="453" t="s">
        <v>1029</v>
      </c>
      <c r="D547" s="453" t="s">
        <v>1044</v>
      </c>
      <c r="E547" s="453" t="s">
        <v>1045</v>
      </c>
      <c r="F547" s="456">
        <v>2</v>
      </c>
      <c r="G547" s="456">
        <v>2338</v>
      </c>
      <c r="H547" s="456"/>
      <c r="I547" s="456">
        <v>1169</v>
      </c>
      <c r="J547" s="456"/>
      <c r="K547" s="456"/>
      <c r="L547" s="456"/>
      <c r="M547" s="456"/>
      <c r="N547" s="456"/>
      <c r="O547" s="456"/>
      <c r="P547" s="478"/>
      <c r="Q547" s="457"/>
    </row>
    <row r="548" spans="1:17" ht="14.4" customHeight="1" x14ac:dyDescent="0.3">
      <c r="A548" s="452" t="s">
        <v>1204</v>
      </c>
      <c r="B548" s="453" t="s">
        <v>1028</v>
      </c>
      <c r="C548" s="453" t="s">
        <v>1029</v>
      </c>
      <c r="D548" s="453" t="s">
        <v>1046</v>
      </c>
      <c r="E548" s="453" t="s">
        <v>1047</v>
      </c>
      <c r="F548" s="456">
        <v>13</v>
      </c>
      <c r="G548" s="456">
        <v>520</v>
      </c>
      <c r="H548" s="456">
        <v>1.8118466898954704</v>
      </c>
      <c r="I548" s="456">
        <v>40</v>
      </c>
      <c r="J548" s="456">
        <v>7</v>
      </c>
      <c r="K548" s="456">
        <v>287</v>
      </c>
      <c r="L548" s="456">
        <v>1</v>
      </c>
      <c r="M548" s="456">
        <v>41</v>
      </c>
      <c r="N548" s="456">
        <v>18</v>
      </c>
      <c r="O548" s="456">
        <v>828</v>
      </c>
      <c r="P548" s="478">
        <v>2.8850174216027873</v>
      </c>
      <c r="Q548" s="457">
        <v>46</v>
      </c>
    </row>
    <row r="549" spans="1:17" ht="14.4" customHeight="1" x14ac:dyDescent="0.3">
      <c r="A549" s="452" t="s">
        <v>1204</v>
      </c>
      <c r="B549" s="453" t="s">
        <v>1028</v>
      </c>
      <c r="C549" s="453" t="s">
        <v>1029</v>
      </c>
      <c r="D549" s="453" t="s">
        <v>1048</v>
      </c>
      <c r="E549" s="453" t="s">
        <v>1049</v>
      </c>
      <c r="F549" s="456">
        <v>3</v>
      </c>
      <c r="G549" s="456">
        <v>1149</v>
      </c>
      <c r="H549" s="456">
        <v>0.99739583333333337</v>
      </c>
      <c r="I549" s="456">
        <v>383</v>
      </c>
      <c r="J549" s="456">
        <v>3</v>
      </c>
      <c r="K549" s="456">
        <v>1152</v>
      </c>
      <c r="L549" s="456">
        <v>1</v>
      </c>
      <c r="M549" s="456">
        <v>384</v>
      </c>
      <c r="N549" s="456">
        <v>2</v>
      </c>
      <c r="O549" s="456">
        <v>694</v>
      </c>
      <c r="P549" s="478">
        <v>0.60243055555555558</v>
      </c>
      <c r="Q549" s="457">
        <v>347</v>
      </c>
    </row>
    <row r="550" spans="1:17" ht="14.4" customHeight="1" x14ac:dyDescent="0.3">
      <c r="A550" s="452" t="s">
        <v>1204</v>
      </c>
      <c r="B550" s="453" t="s">
        <v>1028</v>
      </c>
      <c r="C550" s="453" t="s">
        <v>1029</v>
      </c>
      <c r="D550" s="453" t="s">
        <v>1050</v>
      </c>
      <c r="E550" s="453" t="s">
        <v>1051</v>
      </c>
      <c r="F550" s="456"/>
      <c r="G550" s="456"/>
      <c r="H550" s="456"/>
      <c r="I550" s="456"/>
      <c r="J550" s="456"/>
      <c r="K550" s="456"/>
      <c r="L550" s="456"/>
      <c r="M550" s="456"/>
      <c r="N550" s="456">
        <v>4</v>
      </c>
      <c r="O550" s="456">
        <v>204</v>
      </c>
      <c r="P550" s="478"/>
      <c r="Q550" s="457">
        <v>51</v>
      </c>
    </row>
    <row r="551" spans="1:17" ht="14.4" customHeight="1" x14ac:dyDescent="0.3">
      <c r="A551" s="452" t="s">
        <v>1204</v>
      </c>
      <c r="B551" s="453" t="s">
        <v>1028</v>
      </c>
      <c r="C551" s="453" t="s">
        <v>1029</v>
      </c>
      <c r="D551" s="453" t="s">
        <v>1054</v>
      </c>
      <c r="E551" s="453" t="s">
        <v>1055</v>
      </c>
      <c r="F551" s="456">
        <v>3</v>
      </c>
      <c r="G551" s="456">
        <v>1335</v>
      </c>
      <c r="H551" s="456"/>
      <c r="I551" s="456">
        <v>445</v>
      </c>
      <c r="J551" s="456"/>
      <c r="K551" s="456"/>
      <c r="L551" s="456"/>
      <c r="M551" s="456"/>
      <c r="N551" s="456">
        <v>6</v>
      </c>
      <c r="O551" s="456">
        <v>2262</v>
      </c>
      <c r="P551" s="478"/>
      <c r="Q551" s="457">
        <v>377</v>
      </c>
    </row>
    <row r="552" spans="1:17" ht="14.4" customHeight="1" x14ac:dyDescent="0.3">
      <c r="A552" s="452" t="s">
        <v>1204</v>
      </c>
      <c r="B552" s="453" t="s">
        <v>1028</v>
      </c>
      <c r="C552" s="453" t="s">
        <v>1029</v>
      </c>
      <c r="D552" s="453" t="s">
        <v>1056</v>
      </c>
      <c r="E552" s="453" t="s">
        <v>1057</v>
      </c>
      <c r="F552" s="456">
        <v>25</v>
      </c>
      <c r="G552" s="456">
        <v>1025</v>
      </c>
      <c r="H552" s="456">
        <v>1.1621315192743764</v>
      </c>
      <c r="I552" s="456">
        <v>41</v>
      </c>
      <c r="J552" s="456">
        <v>21</v>
      </c>
      <c r="K552" s="456">
        <v>882</v>
      </c>
      <c r="L552" s="456">
        <v>1</v>
      </c>
      <c r="M552" s="456">
        <v>42</v>
      </c>
      <c r="N552" s="456">
        <v>3</v>
      </c>
      <c r="O552" s="456">
        <v>102</v>
      </c>
      <c r="P552" s="478">
        <v>0.11564625850340136</v>
      </c>
      <c r="Q552" s="457">
        <v>34</v>
      </c>
    </row>
    <row r="553" spans="1:17" ht="14.4" customHeight="1" x14ac:dyDescent="0.3">
      <c r="A553" s="452" t="s">
        <v>1204</v>
      </c>
      <c r="B553" s="453" t="s">
        <v>1028</v>
      </c>
      <c r="C553" s="453" t="s">
        <v>1029</v>
      </c>
      <c r="D553" s="453" t="s">
        <v>1058</v>
      </c>
      <c r="E553" s="453" t="s">
        <v>1059</v>
      </c>
      <c r="F553" s="456">
        <v>9</v>
      </c>
      <c r="G553" s="456">
        <v>4419</v>
      </c>
      <c r="H553" s="456">
        <v>1.1227134146341464</v>
      </c>
      <c r="I553" s="456">
        <v>491</v>
      </c>
      <c r="J553" s="456">
        <v>8</v>
      </c>
      <c r="K553" s="456">
        <v>3936</v>
      </c>
      <c r="L553" s="456">
        <v>1</v>
      </c>
      <c r="M553" s="456">
        <v>492</v>
      </c>
      <c r="N553" s="456">
        <v>1</v>
      </c>
      <c r="O553" s="456">
        <v>524</v>
      </c>
      <c r="P553" s="478">
        <v>0.133130081300813</v>
      </c>
      <c r="Q553" s="457">
        <v>524</v>
      </c>
    </row>
    <row r="554" spans="1:17" ht="14.4" customHeight="1" x14ac:dyDescent="0.3">
      <c r="A554" s="452" t="s">
        <v>1204</v>
      </c>
      <c r="B554" s="453" t="s">
        <v>1028</v>
      </c>
      <c r="C554" s="453" t="s">
        <v>1029</v>
      </c>
      <c r="D554" s="453" t="s">
        <v>1060</v>
      </c>
      <c r="E554" s="453" t="s">
        <v>1061</v>
      </c>
      <c r="F554" s="456">
        <v>4</v>
      </c>
      <c r="G554" s="456">
        <v>124</v>
      </c>
      <c r="H554" s="456">
        <v>1</v>
      </c>
      <c r="I554" s="456">
        <v>31</v>
      </c>
      <c r="J554" s="456">
        <v>4</v>
      </c>
      <c r="K554" s="456">
        <v>124</v>
      </c>
      <c r="L554" s="456">
        <v>1</v>
      </c>
      <c r="M554" s="456">
        <v>31</v>
      </c>
      <c r="N554" s="456"/>
      <c r="O554" s="456"/>
      <c r="P554" s="478"/>
      <c r="Q554" s="457"/>
    </row>
    <row r="555" spans="1:17" ht="14.4" customHeight="1" x14ac:dyDescent="0.3">
      <c r="A555" s="452" t="s">
        <v>1204</v>
      </c>
      <c r="B555" s="453" t="s">
        <v>1028</v>
      </c>
      <c r="C555" s="453" t="s">
        <v>1029</v>
      </c>
      <c r="D555" s="453" t="s">
        <v>1074</v>
      </c>
      <c r="E555" s="453" t="s">
        <v>1075</v>
      </c>
      <c r="F555" s="456">
        <v>55</v>
      </c>
      <c r="G555" s="456">
        <v>880</v>
      </c>
      <c r="H555" s="456">
        <v>1.3273001508295625</v>
      </c>
      <c r="I555" s="456">
        <v>16</v>
      </c>
      <c r="J555" s="456">
        <v>39</v>
      </c>
      <c r="K555" s="456">
        <v>663</v>
      </c>
      <c r="L555" s="456">
        <v>1</v>
      </c>
      <c r="M555" s="456">
        <v>17</v>
      </c>
      <c r="N555" s="456">
        <v>24</v>
      </c>
      <c r="O555" s="456">
        <v>408</v>
      </c>
      <c r="P555" s="478">
        <v>0.61538461538461542</v>
      </c>
      <c r="Q555" s="457">
        <v>17</v>
      </c>
    </row>
    <row r="556" spans="1:17" ht="14.4" customHeight="1" x14ac:dyDescent="0.3">
      <c r="A556" s="452" t="s">
        <v>1204</v>
      </c>
      <c r="B556" s="453" t="s">
        <v>1028</v>
      </c>
      <c r="C556" s="453" t="s">
        <v>1029</v>
      </c>
      <c r="D556" s="453" t="s">
        <v>1076</v>
      </c>
      <c r="E556" s="453" t="s">
        <v>1077</v>
      </c>
      <c r="F556" s="456">
        <v>2</v>
      </c>
      <c r="G556" s="456">
        <v>272</v>
      </c>
      <c r="H556" s="456"/>
      <c r="I556" s="456">
        <v>136</v>
      </c>
      <c r="J556" s="456"/>
      <c r="K556" s="456"/>
      <c r="L556" s="456"/>
      <c r="M556" s="456"/>
      <c r="N556" s="456"/>
      <c r="O556" s="456"/>
      <c r="P556" s="478"/>
      <c r="Q556" s="457"/>
    </row>
    <row r="557" spans="1:17" ht="14.4" customHeight="1" x14ac:dyDescent="0.3">
      <c r="A557" s="452" t="s">
        <v>1204</v>
      </c>
      <c r="B557" s="453" t="s">
        <v>1028</v>
      </c>
      <c r="C557" s="453" t="s">
        <v>1029</v>
      </c>
      <c r="D557" s="453" t="s">
        <v>1078</v>
      </c>
      <c r="E557" s="453" t="s">
        <v>1079</v>
      </c>
      <c r="F557" s="456">
        <v>11</v>
      </c>
      <c r="G557" s="456">
        <v>1133</v>
      </c>
      <c r="H557" s="456"/>
      <c r="I557" s="456">
        <v>103</v>
      </c>
      <c r="J557" s="456"/>
      <c r="K557" s="456"/>
      <c r="L557" s="456"/>
      <c r="M557" s="456"/>
      <c r="N557" s="456">
        <v>1</v>
      </c>
      <c r="O557" s="456">
        <v>65</v>
      </c>
      <c r="P557" s="478"/>
      <c r="Q557" s="457">
        <v>65</v>
      </c>
    </row>
    <row r="558" spans="1:17" ht="14.4" customHeight="1" x14ac:dyDescent="0.3">
      <c r="A558" s="452" t="s">
        <v>1204</v>
      </c>
      <c r="B558" s="453" t="s">
        <v>1028</v>
      </c>
      <c r="C558" s="453" t="s">
        <v>1029</v>
      </c>
      <c r="D558" s="453" t="s">
        <v>1082</v>
      </c>
      <c r="E558" s="453" t="s">
        <v>1083</v>
      </c>
      <c r="F558" s="456">
        <v>123</v>
      </c>
      <c r="G558" s="456">
        <v>14268</v>
      </c>
      <c r="H558" s="456">
        <v>1.3857808857808858</v>
      </c>
      <c r="I558" s="456">
        <v>116</v>
      </c>
      <c r="J558" s="456">
        <v>88</v>
      </c>
      <c r="K558" s="456">
        <v>10296</v>
      </c>
      <c r="L558" s="456">
        <v>1</v>
      </c>
      <c r="M558" s="456">
        <v>117</v>
      </c>
      <c r="N558" s="456">
        <v>130</v>
      </c>
      <c r="O558" s="456">
        <v>17680</v>
      </c>
      <c r="P558" s="478">
        <v>1.7171717171717171</v>
      </c>
      <c r="Q558" s="457">
        <v>136</v>
      </c>
    </row>
    <row r="559" spans="1:17" ht="14.4" customHeight="1" x14ac:dyDescent="0.3">
      <c r="A559" s="452" t="s">
        <v>1204</v>
      </c>
      <c r="B559" s="453" t="s">
        <v>1028</v>
      </c>
      <c r="C559" s="453" t="s">
        <v>1029</v>
      </c>
      <c r="D559" s="453" t="s">
        <v>1084</v>
      </c>
      <c r="E559" s="453" t="s">
        <v>1085</v>
      </c>
      <c r="F559" s="456">
        <v>38</v>
      </c>
      <c r="G559" s="456">
        <v>3230</v>
      </c>
      <c r="H559" s="456">
        <v>1.3146113146113145</v>
      </c>
      <c r="I559" s="456">
        <v>85</v>
      </c>
      <c r="J559" s="456">
        <v>27</v>
      </c>
      <c r="K559" s="456">
        <v>2457</v>
      </c>
      <c r="L559" s="456">
        <v>1</v>
      </c>
      <c r="M559" s="456">
        <v>91</v>
      </c>
      <c r="N559" s="456">
        <v>43</v>
      </c>
      <c r="O559" s="456">
        <v>3913</v>
      </c>
      <c r="P559" s="478">
        <v>1.5925925925925926</v>
      </c>
      <c r="Q559" s="457">
        <v>91</v>
      </c>
    </row>
    <row r="560" spans="1:17" ht="14.4" customHeight="1" x14ac:dyDescent="0.3">
      <c r="A560" s="452" t="s">
        <v>1204</v>
      </c>
      <c r="B560" s="453" t="s">
        <v>1028</v>
      </c>
      <c r="C560" s="453" t="s">
        <v>1029</v>
      </c>
      <c r="D560" s="453" t="s">
        <v>1086</v>
      </c>
      <c r="E560" s="453" t="s">
        <v>1087</v>
      </c>
      <c r="F560" s="456">
        <v>2</v>
      </c>
      <c r="G560" s="456">
        <v>196</v>
      </c>
      <c r="H560" s="456">
        <v>1.9797979797979799</v>
      </c>
      <c r="I560" s="456">
        <v>98</v>
      </c>
      <c r="J560" s="456">
        <v>1</v>
      </c>
      <c r="K560" s="456">
        <v>99</v>
      </c>
      <c r="L560" s="456">
        <v>1</v>
      </c>
      <c r="M560" s="456">
        <v>99</v>
      </c>
      <c r="N560" s="456">
        <v>2</v>
      </c>
      <c r="O560" s="456">
        <v>274</v>
      </c>
      <c r="P560" s="478">
        <v>2.7676767676767677</v>
      </c>
      <c r="Q560" s="457">
        <v>137</v>
      </c>
    </row>
    <row r="561" spans="1:17" ht="14.4" customHeight="1" x14ac:dyDescent="0.3">
      <c r="A561" s="452" t="s">
        <v>1204</v>
      </c>
      <c r="B561" s="453" t="s">
        <v>1028</v>
      </c>
      <c r="C561" s="453" t="s">
        <v>1029</v>
      </c>
      <c r="D561" s="453" t="s">
        <v>1088</v>
      </c>
      <c r="E561" s="453" t="s">
        <v>1089</v>
      </c>
      <c r="F561" s="456">
        <v>14</v>
      </c>
      <c r="G561" s="456">
        <v>294</v>
      </c>
      <c r="H561" s="456">
        <v>1.2727272727272727</v>
      </c>
      <c r="I561" s="456">
        <v>21</v>
      </c>
      <c r="J561" s="456">
        <v>11</v>
      </c>
      <c r="K561" s="456">
        <v>231</v>
      </c>
      <c r="L561" s="456">
        <v>1</v>
      </c>
      <c r="M561" s="456">
        <v>21</v>
      </c>
      <c r="N561" s="456">
        <v>9</v>
      </c>
      <c r="O561" s="456">
        <v>594</v>
      </c>
      <c r="P561" s="478">
        <v>2.5714285714285716</v>
      </c>
      <c r="Q561" s="457">
        <v>66</v>
      </c>
    </row>
    <row r="562" spans="1:17" ht="14.4" customHeight="1" x14ac:dyDescent="0.3">
      <c r="A562" s="452" t="s">
        <v>1204</v>
      </c>
      <c r="B562" s="453" t="s">
        <v>1028</v>
      </c>
      <c r="C562" s="453" t="s">
        <v>1029</v>
      </c>
      <c r="D562" s="453" t="s">
        <v>1090</v>
      </c>
      <c r="E562" s="453" t="s">
        <v>1091</v>
      </c>
      <c r="F562" s="456">
        <v>46</v>
      </c>
      <c r="G562" s="456">
        <v>22402</v>
      </c>
      <c r="H562" s="456">
        <v>3.8254781420765029</v>
      </c>
      <c r="I562" s="456">
        <v>487</v>
      </c>
      <c r="J562" s="456">
        <v>12</v>
      </c>
      <c r="K562" s="456">
        <v>5856</v>
      </c>
      <c r="L562" s="456">
        <v>1</v>
      </c>
      <c r="M562" s="456">
        <v>488</v>
      </c>
      <c r="N562" s="456">
        <v>19</v>
      </c>
      <c r="O562" s="456">
        <v>6232</v>
      </c>
      <c r="P562" s="478">
        <v>1.0642076502732241</v>
      </c>
      <c r="Q562" s="457">
        <v>328</v>
      </c>
    </row>
    <row r="563" spans="1:17" ht="14.4" customHeight="1" x14ac:dyDescent="0.3">
      <c r="A563" s="452" t="s">
        <v>1204</v>
      </c>
      <c r="B563" s="453" t="s">
        <v>1028</v>
      </c>
      <c r="C563" s="453" t="s">
        <v>1029</v>
      </c>
      <c r="D563" s="453" t="s">
        <v>1098</v>
      </c>
      <c r="E563" s="453" t="s">
        <v>1099</v>
      </c>
      <c r="F563" s="456">
        <v>27</v>
      </c>
      <c r="G563" s="456">
        <v>1107</v>
      </c>
      <c r="H563" s="456">
        <v>1.9285714285714286</v>
      </c>
      <c r="I563" s="456">
        <v>41</v>
      </c>
      <c r="J563" s="456">
        <v>14</v>
      </c>
      <c r="K563" s="456">
        <v>574</v>
      </c>
      <c r="L563" s="456">
        <v>1</v>
      </c>
      <c r="M563" s="456">
        <v>41</v>
      </c>
      <c r="N563" s="456">
        <v>7</v>
      </c>
      <c r="O563" s="456">
        <v>357</v>
      </c>
      <c r="P563" s="478">
        <v>0.62195121951219512</v>
      </c>
      <c r="Q563" s="457">
        <v>51</v>
      </c>
    </row>
    <row r="564" spans="1:17" ht="14.4" customHeight="1" x14ac:dyDescent="0.3">
      <c r="A564" s="452" t="s">
        <v>1204</v>
      </c>
      <c r="B564" s="453" t="s">
        <v>1028</v>
      </c>
      <c r="C564" s="453" t="s">
        <v>1029</v>
      </c>
      <c r="D564" s="453" t="s">
        <v>1112</v>
      </c>
      <c r="E564" s="453" t="s">
        <v>1113</v>
      </c>
      <c r="F564" s="456">
        <v>4</v>
      </c>
      <c r="G564" s="456">
        <v>2432</v>
      </c>
      <c r="H564" s="456">
        <v>0.99022801302931596</v>
      </c>
      <c r="I564" s="456">
        <v>608</v>
      </c>
      <c r="J564" s="456">
        <v>4</v>
      </c>
      <c r="K564" s="456">
        <v>2456</v>
      </c>
      <c r="L564" s="456">
        <v>1</v>
      </c>
      <c r="M564" s="456">
        <v>614</v>
      </c>
      <c r="N564" s="456">
        <v>1</v>
      </c>
      <c r="O564" s="456">
        <v>612</v>
      </c>
      <c r="P564" s="478">
        <v>0.249185667752443</v>
      </c>
      <c r="Q564" s="457">
        <v>612</v>
      </c>
    </row>
    <row r="565" spans="1:17" ht="14.4" customHeight="1" x14ac:dyDescent="0.3">
      <c r="A565" s="452" t="s">
        <v>1204</v>
      </c>
      <c r="B565" s="453" t="s">
        <v>1028</v>
      </c>
      <c r="C565" s="453" t="s">
        <v>1029</v>
      </c>
      <c r="D565" s="453" t="s">
        <v>1114</v>
      </c>
      <c r="E565" s="453" t="s">
        <v>1115</v>
      </c>
      <c r="F565" s="456">
        <v>1</v>
      </c>
      <c r="G565" s="456">
        <v>962</v>
      </c>
      <c r="H565" s="456">
        <v>0.99896157840083077</v>
      </c>
      <c r="I565" s="456">
        <v>962</v>
      </c>
      <c r="J565" s="456">
        <v>1</v>
      </c>
      <c r="K565" s="456">
        <v>963</v>
      </c>
      <c r="L565" s="456">
        <v>1</v>
      </c>
      <c r="M565" s="456">
        <v>963</v>
      </c>
      <c r="N565" s="456"/>
      <c r="O565" s="456"/>
      <c r="P565" s="478"/>
      <c r="Q565" s="457"/>
    </row>
    <row r="566" spans="1:17" ht="14.4" customHeight="1" x14ac:dyDescent="0.3">
      <c r="A566" s="452" t="s">
        <v>1205</v>
      </c>
      <c r="B566" s="453" t="s">
        <v>1028</v>
      </c>
      <c r="C566" s="453" t="s">
        <v>1029</v>
      </c>
      <c r="D566" s="453" t="s">
        <v>1030</v>
      </c>
      <c r="E566" s="453" t="s">
        <v>1031</v>
      </c>
      <c r="F566" s="456">
        <v>315</v>
      </c>
      <c r="G566" s="456">
        <v>50715</v>
      </c>
      <c r="H566" s="456">
        <v>0.87507548960400305</v>
      </c>
      <c r="I566" s="456">
        <v>161</v>
      </c>
      <c r="J566" s="456">
        <v>335</v>
      </c>
      <c r="K566" s="456">
        <v>57955</v>
      </c>
      <c r="L566" s="456">
        <v>1</v>
      </c>
      <c r="M566" s="456">
        <v>173</v>
      </c>
      <c r="N566" s="456">
        <v>490</v>
      </c>
      <c r="O566" s="456">
        <v>84770</v>
      </c>
      <c r="P566" s="478">
        <v>1.4626865671641791</v>
      </c>
      <c r="Q566" s="457">
        <v>173</v>
      </c>
    </row>
    <row r="567" spans="1:17" ht="14.4" customHeight="1" x14ac:dyDescent="0.3">
      <c r="A567" s="452" t="s">
        <v>1205</v>
      </c>
      <c r="B567" s="453" t="s">
        <v>1028</v>
      </c>
      <c r="C567" s="453" t="s">
        <v>1029</v>
      </c>
      <c r="D567" s="453" t="s">
        <v>1044</v>
      </c>
      <c r="E567" s="453" t="s">
        <v>1045</v>
      </c>
      <c r="F567" s="456">
        <v>2</v>
      </c>
      <c r="G567" s="456">
        <v>2338</v>
      </c>
      <c r="H567" s="456">
        <v>0.39863597612958229</v>
      </c>
      <c r="I567" s="456">
        <v>1169</v>
      </c>
      <c r="J567" s="456">
        <v>5</v>
      </c>
      <c r="K567" s="456">
        <v>5865</v>
      </c>
      <c r="L567" s="456">
        <v>1</v>
      </c>
      <c r="M567" s="456">
        <v>1173</v>
      </c>
      <c r="N567" s="456">
        <v>21</v>
      </c>
      <c r="O567" s="456">
        <v>22470</v>
      </c>
      <c r="P567" s="478">
        <v>3.8312020460358056</v>
      </c>
      <c r="Q567" s="457">
        <v>1070</v>
      </c>
    </row>
    <row r="568" spans="1:17" ht="14.4" customHeight="1" x14ac:dyDescent="0.3">
      <c r="A568" s="452" t="s">
        <v>1205</v>
      </c>
      <c r="B568" s="453" t="s">
        <v>1028</v>
      </c>
      <c r="C568" s="453" t="s">
        <v>1029</v>
      </c>
      <c r="D568" s="453" t="s">
        <v>1046</v>
      </c>
      <c r="E568" s="453" t="s">
        <v>1047</v>
      </c>
      <c r="F568" s="456">
        <v>31</v>
      </c>
      <c r="G568" s="456">
        <v>1240</v>
      </c>
      <c r="H568" s="456">
        <v>1.2097560975609756</v>
      </c>
      <c r="I568" s="456">
        <v>40</v>
      </c>
      <c r="J568" s="456">
        <v>25</v>
      </c>
      <c r="K568" s="456">
        <v>1025</v>
      </c>
      <c r="L568" s="456">
        <v>1</v>
      </c>
      <c r="M568" s="456">
        <v>41</v>
      </c>
      <c r="N568" s="456">
        <v>38</v>
      </c>
      <c r="O568" s="456">
        <v>1748</v>
      </c>
      <c r="P568" s="478">
        <v>1.7053658536585365</v>
      </c>
      <c r="Q568" s="457">
        <v>46</v>
      </c>
    </row>
    <row r="569" spans="1:17" ht="14.4" customHeight="1" x14ac:dyDescent="0.3">
      <c r="A569" s="452" t="s">
        <v>1205</v>
      </c>
      <c r="B569" s="453" t="s">
        <v>1028</v>
      </c>
      <c r="C569" s="453" t="s">
        <v>1029</v>
      </c>
      <c r="D569" s="453" t="s">
        <v>1048</v>
      </c>
      <c r="E569" s="453" t="s">
        <v>1049</v>
      </c>
      <c r="F569" s="456">
        <v>1</v>
      </c>
      <c r="G569" s="456">
        <v>383</v>
      </c>
      <c r="H569" s="456">
        <v>0.99739583333333337</v>
      </c>
      <c r="I569" s="456">
        <v>383</v>
      </c>
      <c r="J569" s="456">
        <v>1</v>
      </c>
      <c r="K569" s="456">
        <v>384</v>
      </c>
      <c r="L569" s="456">
        <v>1</v>
      </c>
      <c r="M569" s="456">
        <v>384</v>
      </c>
      <c r="N569" s="456">
        <v>4</v>
      </c>
      <c r="O569" s="456">
        <v>1388</v>
      </c>
      <c r="P569" s="478">
        <v>3.6145833333333335</v>
      </c>
      <c r="Q569" s="457">
        <v>347</v>
      </c>
    </row>
    <row r="570" spans="1:17" ht="14.4" customHeight="1" x14ac:dyDescent="0.3">
      <c r="A570" s="452" t="s">
        <v>1205</v>
      </c>
      <c r="B570" s="453" t="s">
        <v>1028</v>
      </c>
      <c r="C570" s="453" t="s">
        <v>1029</v>
      </c>
      <c r="D570" s="453" t="s">
        <v>1050</v>
      </c>
      <c r="E570" s="453" t="s">
        <v>1051</v>
      </c>
      <c r="F570" s="456">
        <v>6</v>
      </c>
      <c r="G570" s="456">
        <v>222</v>
      </c>
      <c r="H570" s="456">
        <v>0.66666666666666663</v>
      </c>
      <c r="I570" s="456">
        <v>37</v>
      </c>
      <c r="J570" s="456">
        <v>9</v>
      </c>
      <c r="K570" s="456">
        <v>333</v>
      </c>
      <c r="L570" s="456">
        <v>1</v>
      </c>
      <c r="M570" s="456">
        <v>37</v>
      </c>
      <c r="N570" s="456">
        <v>4</v>
      </c>
      <c r="O570" s="456">
        <v>204</v>
      </c>
      <c r="P570" s="478">
        <v>0.61261261261261257</v>
      </c>
      <c r="Q570" s="457">
        <v>51</v>
      </c>
    </row>
    <row r="571" spans="1:17" ht="14.4" customHeight="1" x14ac:dyDescent="0.3">
      <c r="A571" s="452" t="s">
        <v>1205</v>
      </c>
      <c r="B571" s="453" t="s">
        <v>1028</v>
      </c>
      <c r="C571" s="453" t="s">
        <v>1029</v>
      </c>
      <c r="D571" s="453" t="s">
        <v>1054</v>
      </c>
      <c r="E571" s="453" t="s">
        <v>1055</v>
      </c>
      <c r="F571" s="456">
        <v>6</v>
      </c>
      <c r="G571" s="456">
        <v>2670</v>
      </c>
      <c r="H571" s="456">
        <v>1.9955156950672646</v>
      </c>
      <c r="I571" s="456">
        <v>445</v>
      </c>
      <c r="J571" s="456">
        <v>3</v>
      </c>
      <c r="K571" s="456">
        <v>1338</v>
      </c>
      <c r="L571" s="456">
        <v>1</v>
      </c>
      <c r="M571" s="456">
        <v>446</v>
      </c>
      <c r="N571" s="456">
        <v>6</v>
      </c>
      <c r="O571" s="456">
        <v>2262</v>
      </c>
      <c r="P571" s="478">
        <v>1.6905829596412556</v>
      </c>
      <c r="Q571" s="457">
        <v>377</v>
      </c>
    </row>
    <row r="572" spans="1:17" ht="14.4" customHeight="1" x14ac:dyDescent="0.3">
      <c r="A572" s="452" t="s">
        <v>1205</v>
      </c>
      <c r="B572" s="453" t="s">
        <v>1028</v>
      </c>
      <c r="C572" s="453" t="s">
        <v>1029</v>
      </c>
      <c r="D572" s="453" t="s">
        <v>1056</v>
      </c>
      <c r="E572" s="453" t="s">
        <v>1057</v>
      </c>
      <c r="F572" s="456">
        <v>1</v>
      </c>
      <c r="G572" s="456">
        <v>41</v>
      </c>
      <c r="H572" s="456">
        <v>0.97619047619047616</v>
      </c>
      <c r="I572" s="456">
        <v>41</v>
      </c>
      <c r="J572" s="456">
        <v>1</v>
      </c>
      <c r="K572" s="456">
        <v>42</v>
      </c>
      <c r="L572" s="456">
        <v>1</v>
      </c>
      <c r="M572" s="456">
        <v>42</v>
      </c>
      <c r="N572" s="456"/>
      <c r="O572" s="456"/>
      <c r="P572" s="478"/>
      <c r="Q572" s="457"/>
    </row>
    <row r="573" spans="1:17" ht="14.4" customHeight="1" x14ac:dyDescent="0.3">
      <c r="A573" s="452" t="s">
        <v>1205</v>
      </c>
      <c r="B573" s="453" t="s">
        <v>1028</v>
      </c>
      <c r="C573" s="453" t="s">
        <v>1029</v>
      </c>
      <c r="D573" s="453" t="s">
        <v>1058</v>
      </c>
      <c r="E573" s="453" t="s">
        <v>1059</v>
      </c>
      <c r="F573" s="456">
        <v>1</v>
      </c>
      <c r="G573" s="456">
        <v>491</v>
      </c>
      <c r="H573" s="456">
        <v>0.24949186991869918</v>
      </c>
      <c r="I573" s="456">
        <v>491</v>
      </c>
      <c r="J573" s="456">
        <v>4</v>
      </c>
      <c r="K573" s="456">
        <v>1968</v>
      </c>
      <c r="L573" s="456">
        <v>1</v>
      </c>
      <c r="M573" s="456">
        <v>492</v>
      </c>
      <c r="N573" s="456">
        <v>4</v>
      </c>
      <c r="O573" s="456">
        <v>2096</v>
      </c>
      <c r="P573" s="478">
        <v>1.065040650406504</v>
      </c>
      <c r="Q573" s="457">
        <v>524</v>
      </c>
    </row>
    <row r="574" spans="1:17" ht="14.4" customHeight="1" x14ac:dyDescent="0.3">
      <c r="A574" s="452" t="s">
        <v>1205</v>
      </c>
      <c r="B574" s="453" t="s">
        <v>1028</v>
      </c>
      <c r="C574" s="453" t="s">
        <v>1029</v>
      </c>
      <c r="D574" s="453" t="s">
        <v>1060</v>
      </c>
      <c r="E574" s="453" t="s">
        <v>1061</v>
      </c>
      <c r="F574" s="456">
        <v>9</v>
      </c>
      <c r="G574" s="456">
        <v>279</v>
      </c>
      <c r="H574" s="456">
        <v>3</v>
      </c>
      <c r="I574" s="456">
        <v>31</v>
      </c>
      <c r="J574" s="456">
        <v>3</v>
      </c>
      <c r="K574" s="456">
        <v>93</v>
      </c>
      <c r="L574" s="456">
        <v>1</v>
      </c>
      <c r="M574" s="456">
        <v>31</v>
      </c>
      <c r="N574" s="456">
        <v>7</v>
      </c>
      <c r="O574" s="456">
        <v>399</v>
      </c>
      <c r="P574" s="478">
        <v>4.290322580645161</v>
      </c>
      <c r="Q574" s="457">
        <v>57</v>
      </c>
    </row>
    <row r="575" spans="1:17" ht="14.4" customHeight="1" x14ac:dyDescent="0.3">
      <c r="A575" s="452" t="s">
        <v>1205</v>
      </c>
      <c r="B575" s="453" t="s">
        <v>1028</v>
      </c>
      <c r="C575" s="453" t="s">
        <v>1029</v>
      </c>
      <c r="D575" s="453" t="s">
        <v>1062</v>
      </c>
      <c r="E575" s="453" t="s">
        <v>1063</v>
      </c>
      <c r="F575" s="456"/>
      <c r="G575" s="456"/>
      <c r="H575" s="456"/>
      <c r="I575" s="456"/>
      <c r="J575" s="456">
        <v>1</v>
      </c>
      <c r="K575" s="456">
        <v>208</v>
      </c>
      <c r="L575" s="456">
        <v>1</v>
      </c>
      <c r="M575" s="456">
        <v>208</v>
      </c>
      <c r="N575" s="456"/>
      <c r="O575" s="456"/>
      <c r="P575" s="478"/>
      <c r="Q575" s="457"/>
    </row>
    <row r="576" spans="1:17" ht="14.4" customHeight="1" x14ac:dyDescent="0.3">
      <c r="A576" s="452" t="s">
        <v>1205</v>
      </c>
      <c r="B576" s="453" t="s">
        <v>1028</v>
      </c>
      <c r="C576" s="453" t="s">
        <v>1029</v>
      </c>
      <c r="D576" s="453" t="s">
        <v>1064</v>
      </c>
      <c r="E576" s="453" t="s">
        <v>1065</v>
      </c>
      <c r="F576" s="456">
        <v>3</v>
      </c>
      <c r="G576" s="456">
        <v>1140</v>
      </c>
      <c r="H576" s="456">
        <v>2.96875</v>
      </c>
      <c r="I576" s="456">
        <v>380</v>
      </c>
      <c r="J576" s="456">
        <v>1</v>
      </c>
      <c r="K576" s="456">
        <v>384</v>
      </c>
      <c r="L576" s="456">
        <v>1</v>
      </c>
      <c r="M576" s="456">
        <v>384</v>
      </c>
      <c r="N576" s="456"/>
      <c r="O576" s="456"/>
      <c r="P576" s="478"/>
      <c r="Q576" s="457"/>
    </row>
    <row r="577" spans="1:17" ht="14.4" customHeight="1" x14ac:dyDescent="0.3">
      <c r="A577" s="452" t="s">
        <v>1205</v>
      </c>
      <c r="B577" s="453" t="s">
        <v>1028</v>
      </c>
      <c r="C577" s="453" t="s">
        <v>1029</v>
      </c>
      <c r="D577" s="453" t="s">
        <v>1074</v>
      </c>
      <c r="E577" s="453" t="s">
        <v>1075</v>
      </c>
      <c r="F577" s="456">
        <v>21</v>
      </c>
      <c r="G577" s="456">
        <v>336</v>
      </c>
      <c r="H577" s="456">
        <v>1.2352941176470589</v>
      </c>
      <c r="I577" s="456">
        <v>16</v>
      </c>
      <c r="J577" s="456">
        <v>16</v>
      </c>
      <c r="K577" s="456">
        <v>272</v>
      </c>
      <c r="L577" s="456">
        <v>1</v>
      </c>
      <c r="M577" s="456">
        <v>17</v>
      </c>
      <c r="N577" s="456">
        <v>29</v>
      </c>
      <c r="O577" s="456">
        <v>493</v>
      </c>
      <c r="P577" s="478">
        <v>1.8125</v>
      </c>
      <c r="Q577" s="457">
        <v>17</v>
      </c>
    </row>
    <row r="578" spans="1:17" ht="14.4" customHeight="1" x14ac:dyDescent="0.3">
      <c r="A578" s="452" t="s">
        <v>1205</v>
      </c>
      <c r="B578" s="453" t="s">
        <v>1028</v>
      </c>
      <c r="C578" s="453" t="s">
        <v>1029</v>
      </c>
      <c r="D578" s="453" t="s">
        <v>1076</v>
      </c>
      <c r="E578" s="453" t="s">
        <v>1077</v>
      </c>
      <c r="F578" s="456"/>
      <c r="G578" s="456"/>
      <c r="H578" s="456"/>
      <c r="I578" s="456"/>
      <c r="J578" s="456"/>
      <c r="K578" s="456"/>
      <c r="L578" s="456"/>
      <c r="M578" s="456"/>
      <c r="N578" s="456">
        <v>1</v>
      </c>
      <c r="O578" s="456">
        <v>143</v>
      </c>
      <c r="P578" s="478"/>
      <c r="Q578" s="457">
        <v>143</v>
      </c>
    </row>
    <row r="579" spans="1:17" ht="14.4" customHeight="1" x14ac:dyDescent="0.3">
      <c r="A579" s="452" t="s">
        <v>1205</v>
      </c>
      <c r="B579" s="453" t="s">
        <v>1028</v>
      </c>
      <c r="C579" s="453" t="s">
        <v>1029</v>
      </c>
      <c r="D579" s="453" t="s">
        <v>1078</v>
      </c>
      <c r="E579" s="453" t="s">
        <v>1079</v>
      </c>
      <c r="F579" s="456">
        <v>40</v>
      </c>
      <c r="G579" s="456">
        <v>4120</v>
      </c>
      <c r="H579" s="456">
        <v>13.333333333333334</v>
      </c>
      <c r="I579" s="456">
        <v>103</v>
      </c>
      <c r="J579" s="456">
        <v>3</v>
      </c>
      <c r="K579" s="456">
        <v>309</v>
      </c>
      <c r="L579" s="456">
        <v>1</v>
      </c>
      <c r="M579" s="456">
        <v>103</v>
      </c>
      <c r="N579" s="456">
        <v>11</v>
      </c>
      <c r="O579" s="456">
        <v>715</v>
      </c>
      <c r="P579" s="478">
        <v>2.3139158576051782</v>
      </c>
      <c r="Q579" s="457">
        <v>65</v>
      </c>
    </row>
    <row r="580" spans="1:17" ht="14.4" customHeight="1" x14ac:dyDescent="0.3">
      <c r="A580" s="452" t="s">
        <v>1205</v>
      </c>
      <c r="B580" s="453" t="s">
        <v>1028</v>
      </c>
      <c r="C580" s="453" t="s">
        <v>1029</v>
      </c>
      <c r="D580" s="453" t="s">
        <v>1082</v>
      </c>
      <c r="E580" s="453" t="s">
        <v>1083</v>
      </c>
      <c r="F580" s="456">
        <v>243</v>
      </c>
      <c r="G580" s="456">
        <v>28188</v>
      </c>
      <c r="H580" s="456">
        <v>1.1582840236686391</v>
      </c>
      <c r="I580" s="456">
        <v>116</v>
      </c>
      <c r="J580" s="456">
        <v>208</v>
      </c>
      <c r="K580" s="456">
        <v>24336</v>
      </c>
      <c r="L580" s="456">
        <v>1</v>
      </c>
      <c r="M580" s="456">
        <v>117</v>
      </c>
      <c r="N580" s="456">
        <v>405</v>
      </c>
      <c r="O580" s="456">
        <v>55080</v>
      </c>
      <c r="P580" s="478">
        <v>2.2633136094674557</v>
      </c>
      <c r="Q580" s="457">
        <v>136</v>
      </c>
    </row>
    <row r="581" spans="1:17" ht="14.4" customHeight="1" x14ac:dyDescent="0.3">
      <c r="A581" s="452" t="s">
        <v>1205</v>
      </c>
      <c r="B581" s="453" t="s">
        <v>1028</v>
      </c>
      <c r="C581" s="453" t="s">
        <v>1029</v>
      </c>
      <c r="D581" s="453" t="s">
        <v>1084</v>
      </c>
      <c r="E581" s="453" t="s">
        <v>1085</v>
      </c>
      <c r="F581" s="456">
        <v>141</v>
      </c>
      <c r="G581" s="456">
        <v>11985</v>
      </c>
      <c r="H581" s="456">
        <v>0.93406593406593408</v>
      </c>
      <c r="I581" s="456">
        <v>85</v>
      </c>
      <c r="J581" s="456">
        <v>141</v>
      </c>
      <c r="K581" s="456">
        <v>12831</v>
      </c>
      <c r="L581" s="456">
        <v>1</v>
      </c>
      <c r="M581" s="456">
        <v>91</v>
      </c>
      <c r="N581" s="456">
        <v>201</v>
      </c>
      <c r="O581" s="456">
        <v>18291</v>
      </c>
      <c r="P581" s="478">
        <v>1.425531914893617</v>
      </c>
      <c r="Q581" s="457">
        <v>91</v>
      </c>
    </row>
    <row r="582" spans="1:17" ht="14.4" customHeight="1" x14ac:dyDescent="0.3">
      <c r="A582" s="452" t="s">
        <v>1205</v>
      </c>
      <c r="B582" s="453" t="s">
        <v>1028</v>
      </c>
      <c r="C582" s="453" t="s">
        <v>1029</v>
      </c>
      <c r="D582" s="453" t="s">
        <v>1086</v>
      </c>
      <c r="E582" s="453" t="s">
        <v>1087</v>
      </c>
      <c r="F582" s="456">
        <v>3</v>
      </c>
      <c r="G582" s="456">
        <v>294</v>
      </c>
      <c r="H582" s="456"/>
      <c r="I582" s="456">
        <v>98</v>
      </c>
      <c r="J582" s="456"/>
      <c r="K582" s="456"/>
      <c r="L582" s="456"/>
      <c r="M582" s="456"/>
      <c r="N582" s="456">
        <v>2</v>
      </c>
      <c r="O582" s="456">
        <v>274</v>
      </c>
      <c r="P582" s="478"/>
      <c r="Q582" s="457">
        <v>137</v>
      </c>
    </row>
    <row r="583" spans="1:17" ht="14.4" customHeight="1" x14ac:dyDescent="0.3">
      <c r="A583" s="452" t="s">
        <v>1205</v>
      </c>
      <c r="B583" s="453" t="s">
        <v>1028</v>
      </c>
      <c r="C583" s="453" t="s">
        <v>1029</v>
      </c>
      <c r="D583" s="453" t="s">
        <v>1088</v>
      </c>
      <c r="E583" s="453" t="s">
        <v>1089</v>
      </c>
      <c r="F583" s="456">
        <v>67</v>
      </c>
      <c r="G583" s="456">
        <v>1407</v>
      </c>
      <c r="H583" s="456">
        <v>2.7916666666666665</v>
      </c>
      <c r="I583" s="456">
        <v>21</v>
      </c>
      <c r="J583" s="456">
        <v>24</v>
      </c>
      <c r="K583" s="456">
        <v>504</v>
      </c>
      <c r="L583" s="456">
        <v>1</v>
      </c>
      <c r="M583" s="456">
        <v>21</v>
      </c>
      <c r="N583" s="456">
        <v>70</v>
      </c>
      <c r="O583" s="456">
        <v>4620</v>
      </c>
      <c r="P583" s="478">
        <v>9.1666666666666661</v>
      </c>
      <c r="Q583" s="457">
        <v>66</v>
      </c>
    </row>
    <row r="584" spans="1:17" ht="14.4" customHeight="1" x14ac:dyDescent="0.3">
      <c r="A584" s="452" t="s">
        <v>1205</v>
      </c>
      <c r="B584" s="453" t="s">
        <v>1028</v>
      </c>
      <c r="C584" s="453" t="s">
        <v>1029</v>
      </c>
      <c r="D584" s="453" t="s">
        <v>1090</v>
      </c>
      <c r="E584" s="453" t="s">
        <v>1091</v>
      </c>
      <c r="F584" s="456">
        <v>28</v>
      </c>
      <c r="G584" s="456">
        <v>13636</v>
      </c>
      <c r="H584" s="456">
        <v>1.2701192250372577</v>
      </c>
      <c r="I584" s="456">
        <v>487</v>
      </c>
      <c r="J584" s="456">
        <v>22</v>
      </c>
      <c r="K584" s="456">
        <v>10736</v>
      </c>
      <c r="L584" s="456">
        <v>1</v>
      </c>
      <c r="M584" s="456">
        <v>488</v>
      </c>
      <c r="N584" s="456">
        <v>34</v>
      </c>
      <c r="O584" s="456">
        <v>11152</v>
      </c>
      <c r="P584" s="478">
        <v>1.0387481371087928</v>
      </c>
      <c r="Q584" s="457">
        <v>328</v>
      </c>
    </row>
    <row r="585" spans="1:17" ht="14.4" customHeight="1" x14ac:dyDescent="0.3">
      <c r="A585" s="452" t="s">
        <v>1205</v>
      </c>
      <c r="B585" s="453" t="s">
        <v>1028</v>
      </c>
      <c r="C585" s="453" t="s">
        <v>1029</v>
      </c>
      <c r="D585" s="453" t="s">
        <v>1098</v>
      </c>
      <c r="E585" s="453" t="s">
        <v>1099</v>
      </c>
      <c r="F585" s="456">
        <v>55</v>
      </c>
      <c r="G585" s="456">
        <v>2255</v>
      </c>
      <c r="H585" s="456">
        <v>2.3913043478260869</v>
      </c>
      <c r="I585" s="456">
        <v>41</v>
      </c>
      <c r="J585" s="456">
        <v>23</v>
      </c>
      <c r="K585" s="456">
        <v>943</v>
      </c>
      <c r="L585" s="456">
        <v>1</v>
      </c>
      <c r="M585" s="456">
        <v>41</v>
      </c>
      <c r="N585" s="456">
        <v>39</v>
      </c>
      <c r="O585" s="456">
        <v>1989</v>
      </c>
      <c r="P585" s="478">
        <v>2.1092258748674442</v>
      </c>
      <c r="Q585" s="457">
        <v>51</v>
      </c>
    </row>
    <row r="586" spans="1:17" ht="14.4" customHeight="1" x14ac:dyDescent="0.3">
      <c r="A586" s="452" t="s">
        <v>1205</v>
      </c>
      <c r="B586" s="453" t="s">
        <v>1028</v>
      </c>
      <c r="C586" s="453" t="s">
        <v>1029</v>
      </c>
      <c r="D586" s="453" t="s">
        <v>1106</v>
      </c>
      <c r="E586" s="453" t="s">
        <v>1107</v>
      </c>
      <c r="F586" s="456">
        <v>3</v>
      </c>
      <c r="G586" s="456">
        <v>657</v>
      </c>
      <c r="H586" s="456"/>
      <c r="I586" s="456">
        <v>219</v>
      </c>
      <c r="J586" s="456"/>
      <c r="K586" s="456"/>
      <c r="L586" s="456"/>
      <c r="M586" s="456"/>
      <c r="N586" s="456">
        <v>5</v>
      </c>
      <c r="O586" s="456">
        <v>1035</v>
      </c>
      <c r="P586" s="478"/>
      <c r="Q586" s="457">
        <v>207</v>
      </c>
    </row>
    <row r="587" spans="1:17" ht="14.4" customHeight="1" x14ac:dyDescent="0.3">
      <c r="A587" s="452" t="s">
        <v>1205</v>
      </c>
      <c r="B587" s="453" t="s">
        <v>1028</v>
      </c>
      <c r="C587" s="453" t="s">
        <v>1029</v>
      </c>
      <c r="D587" s="453" t="s">
        <v>1110</v>
      </c>
      <c r="E587" s="453" t="s">
        <v>1111</v>
      </c>
      <c r="F587" s="456">
        <v>1</v>
      </c>
      <c r="G587" s="456">
        <v>2072</v>
      </c>
      <c r="H587" s="456"/>
      <c r="I587" s="456">
        <v>2072</v>
      </c>
      <c r="J587" s="456"/>
      <c r="K587" s="456"/>
      <c r="L587" s="456"/>
      <c r="M587" s="456"/>
      <c r="N587" s="456"/>
      <c r="O587" s="456"/>
      <c r="P587" s="478"/>
      <c r="Q587" s="457"/>
    </row>
    <row r="588" spans="1:17" ht="14.4" customHeight="1" x14ac:dyDescent="0.3">
      <c r="A588" s="452" t="s">
        <v>1205</v>
      </c>
      <c r="B588" s="453" t="s">
        <v>1028</v>
      </c>
      <c r="C588" s="453" t="s">
        <v>1029</v>
      </c>
      <c r="D588" s="453" t="s">
        <v>1112</v>
      </c>
      <c r="E588" s="453" t="s">
        <v>1113</v>
      </c>
      <c r="F588" s="456"/>
      <c r="G588" s="456"/>
      <c r="H588" s="456"/>
      <c r="I588" s="456"/>
      <c r="J588" s="456">
        <v>4</v>
      </c>
      <c r="K588" s="456">
        <v>2456</v>
      </c>
      <c r="L588" s="456">
        <v>1</v>
      </c>
      <c r="M588" s="456">
        <v>614</v>
      </c>
      <c r="N588" s="456"/>
      <c r="O588" s="456"/>
      <c r="P588" s="478"/>
      <c r="Q588" s="457"/>
    </row>
    <row r="589" spans="1:17" ht="14.4" customHeight="1" thickBot="1" x14ac:dyDescent="0.35">
      <c r="A589" s="458" t="s">
        <v>1205</v>
      </c>
      <c r="B589" s="459" t="s">
        <v>1028</v>
      </c>
      <c r="C589" s="459" t="s">
        <v>1029</v>
      </c>
      <c r="D589" s="459" t="s">
        <v>1136</v>
      </c>
      <c r="E589" s="459" t="s">
        <v>1137</v>
      </c>
      <c r="F589" s="462"/>
      <c r="G589" s="462"/>
      <c r="H589" s="462"/>
      <c r="I589" s="462"/>
      <c r="J589" s="462">
        <v>2</v>
      </c>
      <c r="K589" s="462">
        <v>658</v>
      </c>
      <c r="L589" s="462">
        <v>1</v>
      </c>
      <c r="M589" s="462">
        <v>329</v>
      </c>
      <c r="N589" s="462"/>
      <c r="O589" s="462"/>
      <c r="P589" s="470"/>
      <c r="Q589" s="463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5" bestFit="1" customWidth="1"/>
    <col min="2" max="2" width="9.5546875" style="115" hidden="1" customWidth="1" outlineLevel="1"/>
    <col min="3" max="3" width="9.5546875" style="115" customWidth="1" collapsed="1"/>
    <col min="4" max="4" width="2.21875" style="115" customWidth="1"/>
    <col min="5" max="8" width="9.5546875" style="115" customWidth="1"/>
    <col min="9" max="10" width="9.77734375" style="115" hidden="1" customWidth="1" outlineLevel="1"/>
    <col min="11" max="11" width="8.88671875" style="115" collapsed="1"/>
    <col min="12" max="16384" width="8.88671875" style="115"/>
  </cols>
  <sheetData>
    <row r="1" spans="1:10" ht="18.600000000000001" customHeight="1" thickBot="1" x14ac:dyDescent="0.4">
      <c r="A1" s="337" t="s">
        <v>122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4.4" customHeight="1" thickBot="1" x14ac:dyDescent="0.35">
      <c r="A2" s="215" t="s">
        <v>273</v>
      </c>
      <c r="B2" s="97"/>
      <c r="C2" s="97"/>
      <c r="D2" s="97"/>
      <c r="E2" s="97"/>
      <c r="F2" s="97"/>
    </row>
    <row r="3" spans="1:10" ht="14.4" customHeight="1" x14ac:dyDescent="0.3">
      <c r="A3" s="328"/>
      <c r="B3" s="93">
        <v>2015</v>
      </c>
      <c r="C3" s="40">
        <v>2016</v>
      </c>
      <c r="D3" s="7"/>
      <c r="E3" s="332">
        <v>2017</v>
      </c>
      <c r="F3" s="333"/>
      <c r="G3" s="333"/>
      <c r="H3" s="334"/>
      <c r="I3" s="335">
        <v>2017</v>
      </c>
      <c r="J3" s="336"/>
    </row>
    <row r="4" spans="1:10" ht="14.4" customHeight="1" thickBot="1" x14ac:dyDescent="0.35">
      <c r="A4" s="329"/>
      <c r="B4" s="330" t="s">
        <v>60</v>
      </c>
      <c r="C4" s="331"/>
      <c r="D4" s="7"/>
      <c r="E4" s="114" t="s">
        <v>60</v>
      </c>
      <c r="F4" s="95" t="s">
        <v>61</v>
      </c>
      <c r="G4" s="95" t="s">
        <v>55</v>
      </c>
      <c r="H4" s="96" t="s">
        <v>62</v>
      </c>
      <c r="I4" s="313" t="s">
        <v>264</v>
      </c>
      <c r="J4" s="314" t="s">
        <v>265</v>
      </c>
    </row>
    <row r="5" spans="1:10" ht="14.4" customHeight="1" x14ac:dyDescent="0.3">
      <c r="A5" s="98" t="str">
        <f>HYPERLINK("#'Léky Žádanky'!A1","Léky (Kč)")</f>
        <v>Léky (Kč)</v>
      </c>
      <c r="B5" s="27">
        <v>7.6592199999999995</v>
      </c>
      <c r="C5" s="29">
        <v>4.9420199999999994</v>
      </c>
      <c r="D5" s="8"/>
      <c r="E5" s="103">
        <v>5.0537599999999996</v>
      </c>
      <c r="F5" s="28">
        <v>9</v>
      </c>
      <c r="G5" s="102">
        <f>E5-F5</f>
        <v>-3.9462400000000004</v>
      </c>
      <c r="H5" s="108">
        <f>IF(F5&lt;0.00000001,"",E5/F5)</f>
        <v>0.56152888888888886</v>
      </c>
    </row>
    <row r="6" spans="1:10" ht="14.4" customHeight="1" x14ac:dyDescent="0.3">
      <c r="A6" s="98" t="str">
        <f>HYPERLINK("#'Materiál Žádanky'!A1","Materiál - SZM (Kč)")</f>
        <v>Materiál - SZM (Kč)</v>
      </c>
      <c r="B6" s="10">
        <v>3081.8248400000002</v>
      </c>
      <c r="C6" s="31">
        <v>3473.85086</v>
      </c>
      <c r="D6" s="8"/>
      <c r="E6" s="104">
        <v>4214.4638100000002</v>
      </c>
      <c r="F6" s="30">
        <v>3630.0240672195337</v>
      </c>
      <c r="G6" s="105">
        <f>E6-F6</f>
        <v>584.43974278046653</v>
      </c>
      <c r="H6" s="109">
        <f>IF(F6&lt;0.00000001,"",E6/F6)</f>
        <v>1.1610016165066712</v>
      </c>
    </row>
    <row r="7" spans="1:10" ht="14.4" customHeight="1" x14ac:dyDescent="0.3">
      <c r="A7" s="98" t="str">
        <f>HYPERLINK("#'Osobní náklady'!A1","Osobní náklady (Kč) *")</f>
        <v>Osobní náklady (Kč) *</v>
      </c>
      <c r="B7" s="10">
        <v>2928.1391199999998</v>
      </c>
      <c r="C7" s="31">
        <v>3082.26062</v>
      </c>
      <c r="D7" s="8"/>
      <c r="E7" s="104">
        <v>3313.7097800000001</v>
      </c>
      <c r="F7" s="30">
        <v>3292.8333333333335</v>
      </c>
      <c r="G7" s="105">
        <f>E7-F7</f>
        <v>20.876446666666652</v>
      </c>
      <c r="H7" s="109">
        <f>IF(F7&lt;0.00000001,"",E7/F7)</f>
        <v>1.0063399645695197</v>
      </c>
    </row>
    <row r="8" spans="1:10" ht="14.4" customHeight="1" thickBot="1" x14ac:dyDescent="0.35">
      <c r="A8" s="1" t="s">
        <v>63</v>
      </c>
      <c r="B8" s="11">
        <v>424.11847000000989</v>
      </c>
      <c r="C8" s="33">
        <v>472.86444000000029</v>
      </c>
      <c r="D8" s="8"/>
      <c r="E8" s="106">
        <v>597.01928999999927</v>
      </c>
      <c r="F8" s="32">
        <v>493.22826646596559</v>
      </c>
      <c r="G8" s="107">
        <f>E8-F8</f>
        <v>103.79102353403368</v>
      </c>
      <c r="H8" s="110">
        <f>IF(F8&lt;0.00000001,"",E8/F8)</f>
        <v>1.2104320262861408</v>
      </c>
    </row>
    <row r="9" spans="1:10" ht="14.4" customHeight="1" thickBot="1" x14ac:dyDescent="0.35">
      <c r="A9" s="2" t="s">
        <v>64</v>
      </c>
      <c r="B9" s="3">
        <v>6441.7416500000108</v>
      </c>
      <c r="C9" s="35">
        <v>7033.9179400000003</v>
      </c>
      <c r="D9" s="8"/>
      <c r="E9" s="3">
        <v>8130.2466399999994</v>
      </c>
      <c r="F9" s="34">
        <v>7425.0856670188332</v>
      </c>
      <c r="G9" s="34">
        <f>E9-F9</f>
        <v>705.1609729811662</v>
      </c>
      <c r="H9" s="111">
        <f>IF(F9&lt;0.00000001,"",E9/F9)</f>
        <v>1.0949700790811601</v>
      </c>
    </row>
    <row r="10" spans="1:10" ht="14.4" customHeight="1" thickBot="1" x14ac:dyDescent="0.35">
      <c r="A10" s="12"/>
      <c r="B10" s="12"/>
      <c r="C10" s="94"/>
      <c r="D10" s="8"/>
      <c r="E10" s="12"/>
      <c r="F10" s="13"/>
    </row>
    <row r="11" spans="1:10" ht="14.4" customHeight="1" x14ac:dyDescent="0.3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5262.549</v>
      </c>
      <c r="C11" s="29">
        <f>IF(ISERROR(VLOOKUP("Celkem:",'ZV Vykáz.-A'!A:H,5,0)),0,VLOOKUP("Celkem:",'ZV Vykáz.-A'!A:H,5,0)/1000)</f>
        <v>6433.0320000000002</v>
      </c>
      <c r="D11" s="8"/>
      <c r="E11" s="103">
        <f>IF(ISERROR(VLOOKUP("Celkem:",'ZV Vykáz.-A'!A:H,8,0)),0,VLOOKUP("Celkem:",'ZV Vykáz.-A'!A:H,8,0)/1000)</f>
        <v>6221.56</v>
      </c>
      <c r="F11" s="28">
        <f>C11</f>
        <v>6433.0320000000002</v>
      </c>
      <c r="G11" s="102">
        <f>E11-F11</f>
        <v>-211.47199999999975</v>
      </c>
      <c r="H11" s="108">
        <f>IF(F11&lt;0.00000001,"",E11/F11)</f>
        <v>0.96712716492005635</v>
      </c>
      <c r="I11" s="102">
        <f>E11-B11</f>
        <v>959.01100000000042</v>
      </c>
      <c r="J11" s="108">
        <f>IF(B11&lt;0.00000001,"",E11/B11)</f>
        <v>1.1822331725557331</v>
      </c>
    </row>
    <row r="12" spans="1:10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" customHeight="1" thickBot="1" x14ac:dyDescent="0.35">
      <c r="A13" s="4" t="s">
        <v>67</v>
      </c>
      <c r="B13" s="5">
        <f>SUM(B11:B12)</f>
        <v>5262.549</v>
      </c>
      <c r="C13" s="37">
        <f>SUM(C11:C12)</f>
        <v>6433.0320000000002</v>
      </c>
      <c r="D13" s="8"/>
      <c r="E13" s="5">
        <f>SUM(E11:E12)</f>
        <v>6221.56</v>
      </c>
      <c r="F13" s="36">
        <f>SUM(F11:F12)</f>
        <v>6433.0320000000002</v>
      </c>
      <c r="G13" s="36">
        <f>E13-F13</f>
        <v>-211.47199999999975</v>
      </c>
      <c r="H13" s="112">
        <f>IF(F13&lt;0.00000001,"",E13/F13)</f>
        <v>0.96712716492005635</v>
      </c>
      <c r="I13" s="36">
        <f>SUM(I11:I12)</f>
        <v>959.01100000000042</v>
      </c>
      <c r="J13" s="112">
        <f>IF(B13&lt;0.00000001,"",E13/B13)</f>
        <v>1.1822331725557331</v>
      </c>
    </row>
    <row r="14" spans="1:10" ht="14.4" customHeight="1" thickBot="1" x14ac:dyDescent="0.35">
      <c r="A14" s="12"/>
      <c r="B14" s="12"/>
      <c r="C14" s="94"/>
      <c r="D14" s="8"/>
      <c r="E14" s="12"/>
      <c r="F14" s="13"/>
    </row>
    <row r="15" spans="1:10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0.81694505708716081</v>
      </c>
      <c r="C15" s="39">
        <f>IF(C9=0,"",C13/C9)</f>
        <v>0.91457308073173227</v>
      </c>
      <c r="D15" s="8"/>
      <c r="E15" s="6">
        <f>IF(E9=0,"",E13/E9)</f>
        <v>0.76523631760327515</v>
      </c>
      <c r="F15" s="38">
        <f>IF(F9=0,"",F13/F9)</f>
        <v>0.86639162004212378</v>
      </c>
      <c r="G15" s="38">
        <f>IF(ISERROR(F15-E15),"",E15-F15)</f>
        <v>-0.10115530243884863</v>
      </c>
      <c r="H15" s="113">
        <f>IF(ISERROR(F15-E15),"",IF(F15&lt;0.00000001,"",E15/F15))</f>
        <v>0.88324528989104201</v>
      </c>
    </row>
    <row r="17" spans="1:8" ht="14.4" customHeight="1" x14ac:dyDescent="0.3">
      <c r="A17" s="99" t="s">
        <v>139</v>
      </c>
    </row>
    <row r="18" spans="1:8" ht="14.4" customHeight="1" x14ac:dyDescent="0.3">
      <c r="A18" s="270" t="s">
        <v>176</v>
      </c>
      <c r="B18" s="271"/>
      <c r="C18" s="271"/>
      <c r="D18" s="271"/>
      <c r="E18" s="271"/>
      <c r="F18" s="271"/>
      <c r="G18" s="271"/>
      <c r="H18" s="271"/>
    </row>
    <row r="19" spans="1:8" x14ac:dyDescent="0.3">
      <c r="A19" s="269" t="s">
        <v>175</v>
      </c>
      <c r="B19" s="271"/>
      <c r="C19" s="271"/>
      <c r="D19" s="271"/>
      <c r="E19" s="271"/>
      <c r="F19" s="271"/>
      <c r="G19" s="271"/>
      <c r="H19" s="271"/>
    </row>
    <row r="20" spans="1:8" ht="14.4" customHeight="1" x14ac:dyDescent="0.3">
      <c r="A20" s="100" t="s">
        <v>224</v>
      </c>
    </row>
    <row r="21" spans="1:8" ht="14.4" customHeight="1" x14ac:dyDescent="0.3">
      <c r="A21" s="100" t="s">
        <v>140</v>
      </c>
    </row>
    <row r="22" spans="1:8" ht="14.4" customHeight="1" x14ac:dyDescent="0.3">
      <c r="A22" s="101" t="s">
        <v>263</v>
      </c>
    </row>
    <row r="23" spans="1:8" ht="14.4" customHeight="1" x14ac:dyDescent="0.3">
      <c r="A23" s="101" t="s">
        <v>141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1" priority="8" operator="greaterThan">
      <formula>0</formula>
    </cfRule>
  </conditionalFormatting>
  <conditionalFormatting sqref="G11:G13 G15">
    <cfRule type="cellIs" dxfId="50" priority="7" operator="lessThan">
      <formula>0</formula>
    </cfRule>
  </conditionalFormatting>
  <conditionalFormatting sqref="H5:H9">
    <cfRule type="cellIs" dxfId="49" priority="6" operator="greaterThan">
      <formula>1</formula>
    </cfRule>
  </conditionalFormatting>
  <conditionalFormatting sqref="H11:H13 H15">
    <cfRule type="cellIs" dxfId="48" priority="5" operator="lessThan">
      <formula>1</formula>
    </cfRule>
  </conditionalFormatting>
  <conditionalFormatting sqref="I11:I13">
    <cfRule type="cellIs" dxfId="47" priority="4" operator="lessThan">
      <formula>0</formula>
    </cfRule>
  </conditionalFormatting>
  <conditionalFormatting sqref="J11:J13">
    <cfRule type="cellIs" dxfId="4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26" t="s">
        <v>91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</row>
    <row r="2" spans="1:13" ht="14.4" customHeight="1" x14ac:dyDescent="0.3">
      <c r="A2" s="215" t="s">
        <v>273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0.75726327899173185</v>
      </c>
      <c r="C4" s="185">
        <f t="shared" ref="C4:M4" si="0">(C10+C8)/C6</f>
        <v>0.76523631760327504</v>
      </c>
      <c r="D4" s="185">
        <f t="shared" si="0"/>
        <v>0.76523631760327504</v>
      </c>
      <c r="E4" s="185">
        <f t="shared" si="0"/>
        <v>0.76523631760327504</v>
      </c>
      <c r="F4" s="185">
        <f t="shared" si="0"/>
        <v>0.76523631760327504</v>
      </c>
      <c r="G4" s="185">
        <f t="shared" si="0"/>
        <v>0.76523631760327504</v>
      </c>
      <c r="H4" s="185">
        <f t="shared" si="0"/>
        <v>0.76523631760327504</v>
      </c>
      <c r="I4" s="185">
        <f t="shared" si="0"/>
        <v>0.76523631760327504</v>
      </c>
      <c r="J4" s="185">
        <f t="shared" si="0"/>
        <v>0.76523631760327504</v>
      </c>
      <c r="K4" s="185">
        <f t="shared" si="0"/>
        <v>0.76523631760327504</v>
      </c>
      <c r="L4" s="185">
        <f t="shared" si="0"/>
        <v>0.76523631760327504</v>
      </c>
      <c r="M4" s="185">
        <f t="shared" si="0"/>
        <v>0.76523631760327504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4285.0209299999997</v>
      </c>
      <c r="C5" s="185">
        <f>IF(ISERROR(VLOOKUP($A5,'Man Tab'!$A:$Q,COLUMN()+2,0)),0,VLOOKUP($A5,'Man Tab'!$A:$Q,COLUMN()+2,0))</f>
        <v>3845.2257100000002</v>
      </c>
      <c r="D5" s="185">
        <f>IF(ISERROR(VLOOKUP($A5,'Man Tab'!$A:$Q,COLUMN()+2,0)),0,VLOOKUP($A5,'Man Tab'!$A:$Q,COLUMN()+2,0))</f>
        <v>0</v>
      </c>
      <c r="E5" s="185">
        <f>IF(ISERROR(VLOOKUP($A5,'Man Tab'!$A:$Q,COLUMN()+2,0)),0,VLOOKUP($A5,'Man Tab'!$A:$Q,COLUMN()+2,0))</f>
        <v>0</v>
      </c>
      <c r="F5" s="185">
        <f>IF(ISERROR(VLOOKUP($A5,'Man Tab'!$A:$Q,COLUMN()+2,0)),0,VLOOKUP($A5,'Man Tab'!$A:$Q,COLUMN()+2,0))</f>
        <v>0</v>
      </c>
      <c r="G5" s="185">
        <f>IF(ISERROR(VLOOKUP($A5,'Man Tab'!$A:$Q,COLUMN()+2,0)),0,VLOOKUP($A5,'Man Tab'!$A:$Q,COLUMN()+2,0))</f>
        <v>0</v>
      </c>
      <c r="H5" s="185">
        <f>IF(ISERROR(VLOOKUP($A5,'Man Tab'!$A:$Q,COLUMN()+2,0)),0,VLOOKUP($A5,'Man Tab'!$A:$Q,COLUMN()+2,0))</f>
        <v>0</v>
      </c>
      <c r="I5" s="185">
        <f>IF(ISERROR(VLOOKUP($A5,'Man Tab'!$A:$Q,COLUMN()+2,0)),0,VLOOKUP($A5,'Man Tab'!$A:$Q,COLUMN()+2,0))</f>
        <v>0</v>
      </c>
      <c r="J5" s="185">
        <f>IF(ISERROR(VLOOKUP($A5,'Man Tab'!$A:$Q,COLUMN()+2,0)),0,VLOOKUP($A5,'Man Tab'!$A:$Q,COLUMN()+2,0))</f>
        <v>0</v>
      </c>
      <c r="K5" s="185">
        <f>IF(ISERROR(VLOOKUP($A5,'Man Tab'!$A:$Q,COLUMN()+2,0)),0,VLOOKUP($A5,'Man Tab'!$A:$Q,COLUMN()+2,0))</f>
        <v>0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64</v>
      </c>
      <c r="B6" s="187">
        <f>B5</f>
        <v>4285.0209299999997</v>
      </c>
      <c r="C6" s="187">
        <f t="shared" ref="C6:M6" si="1">C5+B6</f>
        <v>8130.2466399999994</v>
      </c>
      <c r="D6" s="187">
        <f t="shared" si="1"/>
        <v>8130.2466399999994</v>
      </c>
      <c r="E6" s="187">
        <f t="shared" si="1"/>
        <v>8130.2466399999994</v>
      </c>
      <c r="F6" s="187">
        <f t="shared" si="1"/>
        <v>8130.2466399999994</v>
      </c>
      <c r="G6" s="187">
        <f t="shared" si="1"/>
        <v>8130.2466399999994</v>
      </c>
      <c r="H6" s="187">
        <f t="shared" si="1"/>
        <v>8130.2466399999994</v>
      </c>
      <c r="I6" s="187">
        <f t="shared" si="1"/>
        <v>8130.2466399999994</v>
      </c>
      <c r="J6" s="187">
        <f t="shared" si="1"/>
        <v>8130.2466399999994</v>
      </c>
      <c r="K6" s="187">
        <f t="shared" si="1"/>
        <v>8130.2466399999994</v>
      </c>
      <c r="L6" s="187">
        <f t="shared" si="1"/>
        <v>8130.2466399999994</v>
      </c>
      <c r="M6" s="187">
        <f t="shared" si="1"/>
        <v>8130.2466399999994</v>
      </c>
    </row>
    <row r="7" spans="1:13" ht="14.4" customHeight="1" x14ac:dyDescent="0.3">
      <c r="A7" s="186" t="s">
        <v>89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90</v>
      </c>
      <c r="B9" s="186">
        <v>3244889</v>
      </c>
      <c r="C9" s="186">
        <v>2976671</v>
      </c>
      <c r="D9" s="186">
        <v>0</v>
      </c>
      <c r="E9" s="186">
        <v>0</v>
      </c>
      <c r="F9" s="186">
        <v>0</v>
      </c>
      <c r="G9" s="186">
        <v>0</v>
      </c>
      <c r="H9" s="186">
        <v>0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</row>
    <row r="10" spans="1:13" ht="14.4" customHeight="1" x14ac:dyDescent="0.3">
      <c r="A10" s="186" t="s">
        <v>66</v>
      </c>
      <c r="B10" s="187">
        <f>B9/1000</f>
        <v>3244.8890000000001</v>
      </c>
      <c r="C10" s="187">
        <f t="shared" ref="C10:M10" si="3">C9/1000+B10</f>
        <v>6221.5599999999995</v>
      </c>
      <c r="D10" s="187">
        <f t="shared" si="3"/>
        <v>6221.5599999999995</v>
      </c>
      <c r="E10" s="187">
        <f t="shared" si="3"/>
        <v>6221.5599999999995</v>
      </c>
      <c r="F10" s="187">
        <f t="shared" si="3"/>
        <v>6221.5599999999995</v>
      </c>
      <c r="G10" s="187">
        <f t="shared" si="3"/>
        <v>6221.5599999999995</v>
      </c>
      <c r="H10" s="187">
        <f t="shared" si="3"/>
        <v>6221.5599999999995</v>
      </c>
      <c r="I10" s="187">
        <f t="shared" si="3"/>
        <v>6221.5599999999995</v>
      </c>
      <c r="J10" s="187">
        <f t="shared" si="3"/>
        <v>6221.5599999999995</v>
      </c>
      <c r="K10" s="187">
        <f t="shared" si="3"/>
        <v>6221.5599999999995</v>
      </c>
      <c r="L10" s="187">
        <f t="shared" si="3"/>
        <v>6221.5599999999995</v>
      </c>
      <c r="M10" s="187">
        <f t="shared" si="3"/>
        <v>6221.5599999999995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2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0.86639162004212378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0.86639162004212378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8" customFormat="1" ht="18.600000000000001" customHeight="1" thickBot="1" x14ac:dyDescent="0.4">
      <c r="A1" s="338" t="s">
        <v>275</v>
      </c>
      <c r="B1" s="338"/>
      <c r="C1" s="338"/>
      <c r="D1" s="338"/>
      <c r="E1" s="338"/>
      <c r="F1" s="338"/>
      <c r="G1" s="338"/>
      <c r="H1" s="326"/>
      <c r="I1" s="326"/>
      <c r="J1" s="326"/>
      <c r="K1" s="326"/>
      <c r="L1" s="326"/>
      <c r="M1" s="326"/>
      <c r="N1" s="326"/>
      <c r="O1" s="326"/>
      <c r="P1" s="326"/>
      <c r="Q1" s="326"/>
    </row>
    <row r="2" spans="1:17" s="188" customFormat="1" ht="14.4" customHeight="1" thickBot="1" x14ac:dyDescent="0.3">
      <c r="A2" s="215" t="s">
        <v>273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39" t="s">
        <v>16</v>
      </c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123"/>
      <c r="Q3" s="125"/>
    </row>
    <row r="4" spans="1:17" ht="14.4" customHeight="1" x14ac:dyDescent="0.3">
      <c r="A4" s="69"/>
      <c r="B4" s="20">
        <v>2017</v>
      </c>
      <c r="C4" s="124" t="s">
        <v>17</v>
      </c>
      <c r="D4" s="307" t="s">
        <v>239</v>
      </c>
      <c r="E4" s="307" t="s">
        <v>240</v>
      </c>
      <c r="F4" s="307" t="s">
        <v>241</v>
      </c>
      <c r="G4" s="307" t="s">
        <v>242</v>
      </c>
      <c r="H4" s="307" t="s">
        <v>243</v>
      </c>
      <c r="I4" s="307" t="s">
        <v>244</v>
      </c>
      <c r="J4" s="307" t="s">
        <v>245</v>
      </c>
      <c r="K4" s="307" t="s">
        <v>246</v>
      </c>
      <c r="L4" s="307" t="s">
        <v>247</v>
      </c>
      <c r="M4" s="307" t="s">
        <v>248</v>
      </c>
      <c r="N4" s="307" t="s">
        <v>249</v>
      </c>
      <c r="O4" s="307" t="s">
        <v>250</v>
      </c>
      <c r="P4" s="341" t="s">
        <v>3</v>
      </c>
      <c r="Q4" s="342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274</v>
      </c>
    </row>
    <row r="7" spans="1:17" ht="14.4" customHeight="1" x14ac:dyDescent="0.3">
      <c r="A7" s="15" t="s">
        <v>22</v>
      </c>
      <c r="B7" s="51">
        <v>54</v>
      </c>
      <c r="C7" s="52">
        <v>4.5</v>
      </c>
      <c r="D7" s="52">
        <v>3.1358799999999998</v>
      </c>
      <c r="E7" s="52">
        <v>1.91788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5.0537599999999996</v>
      </c>
      <c r="Q7" s="81">
        <v>0.56152888888800001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274</v>
      </c>
    </row>
    <row r="9" spans="1:17" ht="14.4" customHeight="1" x14ac:dyDescent="0.3">
      <c r="A9" s="15" t="s">
        <v>24</v>
      </c>
      <c r="B9" s="51">
        <v>20871</v>
      </c>
      <c r="C9" s="52">
        <v>1739.25</v>
      </c>
      <c r="D9" s="52">
        <v>2219.85439</v>
      </c>
      <c r="E9" s="52">
        <v>1994.60942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4214.4638100000002</v>
      </c>
      <c r="Q9" s="81">
        <v>1.21157504959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274</v>
      </c>
    </row>
    <row r="11" spans="1:17" ht="14.4" customHeight="1" x14ac:dyDescent="0.3">
      <c r="A11" s="15" t="s">
        <v>26</v>
      </c>
      <c r="B11" s="51">
        <v>166.177019482281</v>
      </c>
      <c r="C11" s="52">
        <v>13.848084956856001</v>
      </c>
      <c r="D11" s="52">
        <v>14.84896</v>
      </c>
      <c r="E11" s="52">
        <v>11.4816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26.330559999999998</v>
      </c>
      <c r="Q11" s="81">
        <v>0.95069318544799997</v>
      </c>
    </row>
    <row r="12" spans="1:17" ht="14.4" customHeight="1" x14ac:dyDescent="0.3">
      <c r="A12" s="15" t="s">
        <v>27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81" t="s">
        <v>274</v>
      </c>
    </row>
    <row r="13" spans="1:17" ht="14.4" customHeight="1" x14ac:dyDescent="0.3">
      <c r="A13" s="15" t="s">
        <v>28</v>
      </c>
      <c r="B13" s="51">
        <v>17.311544556655001</v>
      </c>
      <c r="C13" s="52">
        <v>1.4426287130540001</v>
      </c>
      <c r="D13" s="52">
        <v>0.89900999999999998</v>
      </c>
      <c r="E13" s="52">
        <v>2.2246600000000001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3.1236700000000002</v>
      </c>
      <c r="Q13" s="81">
        <v>1.082631300671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274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274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274</v>
      </c>
    </row>
    <row r="17" spans="1:17" ht="14.4" customHeight="1" x14ac:dyDescent="0.3">
      <c r="A17" s="15" t="s">
        <v>32</v>
      </c>
      <c r="B17" s="51">
        <v>8.0756647642019992</v>
      </c>
      <c r="C17" s="52">
        <v>0.672972063683</v>
      </c>
      <c r="D17" s="52">
        <v>85.860500000000002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85.860500000000002</v>
      </c>
      <c r="Q17" s="81">
        <v>63.792023943788998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5.58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5.58</v>
      </c>
      <c r="Q18" s="81" t="s">
        <v>274</v>
      </c>
    </row>
    <row r="19" spans="1:17" ht="14.4" customHeight="1" x14ac:dyDescent="0.3">
      <c r="A19" s="15" t="s">
        <v>34</v>
      </c>
      <c r="B19" s="51">
        <v>800.26932501252804</v>
      </c>
      <c r="C19" s="52">
        <v>66.689110417709998</v>
      </c>
      <c r="D19" s="52">
        <v>62.01538</v>
      </c>
      <c r="E19" s="52">
        <v>20.801279999999998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82.816659999999999</v>
      </c>
      <c r="Q19" s="81">
        <v>0.62091591476600005</v>
      </c>
    </row>
    <row r="20" spans="1:17" ht="14.4" customHeight="1" x14ac:dyDescent="0.3">
      <c r="A20" s="15" t="s">
        <v>35</v>
      </c>
      <c r="B20" s="51">
        <v>19757</v>
      </c>
      <c r="C20" s="52">
        <v>1646.4166666666699</v>
      </c>
      <c r="D20" s="52">
        <v>1703.26541</v>
      </c>
      <c r="E20" s="52">
        <v>1610.4443699999999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3313.7097800000001</v>
      </c>
      <c r="Q20" s="81">
        <v>1.0063399645690001</v>
      </c>
    </row>
    <row r="21" spans="1:17" ht="14.4" customHeight="1" x14ac:dyDescent="0.3">
      <c r="A21" s="16" t="s">
        <v>36</v>
      </c>
      <c r="B21" s="51">
        <v>1953</v>
      </c>
      <c r="C21" s="52">
        <v>162.75</v>
      </c>
      <c r="D21" s="52">
        <v>187.411</v>
      </c>
      <c r="E21" s="52">
        <v>203.74700000000001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391.15800000000002</v>
      </c>
      <c r="Q21" s="81">
        <v>1.201714285714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81" t="s">
        <v>274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274</v>
      </c>
    </row>
    <row r="24" spans="1:17" ht="14.4" customHeight="1" x14ac:dyDescent="0.3">
      <c r="A24" s="16" t="s">
        <v>39</v>
      </c>
      <c r="B24" s="51">
        <v>0</v>
      </c>
      <c r="C24" s="52">
        <v>-9.0949470177292804E-13</v>
      </c>
      <c r="D24" s="52">
        <v>2.1503999999999999</v>
      </c>
      <c r="E24" s="52">
        <v>-5.0000000000000001E-4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2.1499000000000001</v>
      </c>
      <c r="Q24" s="81" t="s">
        <v>274</v>
      </c>
    </row>
    <row r="25" spans="1:17" ht="14.4" customHeight="1" x14ac:dyDescent="0.3">
      <c r="A25" s="17" t="s">
        <v>40</v>
      </c>
      <c r="B25" s="54">
        <v>43626.833553815697</v>
      </c>
      <c r="C25" s="55">
        <v>3635.5694628179699</v>
      </c>
      <c r="D25" s="55">
        <v>4285.0209299999997</v>
      </c>
      <c r="E25" s="55">
        <v>3845.2257100000002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8130.2466400000003</v>
      </c>
      <c r="Q25" s="82">
        <v>1.118153115096</v>
      </c>
    </row>
    <row r="26" spans="1:17" ht="14.4" customHeight="1" x14ac:dyDescent="0.3">
      <c r="A26" s="15" t="s">
        <v>41</v>
      </c>
      <c r="B26" s="51">
        <v>0</v>
      </c>
      <c r="C26" s="52">
        <v>0</v>
      </c>
      <c r="D26" s="52">
        <v>237.63179</v>
      </c>
      <c r="E26" s="52">
        <v>223.61448999999999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461.24628000000001</v>
      </c>
      <c r="Q26" s="81" t="s">
        <v>274</v>
      </c>
    </row>
    <row r="27" spans="1:17" ht="14.4" customHeight="1" x14ac:dyDescent="0.3">
      <c r="A27" s="18" t="s">
        <v>42</v>
      </c>
      <c r="B27" s="54">
        <v>43626.833553815697</v>
      </c>
      <c r="C27" s="55">
        <v>3635.5694628179699</v>
      </c>
      <c r="D27" s="55">
        <v>4522.65272</v>
      </c>
      <c r="E27" s="55">
        <v>4068.8402000000001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8591.4929200000006</v>
      </c>
      <c r="Q27" s="82">
        <v>1.1815883327029999</v>
      </c>
    </row>
    <row r="28" spans="1:17" ht="14.4" customHeight="1" x14ac:dyDescent="0.3">
      <c r="A28" s="16" t="s">
        <v>43</v>
      </c>
      <c r="B28" s="51">
        <v>530</v>
      </c>
      <c r="C28" s="52">
        <v>44.166666666666003</v>
      </c>
      <c r="D28" s="52">
        <v>55.648380000000003</v>
      </c>
      <c r="E28" s="52">
        <v>53.64282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109.2912</v>
      </c>
      <c r="Q28" s="81">
        <v>1.237258867924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274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10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274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9" t="s">
        <v>139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251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38" t="s">
        <v>48</v>
      </c>
      <c r="B1" s="338"/>
      <c r="C1" s="338"/>
      <c r="D1" s="338"/>
      <c r="E1" s="338"/>
      <c r="F1" s="338"/>
      <c r="G1" s="338"/>
      <c r="H1" s="343"/>
      <c r="I1" s="343"/>
      <c r="J1" s="343"/>
      <c r="K1" s="343"/>
    </row>
    <row r="2" spans="1:11" s="60" customFormat="1" ht="14.4" customHeight="1" thickBot="1" x14ac:dyDescent="0.35">
      <c r="A2" s="215" t="s">
        <v>273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39" t="s">
        <v>49</v>
      </c>
      <c r="C3" s="340"/>
      <c r="D3" s="340"/>
      <c r="E3" s="340"/>
      <c r="F3" s="346" t="s">
        <v>50</v>
      </c>
      <c r="G3" s="340"/>
      <c r="H3" s="340"/>
      <c r="I3" s="340"/>
      <c r="J3" s="340"/>
      <c r="K3" s="347"/>
    </row>
    <row r="4" spans="1:11" ht="14.4" customHeight="1" x14ac:dyDescent="0.3">
      <c r="A4" s="69"/>
      <c r="B4" s="344"/>
      <c r="C4" s="345"/>
      <c r="D4" s="345"/>
      <c r="E4" s="345"/>
      <c r="F4" s="348" t="s">
        <v>252</v>
      </c>
      <c r="G4" s="350" t="s">
        <v>51</v>
      </c>
      <c r="H4" s="126" t="s">
        <v>126</v>
      </c>
      <c r="I4" s="348" t="s">
        <v>52</v>
      </c>
      <c r="J4" s="350" t="s">
        <v>259</v>
      </c>
      <c r="K4" s="351" t="s">
        <v>253</v>
      </c>
    </row>
    <row r="5" spans="1:11" ht="42" thickBot="1" x14ac:dyDescent="0.35">
      <c r="A5" s="70"/>
      <c r="B5" s="24" t="s">
        <v>255</v>
      </c>
      <c r="C5" s="25" t="s">
        <v>256</v>
      </c>
      <c r="D5" s="26" t="s">
        <v>257</v>
      </c>
      <c r="E5" s="26" t="s">
        <v>258</v>
      </c>
      <c r="F5" s="349"/>
      <c r="G5" s="349"/>
      <c r="H5" s="25" t="s">
        <v>254</v>
      </c>
      <c r="I5" s="349"/>
      <c r="J5" s="349"/>
      <c r="K5" s="352"/>
    </row>
    <row r="6" spans="1:11" ht="14.4" customHeight="1" thickBot="1" x14ac:dyDescent="0.35">
      <c r="A6" s="423" t="s">
        <v>276</v>
      </c>
      <c r="B6" s="405">
        <v>41830.941044323197</v>
      </c>
      <c r="C6" s="405">
        <v>43957.475769999997</v>
      </c>
      <c r="D6" s="406">
        <v>2126.53472567687</v>
      </c>
      <c r="E6" s="407">
        <v>1.0508364065589999</v>
      </c>
      <c r="F6" s="405">
        <v>43626.833553815697</v>
      </c>
      <c r="G6" s="406">
        <v>7271.1389256359498</v>
      </c>
      <c r="H6" s="408">
        <v>3845.2257100000002</v>
      </c>
      <c r="I6" s="405">
        <v>8130.2466400000003</v>
      </c>
      <c r="J6" s="406">
        <v>859.10771436405503</v>
      </c>
      <c r="K6" s="409">
        <v>0.18635885251600001</v>
      </c>
    </row>
    <row r="7" spans="1:11" ht="14.4" customHeight="1" thickBot="1" x14ac:dyDescent="0.35">
      <c r="A7" s="424" t="s">
        <v>277</v>
      </c>
      <c r="B7" s="405">
        <v>21276.004630489799</v>
      </c>
      <c r="C7" s="405">
        <v>21038.935539999999</v>
      </c>
      <c r="D7" s="406">
        <v>-237.06909048976399</v>
      </c>
      <c r="E7" s="407">
        <v>0.98885744318000002</v>
      </c>
      <c r="F7" s="405">
        <v>21108.4885640389</v>
      </c>
      <c r="G7" s="406">
        <v>3518.08142733982</v>
      </c>
      <c r="H7" s="408">
        <v>2010.23306</v>
      </c>
      <c r="I7" s="405">
        <v>4248.9717000000001</v>
      </c>
      <c r="J7" s="406">
        <v>730.89027266017797</v>
      </c>
      <c r="K7" s="409">
        <v>0.20129208621899999</v>
      </c>
    </row>
    <row r="8" spans="1:11" ht="14.4" customHeight="1" thickBot="1" x14ac:dyDescent="0.35">
      <c r="A8" s="425" t="s">
        <v>278</v>
      </c>
      <c r="B8" s="405">
        <v>21276.004630489799</v>
      </c>
      <c r="C8" s="405">
        <v>21038.935539999999</v>
      </c>
      <c r="D8" s="406">
        <v>-237.06909048976399</v>
      </c>
      <c r="E8" s="407">
        <v>0.98885744318000002</v>
      </c>
      <c r="F8" s="405">
        <v>21108.4885640389</v>
      </c>
      <c r="G8" s="406">
        <v>3518.08142733982</v>
      </c>
      <c r="H8" s="408">
        <v>2010.23306</v>
      </c>
      <c r="I8" s="405">
        <v>4248.9717000000001</v>
      </c>
      <c r="J8" s="406">
        <v>730.89027266017797</v>
      </c>
      <c r="K8" s="409">
        <v>0.20129208621899999</v>
      </c>
    </row>
    <row r="9" spans="1:11" ht="14.4" customHeight="1" thickBot="1" x14ac:dyDescent="0.35">
      <c r="A9" s="426" t="s">
        <v>279</v>
      </c>
      <c r="B9" s="410">
        <v>0</v>
      </c>
      <c r="C9" s="410">
        <v>2.8999999900000001E-4</v>
      </c>
      <c r="D9" s="411">
        <v>2.8999999900000001E-4</v>
      </c>
      <c r="E9" s="412" t="s">
        <v>274</v>
      </c>
      <c r="F9" s="410">
        <v>0</v>
      </c>
      <c r="G9" s="411">
        <v>0</v>
      </c>
      <c r="H9" s="413">
        <v>-5.0000000000000001E-4</v>
      </c>
      <c r="I9" s="410">
        <v>-1E-4</v>
      </c>
      <c r="J9" s="411">
        <v>-1E-4</v>
      </c>
      <c r="K9" s="414" t="s">
        <v>274</v>
      </c>
    </row>
    <row r="10" spans="1:11" ht="14.4" customHeight="1" thickBot="1" x14ac:dyDescent="0.35">
      <c r="A10" s="427" t="s">
        <v>280</v>
      </c>
      <c r="B10" s="405">
        <v>0</v>
      </c>
      <c r="C10" s="405">
        <v>2.8999999900000001E-4</v>
      </c>
      <c r="D10" s="406">
        <v>2.8999999900000001E-4</v>
      </c>
      <c r="E10" s="415" t="s">
        <v>274</v>
      </c>
      <c r="F10" s="405">
        <v>0</v>
      </c>
      <c r="G10" s="406">
        <v>0</v>
      </c>
      <c r="H10" s="408">
        <v>-5.0000000000000001E-4</v>
      </c>
      <c r="I10" s="405">
        <v>-1E-4</v>
      </c>
      <c r="J10" s="406">
        <v>-1E-4</v>
      </c>
      <c r="K10" s="416" t="s">
        <v>274</v>
      </c>
    </row>
    <row r="11" spans="1:11" ht="14.4" customHeight="1" thickBot="1" x14ac:dyDescent="0.35">
      <c r="A11" s="426" t="s">
        <v>281</v>
      </c>
      <c r="B11" s="410">
        <v>59.943805411695003</v>
      </c>
      <c r="C11" s="410">
        <v>41.435319999999997</v>
      </c>
      <c r="D11" s="411">
        <v>-18.508485411694998</v>
      </c>
      <c r="E11" s="417">
        <v>0.69123606209800004</v>
      </c>
      <c r="F11" s="410">
        <v>54</v>
      </c>
      <c r="G11" s="411">
        <v>9</v>
      </c>
      <c r="H11" s="413">
        <v>1.91788</v>
      </c>
      <c r="I11" s="410">
        <v>5.0537599999999996</v>
      </c>
      <c r="J11" s="411">
        <v>-3.94624</v>
      </c>
      <c r="K11" s="418">
        <v>9.3588148147999997E-2</v>
      </c>
    </row>
    <row r="12" spans="1:11" ht="14.4" customHeight="1" thickBot="1" x14ac:dyDescent="0.35">
      <c r="A12" s="427" t="s">
        <v>282</v>
      </c>
      <c r="B12" s="405">
        <v>37.000003340340001</v>
      </c>
      <c r="C12" s="405">
        <v>27.018599999999999</v>
      </c>
      <c r="D12" s="406">
        <v>-9.98140334034</v>
      </c>
      <c r="E12" s="407">
        <v>0.73023236650699996</v>
      </c>
      <c r="F12" s="405">
        <v>32</v>
      </c>
      <c r="G12" s="406">
        <v>5.333333333333</v>
      </c>
      <c r="H12" s="408">
        <v>1.91788</v>
      </c>
      <c r="I12" s="405">
        <v>4.7645799999999996</v>
      </c>
      <c r="J12" s="406">
        <v>-0.56875333333300004</v>
      </c>
      <c r="K12" s="409">
        <v>0.14889312499999999</v>
      </c>
    </row>
    <row r="13" spans="1:11" ht="14.4" customHeight="1" thickBot="1" x14ac:dyDescent="0.35">
      <c r="A13" s="427" t="s">
        <v>283</v>
      </c>
      <c r="B13" s="405">
        <v>22.000001986148</v>
      </c>
      <c r="C13" s="405">
        <v>14.41672</v>
      </c>
      <c r="D13" s="406">
        <v>-7.5832819861480001</v>
      </c>
      <c r="E13" s="407">
        <v>0.65530539538400001</v>
      </c>
      <c r="F13" s="405">
        <v>22</v>
      </c>
      <c r="G13" s="406">
        <v>3.6666666666659999</v>
      </c>
      <c r="H13" s="408">
        <v>0</v>
      </c>
      <c r="I13" s="405">
        <v>0.28917999999999999</v>
      </c>
      <c r="J13" s="406">
        <v>-3.3774866666659999</v>
      </c>
      <c r="K13" s="409">
        <v>1.3144545454E-2</v>
      </c>
    </row>
    <row r="14" spans="1:11" ht="14.4" customHeight="1" thickBot="1" x14ac:dyDescent="0.35">
      <c r="A14" s="427" t="s">
        <v>284</v>
      </c>
      <c r="B14" s="405">
        <v>0.94380008520500003</v>
      </c>
      <c r="C14" s="405">
        <v>0</v>
      </c>
      <c r="D14" s="406">
        <v>-0.94380008520500003</v>
      </c>
      <c r="E14" s="407">
        <v>0</v>
      </c>
      <c r="F14" s="405">
        <v>0</v>
      </c>
      <c r="G14" s="406">
        <v>0</v>
      </c>
      <c r="H14" s="408">
        <v>0</v>
      </c>
      <c r="I14" s="405">
        <v>0</v>
      </c>
      <c r="J14" s="406">
        <v>0</v>
      </c>
      <c r="K14" s="409">
        <v>2</v>
      </c>
    </row>
    <row r="15" spans="1:11" ht="14.4" customHeight="1" thickBot="1" x14ac:dyDescent="0.35">
      <c r="A15" s="426" t="s">
        <v>285</v>
      </c>
      <c r="B15" s="410">
        <v>20998.175277886501</v>
      </c>
      <c r="C15" s="410">
        <v>20727.983120000001</v>
      </c>
      <c r="D15" s="411">
        <v>-270.19215788650001</v>
      </c>
      <c r="E15" s="417">
        <v>0.98713258869800002</v>
      </c>
      <c r="F15" s="410">
        <v>20871</v>
      </c>
      <c r="G15" s="411">
        <v>3478.5</v>
      </c>
      <c r="H15" s="413">
        <v>1994.60942</v>
      </c>
      <c r="I15" s="410">
        <v>4214.4638100000002</v>
      </c>
      <c r="J15" s="411">
        <v>735.96380999999997</v>
      </c>
      <c r="K15" s="418">
        <v>0.20192917493099999</v>
      </c>
    </row>
    <row r="16" spans="1:11" ht="14.4" customHeight="1" thickBot="1" x14ac:dyDescent="0.35">
      <c r="A16" s="427" t="s">
        <v>286</v>
      </c>
      <c r="B16" s="405">
        <v>20700.001688226399</v>
      </c>
      <c r="C16" s="405">
        <v>20469.068589999999</v>
      </c>
      <c r="D16" s="406">
        <v>-230.93309822634899</v>
      </c>
      <c r="E16" s="407">
        <v>0.988843812589</v>
      </c>
      <c r="F16" s="405">
        <v>20600</v>
      </c>
      <c r="G16" s="406">
        <v>3433.3333333333298</v>
      </c>
      <c r="H16" s="408">
        <v>1973.1248000000001</v>
      </c>
      <c r="I16" s="405">
        <v>4151.9106300000003</v>
      </c>
      <c r="J16" s="406">
        <v>718.57729666666603</v>
      </c>
      <c r="K16" s="409">
        <v>0.20154905970799999</v>
      </c>
    </row>
    <row r="17" spans="1:11" ht="14.4" customHeight="1" thickBot="1" x14ac:dyDescent="0.35">
      <c r="A17" s="427" t="s">
        <v>287</v>
      </c>
      <c r="B17" s="405">
        <v>129.71225379648001</v>
      </c>
      <c r="C17" s="405">
        <v>139.25720000000001</v>
      </c>
      <c r="D17" s="406">
        <v>9.5449462035200003</v>
      </c>
      <c r="E17" s="407">
        <v>1.0735855397159999</v>
      </c>
      <c r="F17" s="405">
        <v>130</v>
      </c>
      <c r="G17" s="406">
        <v>21.666666666666</v>
      </c>
      <c r="H17" s="408">
        <v>17.058589999999999</v>
      </c>
      <c r="I17" s="405">
        <v>32.765320000000003</v>
      </c>
      <c r="J17" s="406">
        <v>11.098653333333001</v>
      </c>
      <c r="K17" s="409">
        <v>0.25204092307600001</v>
      </c>
    </row>
    <row r="18" spans="1:11" ht="14.4" customHeight="1" thickBot="1" x14ac:dyDescent="0.35">
      <c r="A18" s="427" t="s">
        <v>288</v>
      </c>
      <c r="B18" s="405">
        <v>19.964250360605998</v>
      </c>
      <c r="C18" s="405">
        <v>14.167149999999999</v>
      </c>
      <c r="D18" s="406">
        <v>-5.7971003606059996</v>
      </c>
      <c r="E18" s="407">
        <v>0.709625943579</v>
      </c>
      <c r="F18" s="405">
        <v>20</v>
      </c>
      <c r="G18" s="406">
        <v>3.333333333333</v>
      </c>
      <c r="H18" s="408">
        <v>0.31723000000000001</v>
      </c>
      <c r="I18" s="405">
        <v>1.4668300000000001</v>
      </c>
      <c r="J18" s="406">
        <v>-1.8665033333329999</v>
      </c>
      <c r="K18" s="409">
        <v>7.3341500000000004E-2</v>
      </c>
    </row>
    <row r="19" spans="1:11" ht="14.4" customHeight="1" thickBot="1" x14ac:dyDescent="0.35">
      <c r="A19" s="427" t="s">
        <v>289</v>
      </c>
      <c r="B19" s="405">
        <v>116.76953946995</v>
      </c>
      <c r="C19" s="405">
        <v>86.407179999999997</v>
      </c>
      <c r="D19" s="406">
        <v>-30.362359469948998</v>
      </c>
      <c r="E19" s="407">
        <v>0.73998048114399995</v>
      </c>
      <c r="F19" s="405">
        <v>100</v>
      </c>
      <c r="G19" s="406">
        <v>16.666666666666</v>
      </c>
      <c r="H19" s="408">
        <v>2.0207999999999999</v>
      </c>
      <c r="I19" s="405">
        <v>24.586030000000001</v>
      </c>
      <c r="J19" s="406">
        <v>7.919363333333</v>
      </c>
      <c r="K19" s="409">
        <v>0.2458603</v>
      </c>
    </row>
    <row r="20" spans="1:11" ht="14.4" customHeight="1" thickBot="1" x14ac:dyDescent="0.35">
      <c r="A20" s="427" t="s">
        <v>290</v>
      </c>
      <c r="B20" s="405">
        <v>1.0000000902790001</v>
      </c>
      <c r="C20" s="405">
        <v>1.4370000000000001</v>
      </c>
      <c r="D20" s="406">
        <v>0.43699990972000002</v>
      </c>
      <c r="E20" s="407">
        <v>1.436999870268</v>
      </c>
      <c r="F20" s="405">
        <v>1</v>
      </c>
      <c r="G20" s="406">
        <v>0.166666666666</v>
      </c>
      <c r="H20" s="408">
        <v>0.156</v>
      </c>
      <c r="I20" s="405">
        <v>0.28499999999999998</v>
      </c>
      <c r="J20" s="406">
        <v>0.118333333333</v>
      </c>
      <c r="K20" s="409">
        <v>0.28499999999999998</v>
      </c>
    </row>
    <row r="21" spans="1:11" ht="14.4" customHeight="1" thickBot="1" x14ac:dyDescent="0.35">
      <c r="A21" s="427" t="s">
        <v>291</v>
      </c>
      <c r="B21" s="405">
        <v>30.727545942833</v>
      </c>
      <c r="C21" s="405">
        <v>17.646000000000001</v>
      </c>
      <c r="D21" s="406">
        <v>-13.081545942832999</v>
      </c>
      <c r="E21" s="407">
        <v>0.57427300028499995</v>
      </c>
      <c r="F21" s="405">
        <v>20</v>
      </c>
      <c r="G21" s="406">
        <v>3.333333333333</v>
      </c>
      <c r="H21" s="408">
        <v>1.9319999999999999</v>
      </c>
      <c r="I21" s="405">
        <v>3.45</v>
      </c>
      <c r="J21" s="406">
        <v>0.11666666666599999</v>
      </c>
      <c r="K21" s="409">
        <v>0.17249999999999999</v>
      </c>
    </row>
    <row r="22" spans="1:11" ht="14.4" customHeight="1" thickBot="1" x14ac:dyDescent="0.35">
      <c r="A22" s="426" t="s">
        <v>292</v>
      </c>
      <c r="B22" s="410">
        <v>213.671911650917</v>
      </c>
      <c r="C22" s="410">
        <v>252.56702999999999</v>
      </c>
      <c r="D22" s="411">
        <v>38.895118349082999</v>
      </c>
      <c r="E22" s="417">
        <v>1.182031966899</v>
      </c>
      <c r="F22" s="410">
        <v>166.177019482281</v>
      </c>
      <c r="G22" s="411">
        <v>27.696169913713</v>
      </c>
      <c r="H22" s="413">
        <v>11.4816</v>
      </c>
      <c r="I22" s="410">
        <v>26.330559999999998</v>
      </c>
      <c r="J22" s="411">
        <v>-1.365609913713</v>
      </c>
      <c r="K22" s="418">
        <v>0.15844886424099999</v>
      </c>
    </row>
    <row r="23" spans="1:11" ht="14.4" customHeight="1" thickBot="1" x14ac:dyDescent="0.35">
      <c r="A23" s="427" t="s">
        <v>293</v>
      </c>
      <c r="B23" s="405">
        <v>2.246395742432</v>
      </c>
      <c r="C23" s="405">
        <v>3.9889999999999999</v>
      </c>
      <c r="D23" s="406">
        <v>1.742604257567</v>
      </c>
      <c r="E23" s="407">
        <v>1.7757334225000001</v>
      </c>
      <c r="F23" s="405">
        <v>0</v>
      </c>
      <c r="G23" s="406">
        <v>0</v>
      </c>
      <c r="H23" s="408">
        <v>0</v>
      </c>
      <c r="I23" s="405">
        <v>0</v>
      </c>
      <c r="J23" s="406">
        <v>0</v>
      </c>
      <c r="K23" s="416" t="s">
        <v>274</v>
      </c>
    </row>
    <row r="24" spans="1:11" ht="14.4" customHeight="1" thickBot="1" x14ac:dyDescent="0.35">
      <c r="A24" s="427" t="s">
        <v>294</v>
      </c>
      <c r="B24" s="405">
        <v>8.7394249604330003</v>
      </c>
      <c r="C24" s="405">
        <v>3.3332000000000002</v>
      </c>
      <c r="D24" s="406">
        <v>-5.4062249604329997</v>
      </c>
      <c r="E24" s="407">
        <v>0.38139809141699998</v>
      </c>
      <c r="F24" s="405">
        <v>5</v>
      </c>
      <c r="G24" s="406">
        <v>0.83333333333299997</v>
      </c>
      <c r="H24" s="408">
        <v>0.47433999999999998</v>
      </c>
      <c r="I24" s="405">
        <v>0.63944000000000001</v>
      </c>
      <c r="J24" s="406">
        <v>-0.19389333333299999</v>
      </c>
      <c r="K24" s="409">
        <v>0.127888</v>
      </c>
    </row>
    <row r="25" spans="1:11" ht="14.4" customHeight="1" thickBot="1" x14ac:dyDescent="0.35">
      <c r="A25" s="427" t="s">
        <v>295</v>
      </c>
      <c r="B25" s="405">
        <v>26.634703401917999</v>
      </c>
      <c r="C25" s="405">
        <v>25.612469999999998</v>
      </c>
      <c r="D25" s="406">
        <v>-1.0222334019179999</v>
      </c>
      <c r="E25" s="407">
        <v>0.96162024459200002</v>
      </c>
      <c r="F25" s="405">
        <v>24.673071006122001</v>
      </c>
      <c r="G25" s="406">
        <v>4.1121785010199998</v>
      </c>
      <c r="H25" s="408">
        <v>2.4106800000000002</v>
      </c>
      <c r="I25" s="405">
        <v>7.84863</v>
      </c>
      <c r="J25" s="406">
        <v>3.7364514989790001</v>
      </c>
      <c r="K25" s="409">
        <v>0.31810511136000003</v>
      </c>
    </row>
    <row r="26" spans="1:11" ht="14.4" customHeight="1" thickBot="1" x14ac:dyDescent="0.35">
      <c r="A26" s="427" t="s">
        <v>296</v>
      </c>
      <c r="B26" s="405">
        <v>50.865209842178999</v>
      </c>
      <c r="C26" s="405">
        <v>53.766449999999999</v>
      </c>
      <c r="D26" s="406">
        <v>2.9012401578200002</v>
      </c>
      <c r="E26" s="407">
        <v>1.0570378096699999</v>
      </c>
      <c r="F26" s="405">
        <v>55</v>
      </c>
      <c r="G26" s="406">
        <v>9.1666666666659999</v>
      </c>
      <c r="H26" s="408">
        <v>4.1749999999999998</v>
      </c>
      <c r="I26" s="405">
        <v>6.3046499999999996</v>
      </c>
      <c r="J26" s="406">
        <v>-2.8620166666659999</v>
      </c>
      <c r="K26" s="409">
        <v>0.11463</v>
      </c>
    </row>
    <row r="27" spans="1:11" ht="14.4" customHeight="1" thickBot="1" x14ac:dyDescent="0.35">
      <c r="A27" s="427" t="s">
        <v>297</v>
      </c>
      <c r="B27" s="405">
        <v>0</v>
      </c>
      <c r="C27" s="405">
        <v>0</v>
      </c>
      <c r="D27" s="406">
        <v>0</v>
      </c>
      <c r="E27" s="407">
        <v>1</v>
      </c>
      <c r="F27" s="405">
        <v>0</v>
      </c>
      <c r="G27" s="406">
        <v>0</v>
      </c>
      <c r="H27" s="408">
        <v>0</v>
      </c>
      <c r="I27" s="405">
        <v>9.196E-2</v>
      </c>
      <c r="J27" s="406">
        <v>9.196E-2</v>
      </c>
      <c r="K27" s="416" t="s">
        <v>298</v>
      </c>
    </row>
    <row r="28" spans="1:11" ht="14.4" customHeight="1" thickBot="1" x14ac:dyDescent="0.35">
      <c r="A28" s="427" t="s">
        <v>299</v>
      </c>
      <c r="B28" s="405">
        <v>6.6508381158710002</v>
      </c>
      <c r="C28" s="405">
        <v>7.3901899999999996</v>
      </c>
      <c r="D28" s="406">
        <v>0.73935188412800001</v>
      </c>
      <c r="E28" s="407">
        <v>1.1111667238389999</v>
      </c>
      <c r="F28" s="405">
        <v>7</v>
      </c>
      <c r="G28" s="406">
        <v>1.1666666666659999</v>
      </c>
      <c r="H28" s="408">
        <v>0</v>
      </c>
      <c r="I28" s="405">
        <v>0</v>
      </c>
      <c r="J28" s="406">
        <v>-1.1666666666659999</v>
      </c>
      <c r="K28" s="409">
        <v>0</v>
      </c>
    </row>
    <row r="29" spans="1:11" ht="14.4" customHeight="1" thickBot="1" x14ac:dyDescent="0.35">
      <c r="A29" s="427" t="s">
        <v>300</v>
      </c>
      <c r="B29" s="405">
        <v>4.5816384097049996</v>
      </c>
      <c r="C29" s="405">
        <v>4.1394099999999998</v>
      </c>
      <c r="D29" s="406">
        <v>-0.44222840970499999</v>
      </c>
      <c r="E29" s="407">
        <v>0.903478107576</v>
      </c>
      <c r="F29" s="405">
        <v>4.5039484761589996</v>
      </c>
      <c r="G29" s="406">
        <v>0.75065807935899997</v>
      </c>
      <c r="H29" s="408">
        <v>0.19117999999999999</v>
      </c>
      <c r="I29" s="405">
        <v>0.78649000000000002</v>
      </c>
      <c r="J29" s="406">
        <v>3.5831920640000001E-2</v>
      </c>
      <c r="K29" s="409">
        <v>0.17462233508200001</v>
      </c>
    </row>
    <row r="30" spans="1:11" ht="14.4" customHeight="1" thickBot="1" x14ac:dyDescent="0.35">
      <c r="A30" s="427" t="s">
        <v>301</v>
      </c>
      <c r="B30" s="405">
        <v>0</v>
      </c>
      <c r="C30" s="405">
        <v>3.5468000000000002</v>
      </c>
      <c r="D30" s="406">
        <v>3.5468000000000002</v>
      </c>
      <c r="E30" s="415" t="s">
        <v>298</v>
      </c>
      <c r="F30" s="405">
        <v>0</v>
      </c>
      <c r="G30" s="406">
        <v>0</v>
      </c>
      <c r="H30" s="408">
        <v>0</v>
      </c>
      <c r="I30" s="405">
        <v>1.6815</v>
      </c>
      <c r="J30" s="406">
        <v>1.6815</v>
      </c>
      <c r="K30" s="416" t="s">
        <v>274</v>
      </c>
    </row>
    <row r="31" spans="1:11" ht="14.4" customHeight="1" thickBot="1" x14ac:dyDescent="0.35">
      <c r="A31" s="427" t="s">
        <v>302</v>
      </c>
      <c r="B31" s="405">
        <v>21.128812463397999</v>
      </c>
      <c r="C31" s="405">
        <v>25.990310000000001</v>
      </c>
      <c r="D31" s="406">
        <v>4.861497536601</v>
      </c>
      <c r="E31" s="407">
        <v>1.2300885364480001</v>
      </c>
      <c r="F31" s="405">
        <v>25</v>
      </c>
      <c r="G31" s="406">
        <v>4.1666666666659999</v>
      </c>
      <c r="H31" s="408">
        <v>2.3428</v>
      </c>
      <c r="I31" s="405">
        <v>6.14649</v>
      </c>
      <c r="J31" s="406">
        <v>1.979823333333</v>
      </c>
      <c r="K31" s="409">
        <v>0.24585960000000001</v>
      </c>
    </row>
    <row r="32" spans="1:11" ht="14.4" customHeight="1" thickBot="1" x14ac:dyDescent="0.35">
      <c r="A32" s="427" t="s">
        <v>303</v>
      </c>
      <c r="B32" s="405">
        <v>92.824888714977007</v>
      </c>
      <c r="C32" s="405">
        <v>123.9885</v>
      </c>
      <c r="D32" s="406">
        <v>31.163611285022</v>
      </c>
      <c r="E32" s="407">
        <v>1.33572473629</v>
      </c>
      <c r="F32" s="405">
        <v>45</v>
      </c>
      <c r="G32" s="406">
        <v>7.5</v>
      </c>
      <c r="H32" s="408">
        <v>1.8875999999999999</v>
      </c>
      <c r="I32" s="405">
        <v>2.8313999999999999</v>
      </c>
      <c r="J32" s="406">
        <v>-4.6685999999999996</v>
      </c>
      <c r="K32" s="409">
        <v>6.2919999998999998E-2</v>
      </c>
    </row>
    <row r="33" spans="1:11" ht="14.4" customHeight="1" thickBot="1" x14ac:dyDescent="0.35">
      <c r="A33" s="427" t="s">
        <v>304</v>
      </c>
      <c r="B33" s="405">
        <v>0</v>
      </c>
      <c r="C33" s="405">
        <v>0.81069999999999998</v>
      </c>
      <c r="D33" s="406">
        <v>0.81069999999999998</v>
      </c>
      <c r="E33" s="415" t="s">
        <v>298</v>
      </c>
      <c r="F33" s="405">
        <v>0</v>
      </c>
      <c r="G33" s="406">
        <v>0</v>
      </c>
      <c r="H33" s="408">
        <v>0</v>
      </c>
      <c r="I33" s="405">
        <v>0</v>
      </c>
      <c r="J33" s="406">
        <v>0</v>
      </c>
      <c r="K33" s="416" t="s">
        <v>274</v>
      </c>
    </row>
    <row r="34" spans="1:11" ht="14.4" customHeight="1" thickBot="1" x14ac:dyDescent="0.35">
      <c r="A34" s="426" t="s">
        <v>305</v>
      </c>
      <c r="B34" s="410">
        <v>0.435697506904</v>
      </c>
      <c r="C34" s="410">
        <v>0</v>
      </c>
      <c r="D34" s="411">
        <v>-0.435697506904</v>
      </c>
      <c r="E34" s="417">
        <v>0</v>
      </c>
      <c r="F34" s="410">
        <v>0</v>
      </c>
      <c r="G34" s="411">
        <v>0</v>
      </c>
      <c r="H34" s="413">
        <v>0</v>
      </c>
      <c r="I34" s="410">
        <v>0</v>
      </c>
      <c r="J34" s="411">
        <v>0</v>
      </c>
      <c r="K34" s="418">
        <v>2</v>
      </c>
    </row>
    <row r="35" spans="1:11" ht="14.4" customHeight="1" thickBot="1" x14ac:dyDescent="0.35">
      <c r="A35" s="427" t="s">
        <v>306</v>
      </c>
      <c r="B35" s="405">
        <v>0.435697506904</v>
      </c>
      <c r="C35" s="405">
        <v>0</v>
      </c>
      <c r="D35" s="406">
        <v>-0.435697506904</v>
      </c>
      <c r="E35" s="407">
        <v>0</v>
      </c>
      <c r="F35" s="405">
        <v>0</v>
      </c>
      <c r="G35" s="406">
        <v>0</v>
      </c>
      <c r="H35" s="408">
        <v>0</v>
      </c>
      <c r="I35" s="405">
        <v>0</v>
      </c>
      <c r="J35" s="406">
        <v>0</v>
      </c>
      <c r="K35" s="409">
        <v>2</v>
      </c>
    </row>
    <row r="36" spans="1:11" ht="14.4" customHeight="1" thickBot="1" x14ac:dyDescent="0.35">
      <c r="A36" s="426" t="s">
        <v>307</v>
      </c>
      <c r="B36" s="410">
        <v>3.777938033746</v>
      </c>
      <c r="C36" s="410">
        <v>16.949780000000001</v>
      </c>
      <c r="D36" s="411">
        <v>13.171841966253</v>
      </c>
      <c r="E36" s="417">
        <v>4.4865161494430001</v>
      </c>
      <c r="F36" s="410">
        <v>17.311544556655001</v>
      </c>
      <c r="G36" s="411">
        <v>2.8852574261089998</v>
      </c>
      <c r="H36" s="413">
        <v>2.2246600000000001</v>
      </c>
      <c r="I36" s="410">
        <v>3.1236700000000002</v>
      </c>
      <c r="J36" s="411">
        <v>0.23841257389000001</v>
      </c>
      <c r="K36" s="418">
        <v>0.18043855011099999</v>
      </c>
    </row>
    <row r="37" spans="1:11" ht="14.4" customHeight="1" thickBot="1" x14ac:dyDescent="0.35">
      <c r="A37" s="427" t="s">
        <v>308</v>
      </c>
      <c r="B37" s="405">
        <v>0</v>
      </c>
      <c r="C37" s="405">
        <v>12.99062</v>
      </c>
      <c r="D37" s="406">
        <v>12.99062</v>
      </c>
      <c r="E37" s="415" t="s">
        <v>274</v>
      </c>
      <c r="F37" s="405">
        <v>14</v>
      </c>
      <c r="G37" s="406">
        <v>2.333333333333</v>
      </c>
      <c r="H37" s="408">
        <v>1.16286</v>
      </c>
      <c r="I37" s="405">
        <v>2.0618699999999999</v>
      </c>
      <c r="J37" s="406">
        <v>-0.27146333333299999</v>
      </c>
      <c r="K37" s="409">
        <v>0.14727642857100001</v>
      </c>
    </row>
    <row r="38" spans="1:11" ht="14.4" customHeight="1" thickBot="1" x14ac:dyDescent="0.35">
      <c r="A38" s="427" t="s">
        <v>309</v>
      </c>
      <c r="B38" s="405">
        <v>0.29614412028499998</v>
      </c>
      <c r="C38" s="405">
        <v>0.34306999999999999</v>
      </c>
      <c r="D38" s="406">
        <v>4.6925879714000002E-2</v>
      </c>
      <c r="E38" s="407">
        <v>1.158456226207</v>
      </c>
      <c r="F38" s="405">
        <v>0.251011990124</v>
      </c>
      <c r="G38" s="406">
        <v>4.1835331687000002E-2</v>
      </c>
      <c r="H38" s="408">
        <v>0</v>
      </c>
      <c r="I38" s="405">
        <v>0</v>
      </c>
      <c r="J38" s="406">
        <v>-4.1835331687000002E-2</v>
      </c>
      <c r="K38" s="409">
        <v>0</v>
      </c>
    </row>
    <row r="39" spans="1:11" ht="14.4" customHeight="1" thickBot="1" x14ac:dyDescent="0.35">
      <c r="A39" s="427" t="s">
        <v>310</v>
      </c>
      <c r="B39" s="405">
        <v>3.4508882549409998</v>
      </c>
      <c r="C39" s="405">
        <v>3.4255100000000001</v>
      </c>
      <c r="D39" s="406">
        <v>-2.5378254941E-2</v>
      </c>
      <c r="E39" s="407">
        <v>0.992645877505</v>
      </c>
      <c r="F39" s="405">
        <v>3</v>
      </c>
      <c r="G39" s="406">
        <v>0.5</v>
      </c>
      <c r="H39" s="408">
        <v>0.38419999999999999</v>
      </c>
      <c r="I39" s="405">
        <v>0.38419999999999999</v>
      </c>
      <c r="J39" s="406">
        <v>-0.1158</v>
      </c>
      <c r="K39" s="409">
        <v>0.128066666666</v>
      </c>
    </row>
    <row r="40" spans="1:11" ht="14.4" customHeight="1" thickBot="1" x14ac:dyDescent="0.35">
      <c r="A40" s="427" t="s">
        <v>311</v>
      </c>
      <c r="B40" s="405">
        <v>3.0905658518E-2</v>
      </c>
      <c r="C40" s="405">
        <v>0.19058</v>
      </c>
      <c r="D40" s="406">
        <v>0.15967434148099999</v>
      </c>
      <c r="E40" s="407">
        <v>6.1665083073679998</v>
      </c>
      <c r="F40" s="405">
        <v>6.0532566529999998E-2</v>
      </c>
      <c r="G40" s="406">
        <v>1.0088761088E-2</v>
      </c>
      <c r="H40" s="408">
        <v>0.67759999999999998</v>
      </c>
      <c r="I40" s="405">
        <v>0.67759999999999998</v>
      </c>
      <c r="J40" s="406">
        <v>0.66751123891099995</v>
      </c>
      <c r="K40" s="409">
        <v>11.193974398237</v>
      </c>
    </row>
    <row r="41" spans="1:11" ht="14.4" customHeight="1" thickBot="1" x14ac:dyDescent="0.35">
      <c r="A41" s="428" t="s">
        <v>312</v>
      </c>
      <c r="B41" s="410">
        <v>578.93067226211303</v>
      </c>
      <c r="C41" s="410">
        <v>722.56596000000002</v>
      </c>
      <c r="D41" s="411">
        <v>143.63528773788701</v>
      </c>
      <c r="E41" s="417">
        <v>1.248104470223</v>
      </c>
      <c r="F41" s="410">
        <v>808.34498977673002</v>
      </c>
      <c r="G41" s="411">
        <v>134.724164962788</v>
      </c>
      <c r="H41" s="413">
        <v>20.801279999999998</v>
      </c>
      <c r="I41" s="410">
        <v>174.25716</v>
      </c>
      <c r="J41" s="411">
        <v>39.532995037211002</v>
      </c>
      <c r="K41" s="418">
        <v>0.215572759408</v>
      </c>
    </row>
    <row r="42" spans="1:11" ht="14.4" customHeight="1" thickBot="1" x14ac:dyDescent="0.35">
      <c r="A42" s="425" t="s">
        <v>32</v>
      </c>
      <c r="B42" s="405">
        <v>36.245180572568003</v>
      </c>
      <c r="C42" s="405">
        <v>7.7651700000000003</v>
      </c>
      <c r="D42" s="406">
        <v>-28.480010572567998</v>
      </c>
      <c r="E42" s="407">
        <v>0.214240069364</v>
      </c>
      <c r="F42" s="405">
        <v>8.0756647642019992</v>
      </c>
      <c r="G42" s="406">
        <v>1.3459441273670001</v>
      </c>
      <c r="H42" s="408">
        <v>0</v>
      </c>
      <c r="I42" s="405">
        <v>85.860500000000002</v>
      </c>
      <c r="J42" s="406">
        <v>84.514555872632997</v>
      </c>
      <c r="K42" s="409">
        <v>10.632003990631</v>
      </c>
    </row>
    <row r="43" spans="1:11" ht="14.4" customHeight="1" thickBot="1" x14ac:dyDescent="0.35">
      <c r="A43" s="429" t="s">
        <v>313</v>
      </c>
      <c r="B43" s="405">
        <v>36.245180572568003</v>
      </c>
      <c r="C43" s="405">
        <v>7.7651700000000003</v>
      </c>
      <c r="D43" s="406">
        <v>-28.480010572567998</v>
      </c>
      <c r="E43" s="407">
        <v>0.214240069364</v>
      </c>
      <c r="F43" s="405">
        <v>8.0756647642019992</v>
      </c>
      <c r="G43" s="406">
        <v>1.3459441273670001</v>
      </c>
      <c r="H43" s="408">
        <v>0</v>
      </c>
      <c r="I43" s="405">
        <v>85.860500000000002</v>
      </c>
      <c r="J43" s="406">
        <v>84.514555872632997</v>
      </c>
      <c r="K43" s="409">
        <v>10.632003990631</v>
      </c>
    </row>
    <row r="44" spans="1:11" ht="14.4" customHeight="1" thickBot="1" x14ac:dyDescent="0.35">
      <c r="A44" s="427" t="s">
        <v>314</v>
      </c>
      <c r="B44" s="405">
        <v>33.099117420966003</v>
      </c>
      <c r="C44" s="405">
        <v>7.0305</v>
      </c>
      <c r="D44" s="406">
        <v>-26.068617420966</v>
      </c>
      <c r="E44" s="407">
        <v>0.21240747632500001</v>
      </c>
      <c r="F44" s="405">
        <v>7.0756647642020001</v>
      </c>
      <c r="G44" s="406">
        <v>1.1792774607000001</v>
      </c>
      <c r="H44" s="408">
        <v>0</v>
      </c>
      <c r="I44" s="405">
        <v>84.7</v>
      </c>
      <c r="J44" s="406">
        <v>83.520722539299001</v>
      </c>
      <c r="K44" s="409">
        <v>11.970606695291</v>
      </c>
    </row>
    <row r="45" spans="1:11" ht="14.4" customHeight="1" thickBot="1" x14ac:dyDescent="0.35">
      <c r="A45" s="427" t="s">
        <v>315</v>
      </c>
      <c r="B45" s="405">
        <v>2.4330105093030001</v>
      </c>
      <c r="C45" s="405">
        <v>0</v>
      </c>
      <c r="D45" s="406">
        <v>-2.4330105093030001</v>
      </c>
      <c r="E45" s="407">
        <v>0</v>
      </c>
      <c r="F45" s="405">
        <v>0</v>
      </c>
      <c r="G45" s="406">
        <v>0</v>
      </c>
      <c r="H45" s="408">
        <v>0</v>
      </c>
      <c r="I45" s="405">
        <v>0</v>
      </c>
      <c r="J45" s="406">
        <v>0</v>
      </c>
      <c r="K45" s="409">
        <v>2</v>
      </c>
    </row>
    <row r="46" spans="1:11" ht="14.4" customHeight="1" thickBot="1" x14ac:dyDescent="0.35">
      <c r="A46" s="427" t="s">
        <v>316</v>
      </c>
      <c r="B46" s="405">
        <v>0.71305264229800003</v>
      </c>
      <c r="C46" s="405">
        <v>0.73467000000000005</v>
      </c>
      <c r="D46" s="406">
        <v>2.1617357701000001E-2</v>
      </c>
      <c r="E46" s="407">
        <v>1.030316636414</v>
      </c>
      <c r="F46" s="405">
        <v>0.99999999999900002</v>
      </c>
      <c r="G46" s="406">
        <v>0.166666666666</v>
      </c>
      <c r="H46" s="408">
        <v>0</v>
      </c>
      <c r="I46" s="405">
        <v>1.1605000000000001</v>
      </c>
      <c r="J46" s="406">
        <v>0.99383333333299995</v>
      </c>
      <c r="K46" s="409">
        <v>1.1605000000000001</v>
      </c>
    </row>
    <row r="47" spans="1:11" ht="14.4" customHeight="1" thickBot="1" x14ac:dyDescent="0.35">
      <c r="A47" s="430" t="s">
        <v>33</v>
      </c>
      <c r="B47" s="410">
        <v>0</v>
      </c>
      <c r="C47" s="410">
        <v>24.806000000000001</v>
      </c>
      <c r="D47" s="411">
        <v>24.806000000000001</v>
      </c>
      <c r="E47" s="412" t="s">
        <v>274</v>
      </c>
      <c r="F47" s="410">
        <v>0</v>
      </c>
      <c r="G47" s="411">
        <v>0</v>
      </c>
      <c r="H47" s="413">
        <v>0</v>
      </c>
      <c r="I47" s="410">
        <v>5.58</v>
      </c>
      <c r="J47" s="411">
        <v>5.58</v>
      </c>
      <c r="K47" s="414" t="s">
        <v>274</v>
      </c>
    </row>
    <row r="48" spans="1:11" ht="14.4" customHeight="1" thickBot="1" x14ac:dyDescent="0.35">
      <c r="A48" s="426" t="s">
        <v>317</v>
      </c>
      <c r="B48" s="410">
        <v>0</v>
      </c>
      <c r="C48" s="410">
        <v>24.806000000000001</v>
      </c>
      <c r="D48" s="411">
        <v>24.806000000000001</v>
      </c>
      <c r="E48" s="412" t="s">
        <v>274</v>
      </c>
      <c r="F48" s="410">
        <v>0</v>
      </c>
      <c r="G48" s="411">
        <v>0</v>
      </c>
      <c r="H48" s="413">
        <v>0</v>
      </c>
      <c r="I48" s="410">
        <v>5.58</v>
      </c>
      <c r="J48" s="411">
        <v>5.58</v>
      </c>
      <c r="K48" s="414" t="s">
        <v>274</v>
      </c>
    </row>
    <row r="49" spans="1:11" ht="14.4" customHeight="1" thickBot="1" x14ac:dyDescent="0.35">
      <c r="A49" s="427" t="s">
        <v>318</v>
      </c>
      <c r="B49" s="405">
        <v>0</v>
      </c>
      <c r="C49" s="405">
        <v>20.655999999999999</v>
      </c>
      <c r="D49" s="406">
        <v>20.655999999999999</v>
      </c>
      <c r="E49" s="415" t="s">
        <v>274</v>
      </c>
      <c r="F49" s="405">
        <v>0</v>
      </c>
      <c r="G49" s="406">
        <v>0</v>
      </c>
      <c r="H49" s="408">
        <v>0</v>
      </c>
      <c r="I49" s="405">
        <v>5.58</v>
      </c>
      <c r="J49" s="406">
        <v>5.58</v>
      </c>
      <c r="K49" s="416" t="s">
        <v>274</v>
      </c>
    </row>
    <row r="50" spans="1:11" ht="14.4" customHeight="1" thickBot="1" x14ac:dyDescent="0.35">
      <c r="A50" s="427" t="s">
        <v>319</v>
      </c>
      <c r="B50" s="405">
        <v>0</v>
      </c>
      <c r="C50" s="405">
        <v>4.1500000000000004</v>
      </c>
      <c r="D50" s="406">
        <v>4.1500000000000004</v>
      </c>
      <c r="E50" s="415" t="s">
        <v>274</v>
      </c>
      <c r="F50" s="405">
        <v>0</v>
      </c>
      <c r="G50" s="406">
        <v>0</v>
      </c>
      <c r="H50" s="408">
        <v>0</v>
      </c>
      <c r="I50" s="405">
        <v>0</v>
      </c>
      <c r="J50" s="406">
        <v>0</v>
      </c>
      <c r="K50" s="416" t="s">
        <v>274</v>
      </c>
    </row>
    <row r="51" spans="1:11" ht="14.4" customHeight="1" thickBot="1" x14ac:dyDescent="0.35">
      <c r="A51" s="425" t="s">
        <v>34</v>
      </c>
      <c r="B51" s="405">
        <v>542.68549168954496</v>
      </c>
      <c r="C51" s="405">
        <v>689.99478999999997</v>
      </c>
      <c r="D51" s="406">
        <v>147.30929831045501</v>
      </c>
      <c r="E51" s="407">
        <v>1.271445064528</v>
      </c>
      <c r="F51" s="405">
        <v>800.26932501252804</v>
      </c>
      <c r="G51" s="406">
        <v>133.37822083542099</v>
      </c>
      <c r="H51" s="408">
        <v>20.801279999999998</v>
      </c>
      <c r="I51" s="405">
        <v>82.816659999999999</v>
      </c>
      <c r="J51" s="406">
        <v>-50.561560835420998</v>
      </c>
      <c r="K51" s="409">
        <v>0.10348598579399999</v>
      </c>
    </row>
    <row r="52" spans="1:11" ht="14.4" customHeight="1" thickBot="1" x14ac:dyDescent="0.35">
      <c r="A52" s="426" t="s">
        <v>320</v>
      </c>
      <c r="B52" s="410">
        <v>0</v>
      </c>
      <c r="C52" s="410">
        <v>5.4329700000000001</v>
      </c>
      <c r="D52" s="411">
        <v>5.4329700000000001</v>
      </c>
      <c r="E52" s="412" t="s">
        <v>298</v>
      </c>
      <c r="F52" s="410">
        <v>6.0290111002250004</v>
      </c>
      <c r="G52" s="411">
        <v>1.00483518337</v>
      </c>
      <c r="H52" s="413">
        <v>0</v>
      </c>
      <c r="I52" s="410">
        <v>0</v>
      </c>
      <c r="J52" s="411">
        <v>-1.00483518337</v>
      </c>
      <c r="K52" s="418">
        <v>0</v>
      </c>
    </row>
    <row r="53" spans="1:11" ht="14.4" customHeight="1" thickBot="1" x14ac:dyDescent="0.35">
      <c r="A53" s="427" t="s">
        <v>321</v>
      </c>
      <c r="B53" s="405">
        <v>0</v>
      </c>
      <c r="C53" s="405">
        <v>5.4329700000000001</v>
      </c>
      <c r="D53" s="406">
        <v>5.4329700000000001</v>
      </c>
      <c r="E53" s="415" t="s">
        <v>298</v>
      </c>
      <c r="F53" s="405">
        <v>6.0290111002250004</v>
      </c>
      <c r="G53" s="406">
        <v>1.00483518337</v>
      </c>
      <c r="H53" s="408">
        <v>0</v>
      </c>
      <c r="I53" s="405">
        <v>0</v>
      </c>
      <c r="J53" s="406">
        <v>-1.00483518337</v>
      </c>
      <c r="K53" s="409">
        <v>0</v>
      </c>
    </row>
    <row r="54" spans="1:11" ht="14.4" customHeight="1" thickBot="1" x14ac:dyDescent="0.35">
      <c r="A54" s="426" t="s">
        <v>322</v>
      </c>
      <c r="B54" s="410">
        <v>16.788461891922999</v>
      </c>
      <c r="C54" s="410">
        <v>14.33184</v>
      </c>
      <c r="D54" s="411">
        <v>-2.4566218919230001</v>
      </c>
      <c r="E54" s="417">
        <v>0.85367200951800004</v>
      </c>
      <c r="F54" s="410">
        <v>15.505849656019</v>
      </c>
      <c r="G54" s="411">
        <v>2.5843082760030001</v>
      </c>
      <c r="H54" s="413">
        <v>1.44956</v>
      </c>
      <c r="I54" s="410">
        <v>1.5643499999999999</v>
      </c>
      <c r="J54" s="411">
        <v>-1.0199582760029999</v>
      </c>
      <c r="K54" s="418">
        <v>0.10088773170699999</v>
      </c>
    </row>
    <row r="55" spans="1:11" ht="14.4" customHeight="1" thickBot="1" x14ac:dyDescent="0.35">
      <c r="A55" s="427" t="s">
        <v>323</v>
      </c>
      <c r="B55" s="405">
        <v>3.4050166997379998</v>
      </c>
      <c r="C55" s="405">
        <v>5.0511999999999997</v>
      </c>
      <c r="D55" s="406">
        <v>1.646183300261</v>
      </c>
      <c r="E55" s="407">
        <v>1.483458216339</v>
      </c>
      <c r="F55" s="405">
        <v>4.9223028396109996</v>
      </c>
      <c r="G55" s="406">
        <v>0.82038380660099997</v>
      </c>
      <c r="H55" s="408">
        <v>0.41070000000000001</v>
      </c>
      <c r="I55" s="405">
        <v>0.70520000000000005</v>
      </c>
      <c r="J55" s="406">
        <v>-0.115183806601</v>
      </c>
      <c r="K55" s="409">
        <v>0.14326627657300001</v>
      </c>
    </row>
    <row r="56" spans="1:11" ht="14.4" customHeight="1" thickBot="1" x14ac:dyDescent="0.35">
      <c r="A56" s="427" t="s">
        <v>324</v>
      </c>
      <c r="B56" s="405">
        <v>13.383445192184</v>
      </c>
      <c r="C56" s="405">
        <v>9.28064</v>
      </c>
      <c r="D56" s="406">
        <v>-4.1028051921840003</v>
      </c>
      <c r="E56" s="407">
        <v>0.69344177576999999</v>
      </c>
      <c r="F56" s="405">
        <v>10.583546816408001</v>
      </c>
      <c r="G56" s="406">
        <v>1.7639244694009999</v>
      </c>
      <c r="H56" s="408">
        <v>1.0388599999999999</v>
      </c>
      <c r="I56" s="405">
        <v>0.85914999999999997</v>
      </c>
      <c r="J56" s="406">
        <v>-0.90477446940100004</v>
      </c>
      <c r="K56" s="409">
        <v>8.1177890067999997E-2</v>
      </c>
    </row>
    <row r="57" spans="1:11" ht="14.4" customHeight="1" thickBot="1" x14ac:dyDescent="0.35">
      <c r="A57" s="426" t="s">
        <v>325</v>
      </c>
      <c r="B57" s="410">
        <v>40.435461879633998</v>
      </c>
      <c r="C57" s="410">
        <v>-33.298839999999998</v>
      </c>
      <c r="D57" s="411">
        <v>-73.734301879634003</v>
      </c>
      <c r="E57" s="417">
        <v>-0.82350586470599996</v>
      </c>
      <c r="F57" s="410">
        <v>45</v>
      </c>
      <c r="G57" s="411">
        <v>7.5</v>
      </c>
      <c r="H57" s="413">
        <v>1.2731600000000001</v>
      </c>
      <c r="I57" s="410">
        <v>22.930990000000001</v>
      </c>
      <c r="J57" s="411">
        <v>15.43099</v>
      </c>
      <c r="K57" s="418">
        <v>0.50957755555499995</v>
      </c>
    </row>
    <row r="58" spans="1:11" ht="14.4" customHeight="1" thickBot="1" x14ac:dyDescent="0.35">
      <c r="A58" s="427" t="s">
        <v>326</v>
      </c>
      <c r="B58" s="405">
        <v>40.435461879633998</v>
      </c>
      <c r="C58" s="405">
        <v>-33.298839999999998</v>
      </c>
      <c r="D58" s="406">
        <v>-73.734301879634003</v>
      </c>
      <c r="E58" s="407">
        <v>-0.82350586470599996</v>
      </c>
      <c r="F58" s="405">
        <v>45</v>
      </c>
      <c r="G58" s="406">
        <v>7.5</v>
      </c>
      <c r="H58" s="408">
        <v>1.2731600000000001</v>
      </c>
      <c r="I58" s="405">
        <v>22.930990000000001</v>
      </c>
      <c r="J58" s="406">
        <v>15.43099</v>
      </c>
      <c r="K58" s="409">
        <v>0.50957755555499995</v>
      </c>
    </row>
    <row r="59" spans="1:11" ht="14.4" customHeight="1" thickBot="1" x14ac:dyDescent="0.35">
      <c r="A59" s="426" t="s">
        <v>327</v>
      </c>
      <c r="B59" s="410">
        <v>114.403815136723</v>
      </c>
      <c r="C59" s="410">
        <v>113.70558</v>
      </c>
      <c r="D59" s="411">
        <v>-0.69823513672299997</v>
      </c>
      <c r="E59" s="417">
        <v>0.99389674954499996</v>
      </c>
      <c r="F59" s="410">
        <v>141.82167728289599</v>
      </c>
      <c r="G59" s="411">
        <v>23.636946213816</v>
      </c>
      <c r="H59" s="413">
        <v>9.0106999999999999</v>
      </c>
      <c r="I59" s="410">
        <v>18.71876</v>
      </c>
      <c r="J59" s="411">
        <v>-4.918186213816</v>
      </c>
      <c r="K59" s="418">
        <v>0.13198800323400001</v>
      </c>
    </row>
    <row r="60" spans="1:11" ht="14.4" customHeight="1" thickBot="1" x14ac:dyDescent="0.35">
      <c r="A60" s="427" t="s">
        <v>328</v>
      </c>
      <c r="B60" s="405">
        <v>0.41070779633799998</v>
      </c>
      <c r="C60" s="405">
        <v>0</v>
      </c>
      <c r="D60" s="406">
        <v>-0.41070779633799998</v>
      </c>
      <c r="E60" s="407">
        <v>0</v>
      </c>
      <c r="F60" s="405">
        <v>0</v>
      </c>
      <c r="G60" s="406">
        <v>0</v>
      </c>
      <c r="H60" s="408">
        <v>0</v>
      </c>
      <c r="I60" s="405">
        <v>0</v>
      </c>
      <c r="J60" s="406">
        <v>0</v>
      </c>
      <c r="K60" s="409">
        <v>2</v>
      </c>
    </row>
    <row r="61" spans="1:11" ht="14.4" customHeight="1" thickBot="1" x14ac:dyDescent="0.35">
      <c r="A61" s="427" t="s">
        <v>329</v>
      </c>
      <c r="B61" s="405">
        <v>113.993107340385</v>
      </c>
      <c r="C61" s="405">
        <v>113.70558</v>
      </c>
      <c r="D61" s="406">
        <v>-0.287527340385</v>
      </c>
      <c r="E61" s="407">
        <v>0.99747767784300001</v>
      </c>
      <c r="F61" s="405">
        <v>141.82167728289599</v>
      </c>
      <c r="G61" s="406">
        <v>23.636946213816</v>
      </c>
      <c r="H61" s="408">
        <v>9.0106999999999999</v>
      </c>
      <c r="I61" s="405">
        <v>18.71876</v>
      </c>
      <c r="J61" s="406">
        <v>-4.918186213816</v>
      </c>
      <c r="K61" s="409">
        <v>0.13198800323400001</v>
      </c>
    </row>
    <row r="62" spans="1:11" ht="14.4" customHeight="1" thickBot="1" x14ac:dyDescent="0.35">
      <c r="A62" s="426" t="s">
        <v>330</v>
      </c>
      <c r="B62" s="410">
        <v>81.848263479739998</v>
      </c>
      <c r="C62" s="410">
        <v>350.39753999999999</v>
      </c>
      <c r="D62" s="411">
        <v>268.54927652025998</v>
      </c>
      <c r="E62" s="417">
        <v>4.2810626041770004</v>
      </c>
      <c r="F62" s="410">
        <v>411.76458063832803</v>
      </c>
      <c r="G62" s="411">
        <v>68.627430106388005</v>
      </c>
      <c r="H62" s="413">
        <v>8.6958599999999997</v>
      </c>
      <c r="I62" s="410">
        <v>38.858559999999997</v>
      </c>
      <c r="J62" s="411">
        <v>-29.768870106388</v>
      </c>
      <c r="K62" s="418">
        <v>9.4370817275000005E-2</v>
      </c>
    </row>
    <row r="63" spans="1:11" ht="14.4" customHeight="1" thickBot="1" x14ac:dyDescent="0.35">
      <c r="A63" s="427" t="s">
        <v>331</v>
      </c>
      <c r="B63" s="405">
        <v>64.567858537674994</v>
      </c>
      <c r="C63" s="405">
        <v>277.08303999999998</v>
      </c>
      <c r="D63" s="406">
        <v>212.51518146232499</v>
      </c>
      <c r="E63" s="407">
        <v>4.291346287074</v>
      </c>
      <c r="F63" s="405">
        <v>323.66523318435497</v>
      </c>
      <c r="G63" s="406">
        <v>53.944205530725</v>
      </c>
      <c r="H63" s="408">
        <v>8.6958599999999997</v>
      </c>
      <c r="I63" s="405">
        <v>37.003210000000003</v>
      </c>
      <c r="J63" s="406">
        <v>-16.940995530725001</v>
      </c>
      <c r="K63" s="409">
        <v>0.114325562977</v>
      </c>
    </row>
    <row r="64" spans="1:11" ht="14.4" customHeight="1" thickBot="1" x14ac:dyDescent="0.35">
      <c r="A64" s="427" t="s">
        <v>332</v>
      </c>
      <c r="B64" s="405">
        <v>17.280404942065001</v>
      </c>
      <c r="C64" s="405">
        <v>59.09205</v>
      </c>
      <c r="D64" s="406">
        <v>41.811645057934001</v>
      </c>
      <c r="E64" s="407">
        <v>3.4195986840649999</v>
      </c>
      <c r="F64" s="405">
        <v>66.435343722491993</v>
      </c>
      <c r="G64" s="406">
        <v>11.072557287082001</v>
      </c>
      <c r="H64" s="408">
        <v>0</v>
      </c>
      <c r="I64" s="405">
        <v>1.8553500000000001</v>
      </c>
      <c r="J64" s="406">
        <v>-9.2172072870819992</v>
      </c>
      <c r="K64" s="409">
        <v>2.7927152867999998E-2</v>
      </c>
    </row>
    <row r="65" spans="1:11" ht="14.4" customHeight="1" thickBot="1" x14ac:dyDescent="0.35">
      <c r="A65" s="427" t="s">
        <v>333</v>
      </c>
      <c r="B65" s="405">
        <v>0</v>
      </c>
      <c r="C65" s="405">
        <v>14.22245</v>
      </c>
      <c r="D65" s="406">
        <v>14.22245</v>
      </c>
      <c r="E65" s="415" t="s">
        <v>298</v>
      </c>
      <c r="F65" s="405">
        <v>21.664003731480999</v>
      </c>
      <c r="G65" s="406">
        <v>3.6106672885800002</v>
      </c>
      <c r="H65" s="408">
        <v>0</v>
      </c>
      <c r="I65" s="405">
        <v>0</v>
      </c>
      <c r="J65" s="406">
        <v>-3.6106672885800002</v>
      </c>
      <c r="K65" s="409">
        <v>0</v>
      </c>
    </row>
    <row r="66" spans="1:11" ht="14.4" customHeight="1" thickBot="1" x14ac:dyDescent="0.35">
      <c r="A66" s="426" t="s">
        <v>334</v>
      </c>
      <c r="B66" s="410">
        <v>289.209489301524</v>
      </c>
      <c r="C66" s="410">
        <v>239.42570000000001</v>
      </c>
      <c r="D66" s="411">
        <v>-49.783789301523001</v>
      </c>
      <c r="E66" s="417">
        <v>0.82786253168299995</v>
      </c>
      <c r="F66" s="410">
        <v>180.148206335059</v>
      </c>
      <c r="G66" s="411">
        <v>30.024701055843</v>
      </c>
      <c r="H66" s="413">
        <v>0.372</v>
      </c>
      <c r="I66" s="410">
        <v>0.74399999999999999</v>
      </c>
      <c r="J66" s="411">
        <v>-29.280701055843</v>
      </c>
      <c r="K66" s="418">
        <v>4.1299328760000002E-3</v>
      </c>
    </row>
    <row r="67" spans="1:11" ht="14.4" customHeight="1" thickBot="1" x14ac:dyDescent="0.35">
      <c r="A67" s="427" t="s">
        <v>335</v>
      </c>
      <c r="B67" s="405">
        <v>30.613485633524</v>
      </c>
      <c r="C67" s="405">
        <v>6.9359999999999999</v>
      </c>
      <c r="D67" s="406">
        <v>-23.677485633524</v>
      </c>
      <c r="E67" s="407">
        <v>0.22656681708900001</v>
      </c>
      <c r="F67" s="405">
        <v>10.148206335057999</v>
      </c>
      <c r="G67" s="406">
        <v>1.691367722509</v>
      </c>
      <c r="H67" s="408">
        <v>0</v>
      </c>
      <c r="I67" s="405">
        <v>0</v>
      </c>
      <c r="J67" s="406">
        <v>-1.691367722509</v>
      </c>
      <c r="K67" s="409">
        <v>0</v>
      </c>
    </row>
    <row r="68" spans="1:11" ht="14.4" customHeight="1" thickBot="1" x14ac:dyDescent="0.35">
      <c r="A68" s="427" t="s">
        <v>336</v>
      </c>
      <c r="B68" s="405">
        <v>83.596282186712997</v>
      </c>
      <c r="C68" s="405">
        <v>63.225700000000003</v>
      </c>
      <c r="D68" s="406">
        <v>-20.370582186713001</v>
      </c>
      <c r="E68" s="407">
        <v>0.75632191224400003</v>
      </c>
      <c r="F68" s="405">
        <v>70</v>
      </c>
      <c r="G68" s="406">
        <v>11.666666666666</v>
      </c>
      <c r="H68" s="408">
        <v>0.372</v>
      </c>
      <c r="I68" s="405">
        <v>0.74399999999999999</v>
      </c>
      <c r="J68" s="406">
        <v>-10.922666666666</v>
      </c>
      <c r="K68" s="409">
        <v>1.0628571428E-2</v>
      </c>
    </row>
    <row r="69" spans="1:11" ht="14.4" customHeight="1" thickBot="1" x14ac:dyDescent="0.35">
      <c r="A69" s="427" t="s">
        <v>337</v>
      </c>
      <c r="B69" s="405">
        <v>174.999721481286</v>
      </c>
      <c r="C69" s="405">
        <v>169.26400000000001</v>
      </c>
      <c r="D69" s="406">
        <v>-5.7357214812850001</v>
      </c>
      <c r="E69" s="407">
        <v>0.96722439651400005</v>
      </c>
      <c r="F69" s="405">
        <v>100</v>
      </c>
      <c r="G69" s="406">
        <v>16.666666666666</v>
      </c>
      <c r="H69" s="408">
        <v>0</v>
      </c>
      <c r="I69" s="405">
        <v>0</v>
      </c>
      <c r="J69" s="406">
        <v>-16.666666666666</v>
      </c>
      <c r="K69" s="409">
        <v>0</v>
      </c>
    </row>
    <row r="70" spans="1:11" ht="14.4" customHeight="1" thickBot="1" x14ac:dyDescent="0.35">
      <c r="A70" s="424" t="s">
        <v>35</v>
      </c>
      <c r="B70" s="405">
        <v>18195.001642635401</v>
      </c>
      <c r="C70" s="405">
        <v>20076.69224</v>
      </c>
      <c r="D70" s="406">
        <v>1881.6905973646201</v>
      </c>
      <c r="E70" s="407">
        <v>1.1034179954650001</v>
      </c>
      <c r="F70" s="405">
        <v>19757</v>
      </c>
      <c r="G70" s="406">
        <v>3292.8333333333298</v>
      </c>
      <c r="H70" s="408">
        <v>1610.4443699999999</v>
      </c>
      <c r="I70" s="405">
        <v>3313.7097800000001</v>
      </c>
      <c r="J70" s="406">
        <v>20.876446666665998</v>
      </c>
      <c r="K70" s="409">
        <v>0.167723327428</v>
      </c>
    </row>
    <row r="71" spans="1:11" ht="14.4" customHeight="1" thickBot="1" x14ac:dyDescent="0.35">
      <c r="A71" s="430" t="s">
        <v>338</v>
      </c>
      <c r="B71" s="410">
        <v>13438.001213175799</v>
      </c>
      <c r="C71" s="410">
        <v>14821.021000000001</v>
      </c>
      <c r="D71" s="411">
        <v>1383.0197868241701</v>
      </c>
      <c r="E71" s="417">
        <v>1.1029185639200001</v>
      </c>
      <c r="F71" s="410">
        <v>14538</v>
      </c>
      <c r="G71" s="411">
        <v>2423</v>
      </c>
      <c r="H71" s="413">
        <v>1185.9690000000001</v>
      </c>
      <c r="I71" s="410">
        <v>2441.5309999999999</v>
      </c>
      <c r="J71" s="411">
        <v>18.530999999997999</v>
      </c>
      <c r="K71" s="418">
        <v>0.16794132617900001</v>
      </c>
    </row>
    <row r="72" spans="1:11" ht="14.4" customHeight="1" thickBot="1" x14ac:dyDescent="0.35">
      <c r="A72" s="426" t="s">
        <v>339</v>
      </c>
      <c r="B72" s="410">
        <v>13400.0012097452</v>
      </c>
      <c r="C72" s="410">
        <v>14784.626</v>
      </c>
      <c r="D72" s="411">
        <v>1384.62479025479</v>
      </c>
      <c r="E72" s="417">
        <v>1.1033301988990001</v>
      </c>
      <c r="F72" s="410">
        <v>14498</v>
      </c>
      <c r="G72" s="411">
        <v>2416.3333333333298</v>
      </c>
      <c r="H72" s="413">
        <v>1178.693</v>
      </c>
      <c r="I72" s="410">
        <v>2421.6170000000002</v>
      </c>
      <c r="J72" s="411">
        <v>5.2836666666649998</v>
      </c>
      <c r="K72" s="418">
        <v>0.16703110773800001</v>
      </c>
    </row>
    <row r="73" spans="1:11" ht="14.4" customHeight="1" thickBot="1" x14ac:dyDescent="0.35">
      <c r="A73" s="427" t="s">
        <v>340</v>
      </c>
      <c r="B73" s="405">
        <v>13400.0012097452</v>
      </c>
      <c r="C73" s="405">
        <v>14784.626</v>
      </c>
      <c r="D73" s="406">
        <v>1384.62479025479</v>
      </c>
      <c r="E73" s="407">
        <v>1.1033301988990001</v>
      </c>
      <c r="F73" s="405">
        <v>14498</v>
      </c>
      <c r="G73" s="406">
        <v>2416.3333333333298</v>
      </c>
      <c r="H73" s="408">
        <v>1178.693</v>
      </c>
      <c r="I73" s="405">
        <v>2421.6170000000002</v>
      </c>
      <c r="J73" s="406">
        <v>5.2836666666649998</v>
      </c>
      <c r="K73" s="409">
        <v>0.16703110773800001</v>
      </c>
    </row>
    <row r="74" spans="1:11" ht="14.4" customHeight="1" thickBot="1" x14ac:dyDescent="0.35">
      <c r="A74" s="426" t="s">
        <v>341</v>
      </c>
      <c r="B74" s="410">
        <v>0</v>
      </c>
      <c r="C74" s="410">
        <v>20.3</v>
      </c>
      <c r="D74" s="411">
        <v>20.3</v>
      </c>
      <c r="E74" s="412" t="s">
        <v>274</v>
      </c>
      <c r="F74" s="410">
        <v>0</v>
      </c>
      <c r="G74" s="411">
        <v>0</v>
      </c>
      <c r="H74" s="413">
        <v>0</v>
      </c>
      <c r="I74" s="410">
        <v>0</v>
      </c>
      <c r="J74" s="411">
        <v>0</v>
      </c>
      <c r="K74" s="414" t="s">
        <v>274</v>
      </c>
    </row>
    <row r="75" spans="1:11" ht="14.4" customHeight="1" thickBot="1" x14ac:dyDescent="0.35">
      <c r="A75" s="427" t="s">
        <v>342</v>
      </c>
      <c r="B75" s="405">
        <v>0</v>
      </c>
      <c r="C75" s="405">
        <v>20.3</v>
      </c>
      <c r="D75" s="406">
        <v>20.3</v>
      </c>
      <c r="E75" s="415" t="s">
        <v>274</v>
      </c>
      <c r="F75" s="405">
        <v>0</v>
      </c>
      <c r="G75" s="406">
        <v>0</v>
      </c>
      <c r="H75" s="408">
        <v>0</v>
      </c>
      <c r="I75" s="405">
        <v>0</v>
      </c>
      <c r="J75" s="406">
        <v>0</v>
      </c>
      <c r="K75" s="416" t="s">
        <v>274</v>
      </c>
    </row>
    <row r="76" spans="1:11" ht="14.4" customHeight="1" thickBot="1" x14ac:dyDescent="0.35">
      <c r="A76" s="426" t="s">
        <v>343</v>
      </c>
      <c r="B76" s="410">
        <v>38.000003430619998</v>
      </c>
      <c r="C76" s="410">
        <v>16.094999999999999</v>
      </c>
      <c r="D76" s="411">
        <v>-21.905003430619999</v>
      </c>
      <c r="E76" s="417">
        <v>0.42355259334000001</v>
      </c>
      <c r="F76" s="410">
        <v>40</v>
      </c>
      <c r="G76" s="411">
        <v>6.6666666666659999</v>
      </c>
      <c r="H76" s="413">
        <v>7.2759999999999998</v>
      </c>
      <c r="I76" s="410">
        <v>19.914000000000001</v>
      </c>
      <c r="J76" s="411">
        <v>13.247333333333</v>
      </c>
      <c r="K76" s="418">
        <v>0.49784999999899998</v>
      </c>
    </row>
    <row r="77" spans="1:11" ht="14.4" customHeight="1" thickBot="1" x14ac:dyDescent="0.35">
      <c r="A77" s="427" t="s">
        <v>344</v>
      </c>
      <c r="B77" s="405">
        <v>38.000003430619998</v>
      </c>
      <c r="C77" s="405">
        <v>16.094999999999999</v>
      </c>
      <c r="D77" s="406">
        <v>-21.905003430619999</v>
      </c>
      <c r="E77" s="407">
        <v>0.42355259334000001</v>
      </c>
      <c r="F77" s="405">
        <v>40</v>
      </c>
      <c r="G77" s="406">
        <v>6.6666666666659999</v>
      </c>
      <c r="H77" s="408">
        <v>7.2759999999999998</v>
      </c>
      <c r="I77" s="405">
        <v>19.914000000000001</v>
      </c>
      <c r="J77" s="406">
        <v>13.247333333333</v>
      </c>
      <c r="K77" s="409">
        <v>0.49784999999899998</v>
      </c>
    </row>
    <row r="78" spans="1:11" ht="14.4" customHeight="1" thickBot="1" x14ac:dyDescent="0.35">
      <c r="A78" s="425" t="s">
        <v>345</v>
      </c>
      <c r="B78" s="405">
        <v>4556.00041131337</v>
      </c>
      <c r="C78" s="405">
        <v>5033.66507</v>
      </c>
      <c r="D78" s="406">
        <v>477.66465868662999</v>
      </c>
      <c r="E78" s="407">
        <v>1.104842979711</v>
      </c>
      <c r="F78" s="405">
        <v>4928.99999999999</v>
      </c>
      <c r="G78" s="406">
        <v>821.49999999999898</v>
      </c>
      <c r="H78" s="408">
        <v>400.75479999999999</v>
      </c>
      <c r="I78" s="405">
        <v>823.34780000000001</v>
      </c>
      <c r="J78" s="406">
        <v>1.847800000001</v>
      </c>
      <c r="K78" s="409">
        <v>0.16704155001000001</v>
      </c>
    </row>
    <row r="79" spans="1:11" ht="14.4" customHeight="1" thickBot="1" x14ac:dyDescent="0.35">
      <c r="A79" s="426" t="s">
        <v>346</v>
      </c>
      <c r="B79" s="410">
        <v>1206.00010887707</v>
      </c>
      <c r="C79" s="410">
        <v>1332.43361</v>
      </c>
      <c r="D79" s="411">
        <v>126.433501122932</v>
      </c>
      <c r="E79" s="417">
        <v>1.1048370561430001</v>
      </c>
      <c r="F79" s="410">
        <v>1304.99999999999</v>
      </c>
      <c r="G79" s="411">
        <v>217.49999999999901</v>
      </c>
      <c r="H79" s="413">
        <v>106.08154999999999</v>
      </c>
      <c r="I79" s="410">
        <v>217.94354999999999</v>
      </c>
      <c r="J79" s="411">
        <v>0.44355</v>
      </c>
      <c r="K79" s="418">
        <v>0.167006551724</v>
      </c>
    </row>
    <row r="80" spans="1:11" ht="14.4" customHeight="1" thickBot="1" x14ac:dyDescent="0.35">
      <c r="A80" s="427" t="s">
        <v>347</v>
      </c>
      <c r="B80" s="405">
        <v>1206.00010887707</v>
      </c>
      <c r="C80" s="405">
        <v>1332.43361</v>
      </c>
      <c r="D80" s="406">
        <v>126.433501122932</v>
      </c>
      <c r="E80" s="407">
        <v>1.1048370561430001</v>
      </c>
      <c r="F80" s="405">
        <v>1304.99999999999</v>
      </c>
      <c r="G80" s="406">
        <v>217.49999999999901</v>
      </c>
      <c r="H80" s="408">
        <v>106.08154999999999</v>
      </c>
      <c r="I80" s="405">
        <v>217.94354999999999</v>
      </c>
      <c r="J80" s="406">
        <v>0.44355</v>
      </c>
      <c r="K80" s="409">
        <v>0.167006551724</v>
      </c>
    </row>
    <row r="81" spans="1:11" ht="14.4" customHeight="1" thickBot="1" x14ac:dyDescent="0.35">
      <c r="A81" s="426" t="s">
        <v>348</v>
      </c>
      <c r="B81" s="410">
        <v>3350.0003024363</v>
      </c>
      <c r="C81" s="410">
        <v>3701.23146</v>
      </c>
      <c r="D81" s="411">
        <v>351.23115756369799</v>
      </c>
      <c r="E81" s="417">
        <v>1.104845112195</v>
      </c>
      <c r="F81" s="410">
        <v>3624</v>
      </c>
      <c r="G81" s="411">
        <v>604</v>
      </c>
      <c r="H81" s="413">
        <v>294.67325</v>
      </c>
      <c r="I81" s="410">
        <v>605.40425000000005</v>
      </c>
      <c r="J81" s="411">
        <v>1.40425</v>
      </c>
      <c r="K81" s="418">
        <v>0.16705415286899999</v>
      </c>
    </row>
    <row r="82" spans="1:11" ht="14.4" customHeight="1" thickBot="1" x14ac:dyDescent="0.35">
      <c r="A82" s="427" t="s">
        <v>349</v>
      </c>
      <c r="B82" s="405">
        <v>3350.0003024363</v>
      </c>
      <c r="C82" s="405">
        <v>3701.23146</v>
      </c>
      <c r="D82" s="406">
        <v>351.23115756369799</v>
      </c>
      <c r="E82" s="407">
        <v>1.104845112195</v>
      </c>
      <c r="F82" s="405">
        <v>3624</v>
      </c>
      <c r="G82" s="406">
        <v>604</v>
      </c>
      <c r="H82" s="408">
        <v>294.67325</v>
      </c>
      <c r="I82" s="405">
        <v>605.40425000000005</v>
      </c>
      <c r="J82" s="406">
        <v>1.40425</v>
      </c>
      <c r="K82" s="409">
        <v>0.16705415286899999</v>
      </c>
    </row>
    <row r="83" spans="1:11" ht="14.4" customHeight="1" thickBot="1" x14ac:dyDescent="0.35">
      <c r="A83" s="425" t="s">
        <v>350</v>
      </c>
      <c r="B83" s="405">
        <v>201.00001814617801</v>
      </c>
      <c r="C83" s="405">
        <v>222.00617</v>
      </c>
      <c r="D83" s="406">
        <v>21.006151853822001</v>
      </c>
      <c r="E83" s="407">
        <v>1.104508208743</v>
      </c>
      <c r="F83" s="405">
        <v>290</v>
      </c>
      <c r="G83" s="406">
        <v>48.333333333333002</v>
      </c>
      <c r="H83" s="408">
        <v>23.720569999999999</v>
      </c>
      <c r="I83" s="405">
        <v>48.830979999999997</v>
      </c>
      <c r="J83" s="406">
        <v>0.49764666666599999</v>
      </c>
      <c r="K83" s="409">
        <v>0.168382689655</v>
      </c>
    </row>
    <row r="84" spans="1:11" ht="14.4" customHeight="1" thickBot="1" x14ac:dyDescent="0.35">
      <c r="A84" s="426" t="s">
        <v>351</v>
      </c>
      <c r="B84" s="410">
        <v>201.00001814617801</v>
      </c>
      <c r="C84" s="410">
        <v>222.00617</v>
      </c>
      <c r="D84" s="411">
        <v>21.006151853822001</v>
      </c>
      <c r="E84" s="417">
        <v>1.104508208743</v>
      </c>
      <c r="F84" s="410">
        <v>290</v>
      </c>
      <c r="G84" s="411">
        <v>48.333333333333002</v>
      </c>
      <c r="H84" s="413">
        <v>23.720569999999999</v>
      </c>
      <c r="I84" s="410">
        <v>48.830979999999997</v>
      </c>
      <c r="J84" s="411">
        <v>0.49764666666599999</v>
      </c>
      <c r="K84" s="418">
        <v>0.168382689655</v>
      </c>
    </row>
    <row r="85" spans="1:11" ht="14.4" customHeight="1" thickBot="1" x14ac:dyDescent="0.35">
      <c r="A85" s="427" t="s">
        <v>352</v>
      </c>
      <c r="B85" s="405">
        <v>201.00001814617801</v>
      </c>
      <c r="C85" s="405">
        <v>222.00617</v>
      </c>
      <c r="D85" s="406">
        <v>21.006151853822001</v>
      </c>
      <c r="E85" s="407">
        <v>1.104508208743</v>
      </c>
      <c r="F85" s="405">
        <v>290</v>
      </c>
      <c r="G85" s="406">
        <v>48.333333333333002</v>
      </c>
      <c r="H85" s="408">
        <v>23.720569999999999</v>
      </c>
      <c r="I85" s="405">
        <v>48.830979999999997</v>
      </c>
      <c r="J85" s="406">
        <v>0.49764666666599999</v>
      </c>
      <c r="K85" s="409">
        <v>0.168382689655</v>
      </c>
    </row>
    <row r="86" spans="1:11" ht="14.4" customHeight="1" thickBot="1" x14ac:dyDescent="0.35">
      <c r="A86" s="424" t="s">
        <v>353</v>
      </c>
      <c r="B86" s="405">
        <v>0</v>
      </c>
      <c r="C86" s="405">
        <v>38.119500000000002</v>
      </c>
      <c r="D86" s="406">
        <v>38.119500000000002</v>
      </c>
      <c r="E86" s="415" t="s">
        <v>274</v>
      </c>
      <c r="F86" s="405">
        <v>0</v>
      </c>
      <c r="G86" s="406">
        <v>0</v>
      </c>
      <c r="H86" s="408">
        <v>0</v>
      </c>
      <c r="I86" s="405">
        <v>2.15</v>
      </c>
      <c r="J86" s="406">
        <v>2.15</v>
      </c>
      <c r="K86" s="416" t="s">
        <v>274</v>
      </c>
    </row>
    <row r="87" spans="1:11" ht="14.4" customHeight="1" thickBot="1" x14ac:dyDescent="0.35">
      <c r="A87" s="425" t="s">
        <v>354</v>
      </c>
      <c r="B87" s="405">
        <v>0</v>
      </c>
      <c r="C87" s="405">
        <v>38.119500000000002</v>
      </c>
      <c r="D87" s="406">
        <v>38.119500000000002</v>
      </c>
      <c r="E87" s="415" t="s">
        <v>274</v>
      </c>
      <c r="F87" s="405">
        <v>0</v>
      </c>
      <c r="G87" s="406">
        <v>0</v>
      </c>
      <c r="H87" s="408">
        <v>0</v>
      </c>
      <c r="I87" s="405">
        <v>2.15</v>
      </c>
      <c r="J87" s="406">
        <v>2.15</v>
      </c>
      <c r="K87" s="416" t="s">
        <v>274</v>
      </c>
    </row>
    <row r="88" spans="1:11" ht="14.4" customHeight="1" thickBot="1" x14ac:dyDescent="0.35">
      <c r="A88" s="426" t="s">
        <v>355</v>
      </c>
      <c r="B88" s="410">
        <v>0</v>
      </c>
      <c r="C88" s="410">
        <v>36.719499999999996</v>
      </c>
      <c r="D88" s="411">
        <v>36.719499999999996</v>
      </c>
      <c r="E88" s="412" t="s">
        <v>274</v>
      </c>
      <c r="F88" s="410">
        <v>0</v>
      </c>
      <c r="G88" s="411">
        <v>0</v>
      </c>
      <c r="H88" s="413">
        <v>0</v>
      </c>
      <c r="I88" s="410">
        <v>1.75</v>
      </c>
      <c r="J88" s="411">
        <v>1.75</v>
      </c>
      <c r="K88" s="414" t="s">
        <v>274</v>
      </c>
    </row>
    <row r="89" spans="1:11" ht="14.4" customHeight="1" thickBot="1" x14ac:dyDescent="0.35">
      <c r="A89" s="427" t="s">
        <v>356</v>
      </c>
      <c r="B89" s="405">
        <v>0</v>
      </c>
      <c r="C89" s="405">
        <v>14</v>
      </c>
      <c r="D89" s="406">
        <v>14</v>
      </c>
      <c r="E89" s="415" t="s">
        <v>274</v>
      </c>
      <c r="F89" s="405">
        <v>0</v>
      </c>
      <c r="G89" s="406">
        <v>0</v>
      </c>
      <c r="H89" s="408">
        <v>0</v>
      </c>
      <c r="I89" s="405">
        <v>0</v>
      </c>
      <c r="J89" s="406">
        <v>0</v>
      </c>
      <c r="K89" s="416" t="s">
        <v>274</v>
      </c>
    </row>
    <row r="90" spans="1:11" ht="14.4" customHeight="1" thickBot="1" x14ac:dyDescent="0.35">
      <c r="A90" s="427" t="s">
        <v>357</v>
      </c>
      <c r="B90" s="405">
        <v>0</v>
      </c>
      <c r="C90" s="405">
        <v>22.417000000000002</v>
      </c>
      <c r="D90" s="406">
        <v>22.417000000000002</v>
      </c>
      <c r="E90" s="415" t="s">
        <v>274</v>
      </c>
      <c r="F90" s="405">
        <v>0</v>
      </c>
      <c r="G90" s="406">
        <v>0</v>
      </c>
      <c r="H90" s="408">
        <v>0</v>
      </c>
      <c r="I90" s="405">
        <v>1.75</v>
      </c>
      <c r="J90" s="406">
        <v>1.75</v>
      </c>
      <c r="K90" s="416" t="s">
        <v>274</v>
      </c>
    </row>
    <row r="91" spans="1:11" ht="14.4" customHeight="1" thickBot="1" x14ac:dyDescent="0.35">
      <c r="A91" s="427" t="s">
        <v>358</v>
      </c>
      <c r="B91" s="405">
        <v>0</v>
      </c>
      <c r="C91" s="405">
        <v>0.30249999999999999</v>
      </c>
      <c r="D91" s="406">
        <v>0.30249999999999999</v>
      </c>
      <c r="E91" s="415" t="s">
        <v>274</v>
      </c>
      <c r="F91" s="405">
        <v>0</v>
      </c>
      <c r="G91" s="406">
        <v>0</v>
      </c>
      <c r="H91" s="408">
        <v>0</v>
      </c>
      <c r="I91" s="405">
        <v>0</v>
      </c>
      <c r="J91" s="406">
        <v>0</v>
      </c>
      <c r="K91" s="416" t="s">
        <v>274</v>
      </c>
    </row>
    <row r="92" spans="1:11" ht="14.4" customHeight="1" thickBot="1" x14ac:dyDescent="0.35">
      <c r="A92" s="429" t="s">
        <v>359</v>
      </c>
      <c r="B92" s="405">
        <v>0</v>
      </c>
      <c r="C92" s="405">
        <v>1.4</v>
      </c>
      <c r="D92" s="406">
        <v>1.4</v>
      </c>
      <c r="E92" s="415" t="s">
        <v>274</v>
      </c>
      <c r="F92" s="405">
        <v>0</v>
      </c>
      <c r="G92" s="406">
        <v>0</v>
      </c>
      <c r="H92" s="408">
        <v>0</v>
      </c>
      <c r="I92" s="405">
        <v>0</v>
      </c>
      <c r="J92" s="406">
        <v>0</v>
      </c>
      <c r="K92" s="416" t="s">
        <v>274</v>
      </c>
    </row>
    <row r="93" spans="1:11" ht="14.4" customHeight="1" thickBot="1" x14ac:dyDescent="0.35">
      <c r="A93" s="427" t="s">
        <v>360</v>
      </c>
      <c r="B93" s="405">
        <v>0</v>
      </c>
      <c r="C93" s="405">
        <v>1.4</v>
      </c>
      <c r="D93" s="406">
        <v>1.4</v>
      </c>
      <c r="E93" s="415" t="s">
        <v>274</v>
      </c>
      <c r="F93" s="405">
        <v>0</v>
      </c>
      <c r="G93" s="406">
        <v>0</v>
      </c>
      <c r="H93" s="408">
        <v>0</v>
      </c>
      <c r="I93" s="405">
        <v>0</v>
      </c>
      <c r="J93" s="406">
        <v>0</v>
      </c>
      <c r="K93" s="416" t="s">
        <v>274</v>
      </c>
    </row>
    <row r="94" spans="1:11" ht="14.4" customHeight="1" thickBot="1" x14ac:dyDescent="0.35">
      <c r="A94" s="429" t="s">
        <v>361</v>
      </c>
      <c r="B94" s="405">
        <v>0</v>
      </c>
      <c r="C94" s="405">
        <v>0</v>
      </c>
      <c r="D94" s="406">
        <v>0</v>
      </c>
      <c r="E94" s="415" t="s">
        <v>274</v>
      </c>
      <c r="F94" s="405">
        <v>0</v>
      </c>
      <c r="G94" s="406">
        <v>0</v>
      </c>
      <c r="H94" s="408">
        <v>0</v>
      </c>
      <c r="I94" s="405">
        <v>0.4</v>
      </c>
      <c r="J94" s="406">
        <v>0.4</v>
      </c>
      <c r="K94" s="416" t="s">
        <v>298</v>
      </c>
    </row>
    <row r="95" spans="1:11" ht="14.4" customHeight="1" thickBot="1" x14ac:dyDescent="0.35">
      <c r="A95" s="427" t="s">
        <v>362</v>
      </c>
      <c r="B95" s="405">
        <v>0</v>
      </c>
      <c r="C95" s="405">
        <v>0</v>
      </c>
      <c r="D95" s="406">
        <v>0</v>
      </c>
      <c r="E95" s="415" t="s">
        <v>274</v>
      </c>
      <c r="F95" s="405">
        <v>0</v>
      </c>
      <c r="G95" s="406">
        <v>0</v>
      </c>
      <c r="H95" s="408">
        <v>0</v>
      </c>
      <c r="I95" s="405">
        <v>0.4</v>
      </c>
      <c r="J95" s="406">
        <v>0.4</v>
      </c>
      <c r="K95" s="416" t="s">
        <v>298</v>
      </c>
    </row>
    <row r="96" spans="1:11" ht="14.4" customHeight="1" thickBot="1" x14ac:dyDescent="0.35">
      <c r="A96" s="424" t="s">
        <v>363</v>
      </c>
      <c r="B96" s="405">
        <v>1781.0040989358899</v>
      </c>
      <c r="C96" s="405">
        <v>2081.1625300000001</v>
      </c>
      <c r="D96" s="406">
        <v>300.15843106411501</v>
      </c>
      <c r="E96" s="407">
        <v>1.1685332623560001</v>
      </c>
      <c r="F96" s="405">
        <v>1953</v>
      </c>
      <c r="G96" s="406">
        <v>325.50000000000102</v>
      </c>
      <c r="H96" s="408">
        <v>203.74700000000001</v>
      </c>
      <c r="I96" s="405">
        <v>391.15800000000002</v>
      </c>
      <c r="J96" s="406">
        <v>65.657999999999006</v>
      </c>
      <c r="K96" s="409">
        <v>0.200285714285</v>
      </c>
    </row>
    <row r="97" spans="1:11" ht="14.4" customHeight="1" thickBot="1" x14ac:dyDescent="0.35">
      <c r="A97" s="425" t="s">
        <v>364</v>
      </c>
      <c r="B97" s="405">
        <v>1775.0040989358899</v>
      </c>
      <c r="C97" s="405">
        <v>2029.846</v>
      </c>
      <c r="D97" s="406">
        <v>254.84190106411501</v>
      </c>
      <c r="E97" s="407">
        <v>1.143572570461</v>
      </c>
      <c r="F97" s="405">
        <v>1953</v>
      </c>
      <c r="G97" s="406">
        <v>325.50000000000102</v>
      </c>
      <c r="H97" s="408">
        <v>203.74700000000001</v>
      </c>
      <c r="I97" s="405">
        <v>391.15800000000002</v>
      </c>
      <c r="J97" s="406">
        <v>65.657999999999006</v>
      </c>
      <c r="K97" s="409">
        <v>0.200285714285</v>
      </c>
    </row>
    <row r="98" spans="1:11" ht="14.4" customHeight="1" thickBot="1" x14ac:dyDescent="0.35">
      <c r="A98" s="426" t="s">
        <v>365</v>
      </c>
      <c r="B98" s="410">
        <v>1775.0040989358899</v>
      </c>
      <c r="C98" s="410">
        <v>2022.296</v>
      </c>
      <c r="D98" s="411">
        <v>247.291901064115</v>
      </c>
      <c r="E98" s="417">
        <v>1.1393190591569999</v>
      </c>
      <c r="F98" s="410">
        <v>1953</v>
      </c>
      <c r="G98" s="411">
        <v>325.50000000000102</v>
      </c>
      <c r="H98" s="413">
        <v>203.74700000000001</v>
      </c>
      <c r="I98" s="410">
        <v>391.15800000000002</v>
      </c>
      <c r="J98" s="411">
        <v>65.657999999999006</v>
      </c>
      <c r="K98" s="418">
        <v>0.200285714285</v>
      </c>
    </row>
    <row r="99" spans="1:11" ht="14.4" customHeight="1" thickBot="1" x14ac:dyDescent="0.35">
      <c r="A99" s="427" t="s">
        <v>366</v>
      </c>
      <c r="B99" s="405">
        <v>343.00079207606097</v>
      </c>
      <c r="C99" s="405">
        <v>575.33900000000006</v>
      </c>
      <c r="D99" s="406">
        <v>232.338207923939</v>
      </c>
      <c r="E99" s="407">
        <v>1.6773693043610001</v>
      </c>
      <c r="F99" s="405">
        <v>511.00000000000102</v>
      </c>
      <c r="G99" s="406">
        <v>85.166666666666003</v>
      </c>
      <c r="H99" s="408">
        <v>80.149000000000001</v>
      </c>
      <c r="I99" s="405">
        <v>143.97200000000001</v>
      </c>
      <c r="J99" s="406">
        <v>58.805333333333003</v>
      </c>
      <c r="K99" s="409">
        <v>0.28174559686799999</v>
      </c>
    </row>
    <row r="100" spans="1:11" ht="14.4" customHeight="1" thickBot="1" x14ac:dyDescent="0.35">
      <c r="A100" s="427" t="s">
        <v>367</v>
      </c>
      <c r="B100" s="405">
        <v>8.0000184740770006</v>
      </c>
      <c r="C100" s="405">
        <v>8.66</v>
      </c>
      <c r="D100" s="406">
        <v>0.65998152592199999</v>
      </c>
      <c r="E100" s="407">
        <v>1.0824975002320001</v>
      </c>
      <c r="F100" s="405">
        <v>9</v>
      </c>
      <c r="G100" s="406">
        <v>1.5</v>
      </c>
      <c r="H100" s="408">
        <v>0.76300000000000001</v>
      </c>
      <c r="I100" s="405">
        <v>1.5169999999999999</v>
      </c>
      <c r="J100" s="406">
        <v>1.6999999998999999E-2</v>
      </c>
      <c r="K100" s="409">
        <v>0.16855555555499999</v>
      </c>
    </row>
    <row r="101" spans="1:11" ht="14.4" customHeight="1" thickBot="1" x14ac:dyDescent="0.35">
      <c r="A101" s="427" t="s">
        <v>368</v>
      </c>
      <c r="B101" s="405">
        <v>1416.00326991167</v>
      </c>
      <c r="C101" s="405">
        <v>1417.6110000000001</v>
      </c>
      <c r="D101" s="406">
        <v>1.6077300883300001</v>
      </c>
      <c r="E101" s="407">
        <v>1.0011353999820001</v>
      </c>
      <c r="F101" s="405">
        <v>1412</v>
      </c>
      <c r="G101" s="406">
        <v>235.333333333334</v>
      </c>
      <c r="H101" s="408">
        <v>121.04300000000001</v>
      </c>
      <c r="I101" s="405">
        <v>242.08600000000001</v>
      </c>
      <c r="J101" s="406">
        <v>6.7526666666660002</v>
      </c>
      <c r="K101" s="409">
        <v>0.17144900849799999</v>
      </c>
    </row>
    <row r="102" spans="1:11" ht="14.4" customHeight="1" thickBot="1" x14ac:dyDescent="0.35">
      <c r="A102" s="427" t="s">
        <v>369</v>
      </c>
      <c r="B102" s="405">
        <v>5.0000115462980004</v>
      </c>
      <c r="C102" s="405">
        <v>17.692</v>
      </c>
      <c r="D102" s="406">
        <v>12.691988453701001</v>
      </c>
      <c r="E102" s="407">
        <v>3.5383918289339999</v>
      </c>
      <c r="F102" s="405">
        <v>18</v>
      </c>
      <c r="G102" s="406">
        <v>3</v>
      </c>
      <c r="H102" s="408">
        <v>1.5389999999999999</v>
      </c>
      <c r="I102" s="405">
        <v>3.0779999999999998</v>
      </c>
      <c r="J102" s="406">
        <v>7.7999999998999994E-2</v>
      </c>
      <c r="K102" s="409">
        <v>0.17100000000000001</v>
      </c>
    </row>
    <row r="103" spans="1:11" ht="14.4" customHeight="1" thickBot="1" x14ac:dyDescent="0.35">
      <c r="A103" s="427" t="s">
        <v>370</v>
      </c>
      <c r="B103" s="405">
        <v>3.0000069277780002</v>
      </c>
      <c r="C103" s="405">
        <v>2.9940000000000002</v>
      </c>
      <c r="D103" s="406">
        <v>-6.0069277779999999E-3</v>
      </c>
      <c r="E103" s="407">
        <v>0.99799769536399996</v>
      </c>
      <c r="F103" s="405">
        <v>3</v>
      </c>
      <c r="G103" s="406">
        <v>0.5</v>
      </c>
      <c r="H103" s="408">
        <v>0.253</v>
      </c>
      <c r="I103" s="405">
        <v>0.505</v>
      </c>
      <c r="J103" s="406">
        <v>4.9999999989999997E-3</v>
      </c>
      <c r="K103" s="409">
        <v>0.16833333333299999</v>
      </c>
    </row>
    <row r="104" spans="1:11" ht="14.4" customHeight="1" thickBot="1" x14ac:dyDescent="0.35">
      <c r="A104" s="426" t="s">
        <v>371</v>
      </c>
      <c r="B104" s="410">
        <v>0</v>
      </c>
      <c r="C104" s="410">
        <v>7.55</v>
      </c>
      <c r="D104" s="411">
        <v>7.55</v>
      </c>
      <c r="E104" s="412" t="s">
        <v>298</v>
      </c>
      <c r="F104" s="410">
        <v>0</v>
      </c>
      <c r="G104" s="411">
        <v>0</v>
      </c>
      <c r="H104" s="413">
        <v>0</v>
      </c>
      <c r="I104" s="410">
        <v>0</v>
      </c>
      <c r="J104" s="411">
        <v>0</v>
      </c>
      <c r="K104" s="414" t="s">
        <v>274</v>
      </c>
    </row>
    <row r="105" spans="1:11" ht="14.4" customHeight="1" thickBot="1" x14ac:dyDescent="0.35">
      <c r="A105" s="427" t="s">
        <v>372</v>
      </c>
      <c r="B105" s="405">
        <v>0</v>
      </c>
      <c r="C105" s="405">
        <v>7.55</v>
      </c>
      <c r="D105" s="406">
        <v>7.55</v>
      </c>
      <c r="E105" s="415" t="s">
        <v>298</v>
      </c>
      <c r="F105" s="405">
        <v>0</v>
      </c>
      <c r="G105" s="406">
        <v>0</v>
      </c>
      <c r="H105" s="408">
        <v>0</v>
      </c>
      <c r="I105" s="405">
        <v>0</v>
      </c>
      <c r="J105" s="406">
        <v>0</v>
      </c>
      <c r="K105" s="416" t="s">
        <v>274</v>
      </c>
    </row>
    <row r="106" spans="1:11" ht="14.4" customHeight="1" thickBot="1" x14ac:dyDescent="0.35">
      <c r="A106" s="425" t="s">
        <v>373</v>
      </c>
      <c r="B106" s="405">
        <v>6</v>
      </c>
      <c r="C106" s="405">
        <v>51.31653</v>
      </c>
      <c r="D106" s="406">
        <v>45.31653</v>
      </c>
      <c r="E106" s="407">
        <v>8.5527549999999994</v>
      </c>
      <c r="F106" s="405">
        <v>0</v>
      </c>
      <c r="G106" s="406">
        <v>0</v>
      </c>
      <c r="H106" s="408">
        <v>0</v>
      </c>
      <c r="I106" s="405">
        <v>0</v>
      </c>
      <c r="J106" s="406">
        <v>0</v>
      </c>
      <c r="K106" s="416" t="s">
        <v>274</v>
      </c>
    </row>
    <row r="107" spans="1:11" ht="14.4" customHeight="1" thickBot="1" x14ac:dyDescent="0.35">
      <c r="A107" s="426" t="s">
        <v>374</v>
      </c>
      <c r="B107" s="410">
        <v>6</v>
      </c>
      <c r="C107" s="410">
        <v>51.31653</v>
      </c>
      <c r="D107" s="411">
        <v>45.31653</v>
      </c>
      <c r="E107" s="417">
        <v>8.5527549999999994</v>
      </c>
      <c r="F107" s="410">
        <v>0</v>
      </c>
      <c r="G107" s="411">
        <v>0</v>
      </c>
      <c r="H107" s="413">
        <v>0</v>
      </c>
      <c r="I107" s="410">
        <v>0</v>
      </c>
      <c r="J107" s="411">
        <v>0</v>
      </c>
      <c r="K107" s="414" t="s">
        <v>274</v>
      </c>
    </row>
    <row r="108" spans="1:11" ht="14.4" customHeight="1" thickBot="1" x14ac:dyDescent="0.35">
      <c r="A108" s="427" t="s">
        <v>375</v>
      </c>
      <c r="B108" s="405">
        <v>6</v>
      </c>
      <c r="C108" s="405">
        <v>51.31653</v>
      </c>
      <c r="D108" s="406">
        <v>45.31653</v>
      </c>
      <c r="E108" s="407">
        <v>8.5527549999999994</v>
      </c>
      <c r="F108" s="405">
        <v>0</v>
      </c>
      <c r="G108" s="406">
        <v>0</v>
      </c>
      <c r="H108" s="408">
        <v>0</v>
      </c>
      <c r="I108" s="405">
        <v>0</v>
      </c>
      <c r="J108" s="406">
        <v>0</v>
      </c>
      <c r="K108" s="416" t="s">
        <v>274</v>
      </c>
    </row>
    <row r="109" spans="1:11" ht="14.4" customHeight="1" thickBot="1" x14ac:dyDescent="0.35">
      <c r="A109" s="423" t="s">
        <v>376</v>
      </c>
      <c r="B109" s="405">
        <v>73818.701445480096</v>
      </c>
      <c r="C109" s="405">
        <v>81236.079450000005</v>
      </c>
      <c r="D109" s="406">
        <v>7417.3780045199201</v>
      </c>
      <c r="E109" s="407">
        <v>1.100481014421</v>
      </c>
      <c r="F109" s="405">
        <v>79378.404957049905</v>
      </c>
      <c r="G109" s="406">
        <v>13229.7341595083</v>
      </c>
      <c r="H109" s="408">
        <v>7220.3501999999999</v>
      </c>
      <c r="I109" s="405">
        <v>15236.68455</v>
      </c>
      <c r="J109" s="406">
        <v>2006.9503904916901</v>
      </c>
      <c r="K109" s="409">
        <v>0.19194999645300001</v>
      </c>
    </row>
    <row r="110" spans="1:11" ht="14.4" customHeight="1" thickBot="1" x14ac:dyDescent="0.35">
      <c r="A110" s="424" t="s">
        <v>377</v>
      </c>
      <c r="B110" s="405">
        <v>73790.726691591495</v>
      </c>
      <c r="C110" s="405">
        <v>81214.428039999999</v>
      </c>
      <c r="D110" s="406">
        <v>7423.70134840847</v>
      </c>
      <c r="E110" s="407">
        <v>1.1006048006469999</v>
      </c>
      <c r="F110" s="405">
        <v>79378.404957049905</v>
      </c>
      <c r="G110" s="406">
        <v>13229.7341595083</v>
      </c>
      <c r="H110" s="408">
        <v>7219.6057300000002</v>
      </c>
      <c r="I110" s="405">
        <v>15235.939979999999</v>
      </c>
      <c r="J110" s="406">
        <v>2006.20582049169</v>
      </c>
      <c r="K110" s="409">
        <v>0.191940616446</v>
      </c>
    </row>
    <row r="111" spans="1:11" ht="14.4" customHeight="1" thickBot="1" x14ac:dyDescent="0.35">
      <c r="A111" s="425" t="s">
        <v>378</v>
      </c>
      <c r="B111" s="405">
        <v>73790.726691591495</v>
      </c>
      <c r="C111" s="405">
        <v>81214.428039999999</v>
      </c>
      <c r="D111" s="406">
        <v>7423.70134840847</v>
      </c>
      <c r="E111" s="407">
        <v>1.1006048006469999</v>
      </c>
      <c r="F111" s="405">
        <v>79378.404957049905</v>
      </c>
      <c r="G111" s="406">
        <v>13229.7341595083</v>
      </c>
      <c r="H111" s="408">
        <v>7219.6057300000002</v>
      </c>
      <c r="I111" s="405">
        <v>15235.939979999999</v>
      </c>
      <c r="J111" s="406">
        <v>2006.20582049169</v>
      </c>
      <c r="K111" s="409">
        <v>0.191940616446</v>
      </c>
    </row>
    <row r="112" spans="1:11" ht="14.4" customHeight="1" thickBot="1" x14ac:dyDescent="0.35">
      <c r="A112" s="426" t="s">
        <v>379</v>
      </c>
      <c r="B112" s="410">
        <v>508.01466284533302</v>
      </c>
      <c r="C112" s="410">
        <v>527.10654</v>
      </c>
      <c r="D112" s="411">
        <v>19.091877154666001</v>
      </c>
      <c r="E112" s="417">
        <v>1.0375813506</v>
      </c>
      <c r="F112" s="410">
        <v>530</v>
      </c>
      <c r="G112" s="411">
        <v>88.333333333333002</v>
      </c>
      <c r="H112" s="413">
        <v>53.64282</v>
      </c>
      <c r="I112" s="410">
        <v>109.2912</v>
      </c>
      <c r="J112" s="411">
        <v>20.957866666666</v>
      </c>
      <c r="K112" s="418">
        <v>0.20620981131999999</v>
      </c>
    </row>
    <row r="113" spans="1:11" ht="14.4" customHeight="1" thickBot="1" x14ac:dyDescent="0.35">
      <c r="A113" s="427" t="s">
        <v>380</v>
      </c>
      <c r="B113" s="405">
        <v>345.88301037053299</v>
      </c>
      <c r="C113" s="405">
        <v>361.12759999999997</v>
      </c>
      <c r="D113" s="406">
        <v>15.244589629467001</v>
      </c>
      <c r="E113" s="407">
        <v>1.0440744100529999</v>
      </c>
      <c r="F113" s="405">
        <v>365</v>
      </c>
      <c r="G113" s="406">
        <v>60.833333333333002</v>
      </c>
      <c r="H113" s="408">
        <v>27.122440000000001</v>
      </c>
      <c r="I113" s="405">
        <v>78.023240000000001</v>
      </c>
      <c r="J113" s="406">
        <v>17.189906666666001</v>
      </c>
      <c r="K113" s="409">
        <v>0.21376230136900001</v>
      </c>
    </row>
    <row r="114" spans="1:11" ht="14.4" customHeight="1" thickBot="1" x14ac:dyDescent="0.35">
      <c r="A114" s="427" t="s">
        <v>381</v>
      </c>
      <c r="B114" s="405">
        <v>54.095319286303003</v>
      </c>
      <c r="C114" s="405">
        <v>10.1599</v>
      </c>
      <c r="D114" s="406">
        <v>-43.935419286303002</v>
      </c>
      <c r="E114" s="407">
        <v>0.187814770927</v>
      </c>
      <c r="F114" s="405">
        <v>10</v>
      </c>
      <c r="G114" s="406">
        <v>1.6666666666659999</v>
      </c>
      <c r="H114" s="408">
        <v>0</v>
      </c>
      <c r="I114" s="405">
        <v>0</v>
      </c>
      <c r="J114" s="406">
        <v>-1.6666666666659999</v>
      </c>
      <c r="K114" s="409">
        <v>0</v>
      </c>
    </row>
    <row r="115" spans="1:11" ht="14.4" customHeight="1" thickBot="1" x14ac:dyDescent="0.35">
      <c r="A115" s="427" t="s">
        <v>382</v>
      </c>
      <c r="B115" s="405">
        <v>101.427207576642</v>
      </c>
      <c r="C115" s="405">
        <v>145.47301999999999</v>
      </c>
      <c r="D115" s="406">
        <v>44.045812423356999</v>
      </c>
      <c r="E115" s="407">
        <v>1.4342603279299999</v>
      </c>
      <c r="F115" s="405">
        <v>145</v>
      </c>
      <c r="G115" s="406">
        <v>24.166666666666</v>
      </c>
      <c r="H115" s="408">
        <v>26.520379999999999</v>
      </c>
      <c r="I115" s="405">
        <v>31.267959999999999</v>
      </c>
      <c r="J115" s="406">
        <v>7.1012933333330004</v>
      </c>
      <c r="K115" s="409">
        <v>0.215641103448</v>
      </c>
    </row>
    <row r="116" spans="1:11" ht="14.4" customHeight="1" thickBot="1" x14ac:dyDescent="0.35">
      <c r="A116" s="427" t="s">
        <v>383</v>
      </c>
      <c r="B116" s="405">
        <v>6.6091256118550001</v>
      </c>
      <c r="C116" s="405">
        <v>10.346019999999999</v>
      </c>
      <c r="D116" s="406">
        <v>3.736894388144</v>
      </c>
      <c r="E116" s="407">
        <v>1.565414338841</v>
      </c>
      <c r="F116" s="405">
        <v>10</v>
      </c>
      <c r="G116" s="406">
        <v>1.6666666666659999</v>
      </c>
      <c r="H116" s="408">
        <v>0</v>
      </c>
      <c r="I116" s="405">
        <v>0</v>
      </c>
      <c r="J116" s="406">
        <v>-1.6666666666659999</v>
      </c>
      <c r="K116" s="409">
        <v>0</v>
      </c>
    </row>
    <row r="117" spans="1:11" ht="14.4" customHeight="1" thickBot="1" x14ac:dyDescent="0.35">
      <c r="A117" s="426" t="s">
        <v>384</v>
      </c>
      <c r="B117" s="410">
        <v>97.763167697317002</v>
      </c>
      <c r="C117" s="410">
        <v>220.56743</v>
      </c>
      <c r="D117" s="411">
        <v>122.804262302683</v>
      </c>
      <c r="E117" s="417">
        <v>2.2561403767399999</v>
      </c>
      <c r="F117" s="410">
        <v>153.02648702100299</v>
      </c>
      <c r="G117" s="411">
        <v>25.504414503500001</v>
      </c>
      <c r="H117" s="413">
        <v>18.018460000000001</v>
      </c>
      <c r="I117" s="410">
        <v>43.917529999999999</v>
      </c>
      <c r="J117" s="411">
        <v>18.413115496499</v>
      </c>
      <c r="K117" s="418">
        <v>0.28699299614599999</v>
      </c>
    </row>
    <row r="118" spans="1:11" ht="14.4" customHeight="1" thickBot="1" x14ac:dyDescent="0.35">
      <c r="A118" s="427" t="s">
        <v>385</v>
      </c>
      <c r="B118" s="405">
        <v>85.000008522835003</v>
      </c>
      <c r="C118" s="405">
        <v>216.27303000000001</v>
      </c>
      <c r="D118" s="406">
        <v>131.27302147716401</v>
      </c>
      <c r="E118" s="407">
        <v>2.5443883331119999</v>
      </c>
      <c r="F118" s="405">
        <v>145.02648702100299</v>
      </c>
      <c r="G118" s="406">
        <v>24.171081170167</v>
      </c>
      <c r="H118" s="408">
        <v>18.018460000000001</v>
      </c>
      <c r="I118" s="405">
        <v>43.917529999999999</v>
      </c>
      <c r="J118" s="406">
        <v>19.746448829832001</v>
      </c>
      <c r="K118" s="409">
        <v>0.30282420061400001</v>
      </c>
    </row>
    <row r="119" spans="1:11" ht="14.4" customHeight="1" thickBot="1" x14ac:dyDescent="0.35">
      <c r="A119" s="427" t="s">
        <v>386</v>
      </c>
      <c r="B119" s="405">
        <v>12.763159174481</v>
      </c>
      <c r="C119" s="405">
        <v>4.2944000000000004</v>
      </c>
      <c r="D119" s="406">
        <v>-8.4687591744810007</v>
      </c>
      <c r="E119" s="407">
        <v>0.33646841987100001</v>
      </c>
      <c r="F119" s="405">
        <v>8</v>
      </c>
      <c r="G119" s="406">
        <v>1.333333333333</v>
      </c>
      <c r="H119" s="408">
        <v>0</v>
      </c>
      <c r="I119" s="405">
        <v>0</v>
      </c>
      <c r="J119" s="406">
        <v>-1.333333333333</v>
      </c>
      <c r="K119" s="409">
        <v>0</v>
      </c>
    </row>
    <row r="120" spans="1:11" ht="14.4" customHeight="1" thickBot="1" x14ac:dyDescent="0.35">
      <c r="A120" s="426" t="s">
        <v>387</v>
      </c>
      <c r="B120" s="410">
        <v>89.980570954320001</v>
      </c>
      <c r="C120" s="410">
        <v>91.544269999999997</v>
      </c>
      <c r="D120" s="411">
        <v>1.5636990456790001</v>
      </c>
      <c r="E120" s="417">
        <v>1.017378185413</v>
      </c>
      <c r="F120" s="410">
        <v>131</v>
      </c>
      <c r="G120" s="411">
        <v>21.833333333333002</v>
      </c>
      <c r="H120" s="413">
        <v>5.0617999999999999</v>
      </c>
      <c r="I120" s="410">
        <v>27.718109999999999</v>
      </c>
      <c r="J120" s="411">
        <v>5.8847766666660002</v>
      </c>
      <c r="K120" s="418">
        <v>0.21158862595399999</v>
      </c>
    </row>
    <row r="121" spans="1:11" ht="14.4" customHeight="1" thickBot="1" x14ac:dyDescent="0.35">
      <c r="A121" s="427" t="s">
        <v>388</v>
      </c>
      <c r="B121" s="405">
        <v>13.980563333901999</v>
      </c>
      <c r="C121" s="405">
        <v>23.573930000000001</v>
      </c>
      <c r="D121" s="406">
        <v>9.5933666660969994</v>
      </c>
      <c r="E121" s="407">
        <v>1.6861931409319999</v>
      </c>
      <c r="F121" s="405">
        <v>21</v>
      </c>
      <c r="G121" s="406">
        <v>3.5</v>
      </c>
      <c r="H121" s="408">
        <v>0</v>
      </c>
      <c r="I121" s="405">
        <v>0.12282999999999999</v>
      </c>
      <c r="J121" s="406">
        <v>-3.37717</v>
      </c>
      <c r="K121" s="409">
        <v>5.8490476190000001E-3</v>
      </c>
    </row>
    <row r="122" spans="1:11" ht="14.4" customHeight="1" thickBot="1" x14ac:dyDescent="0.35">
      <c r="A122" s="427" t="s">
        <v>389</v>
      </c>
      <c r="B122" s="405">
        <v>76.000007620416994</v>
      </c>
      <c r="C122" s="405">
        <v>67.970339999999993</v>
      </c>
      <c r="D122" s="406">
        <v>-8.0296676204169994</v>
      </c>
      <c r="E122" s="407">
        <v>0.894346489272</v>
      </c>
      <c r="F122" s="405">
        <v>110</v>
      </c>
      <c r="G122" s="406">
        <v>18.333333333333002</v>
      </c>
      <c r="H122" s="408">
        <v>5.0617999999999999</v>
      </c>
      <c r="I122" s="405">
        <v>27.595279999999999</v>
      </c>
      <c r="J122" s="406">
        <v>9.2619466666660006</v>
      </c>
      <c r="K122" s="409">
        <v>0.25086618181800002</v>
      </c>
    </row>
    <row r="123" spans="1:11" ht="14.4" customHeight="1" thickBot="1" x14ac:dyDescent="0.35">
      <c r="A123" s="426" t="s">
        <v>390</v>
      </c>
      <c r="B123" s="410">
        <v>960.96105731522596</v>
      </c>
      <c r="C123" s="410">
        <v>892.3886</v>
      </c>
      <c r="D123" s="411">
        <v>-68.572457315226004</v>
      </c>
      <c r="E123" s="417">
        <v>0.92864179376099998</v>
      </c>
      <c r="F123" s="410">
        <v>922.37847002887202</v>
      </c>
      <c r="G123" s="411">
        <v>153.729745004812</v>
      </c>
      <c r="H123" s="413">
        <v>109.9931</v>
      </c>
      <c r="I123" s="410">
        <v>235.69159999999999</v>
      </c>
      <c r="J123" s="411">
        <v>81.961854995186997</v>
      </c>
      <c r="K123" s="418">
        <v>0.25552591225600002</v>
      </c>
    </row>
    <row r="124" spans="1:11" ht="14.4" customHeight="1" thickBot="1" x14ac:dyDescent="0.35">
      <c r="A124" s="427" t="s">
        <v>391</v>
      </c>
      <c r="B124" s="405">
        <v>960.96105731522596</v>
      </c>
      <c r="C124" s="405">
        <v>892.3886</v>
      </c>
      <c r="D124" s="406">
        <v>-68.572457315226004</v>
      </c>
      <c r="E124" s="407">
        <v>0.92864179376099998</v>
      </c>
      <c r="F124" s="405">
        <v>922.37847002887202</v>
      </c>
      <c r="G124" s="406">
        <v>153.729745004812</v>
      </c>
      <c r="H124" s="408">
        <v>109.9931</v>
      </c>
      <c r="I124" s="405">
        <v>235.69159999999999</v>
      </c>
      <c r="J124" s="406">
        <v>81.961854995186997</v>
      </c>
      <c r="K124" s="409">
        <v>0.25552591225600002</v>
      </c>
    </row>
    <row r="125" spans="1:11" ht="14.4" customHeight="1" thickBot="1" x14ac:dyDescent="0.35">
      <c r="A125" s="426" t="s">
        <v>392</v>
      </c>
      <c r="B125" s="410">
        <v>72134.007232779302</v>
      </c>
      <c r="C125" s="410">
        <v>74884.556030000007</v>
      </c>
      <c r="D125" s="411">
        <v>2750.5487972206802</v>
      </c>
      <c r="E125" s="417">
        <v>1.0381310965899999</v>
      </c>
      <c r="F125" s="410">
        <v>77642</v>
      </c>
      <c r="G125" s="411">
        <v>12940.333333333299</v>
      </c>
      <c r="H125" s="413">
        <v>7032.8317200000001</v>
      </c>
      <c r="I125" s="410">
        <v>14818.705110000001</v>
      </c>
      <c r="J125" s="411">
        <v>1878.37177666667</v>
      </c>
      <c r="K125" s="418">
        <v>0.19085939452799999</v>
      </c>
    </row>
    <row r="126" spans="1:11" ht="14.4" customHeight="1" thickBot="1" x14ac:dyDescent="0.35">
      <c r="A126" s="427" t="s">
        <v>393</v>
      </c>
      <c r="B126" s="405">
        <v>28608.002868485699</v>
      </c>
      <c r="C126" s="405">
        <v>26969.775600000001</v>
      </c>
      <c r="D126" s="406">
        <v>-1638.2272684857401</v>
      </c>
      <c r="E126" s="407">
        <v>0.942735350104</v>
      </c>
      <c r="F126" s="405">
        <v>30224</v>
      </c>
      <c r="G126" s="406">
        <v>5037.3333333333303</v>
      </c>
      <c r="H126" s="408">
        <v>2633.5704500000002</v>
      </c>
      <c r="I126" s="405">
        <v>5610.6791499999999</v>
      </c>
      <c r="J126" s="406">
        <v>573.34581666666702</v>
      </c>
      <c r="K126" s="409">
        <v>0.185636552077</v>
      </c>
    </row>
    <row r="127" spans="1:11" ht="14.4" customHeight="1" thickBot="1" x14ac:dyDescent="0.35">
      <c r="A127" s="427" t="s">
        <v>394</v>
      </c>
      <c r="B127" s="405">
        <v>43526.0043642936</v>
      </c>
      <c r="C127" s="405">
        <v>47914.780429999999</v>
      </c>
      <c r="D127" s="406">
        <v>4388.77606570641</v>
      </c>
      <c r="E127" s="407">
        <v>1.1008311268119999</v>
      </c>
      <c r="F127" s="405">
        <v>47418</v>
      </c>
      <c r="G127" s="406">
        <v>7903</v>
      </c>
      <c r="H127" s="408">
        <v>4399.26127</v>
      </c>
      <c r="I127" s="405">
        <v>9208.0259600000009</v>
      </c>
      <c r="J127" s="406">
        <v>1305.0259599999999</v>
      </c>
      <c r="K127" s="409">
        <v>0.19418840862100001</v>
      </c>
    </row>
    <row r="128" spans="1:11" ht="14.4" customHeight="1" thickBot="1" x14ac:dyDescent="0.35">
      <c r="A128" s="426" t="s">
        <v>395</v>
      </c>
      <c r="B128" s="410">
        <v>0</v>
      </c>
      <c r="C128" s="410">
        <v>4598.2651699999997</v>
      </c>
      <c r="D128" s="411">
        <v>4598.2651699999997</v>
      </c>
      <c r="E128" s="412" t="s">
        <v>274</v>
      </c>
      <c r="F128" s="410">
        <v>0</v>
      </c>
      <c r="G128" s="411">
        <v>0</v>
      </c>
      <c r="H128" s="413">
        <v>5.7829999999999999E-2</v>
      </c>
      <c r="I128" s="410">
        <v>0.61643000000000003</v>
      </c>
      <c r="J128" s="411">
        <v>0.61643000000000003</v>
      </c>
      <c r="K128" s="414" t="s">
        <v>274</v>
      </c>
    </row>
    <row r="129" spans="1:11" ht="14.4" customHeight="1" thickBot="1" x14ac:dyDescent="0.35">
      <c r="A129" s="427" t="s">
        <v>396</v>
      </c>
      <c r="B129" s="405">
        <v>0</v>
      </c>
      <c r="C129" s="405">
        <v>454.67532</v>
      </c>
      <c r="D129" s="406">
        <v>454.67532</v>
      </c>
      <c r="E129" s="415" t="s">
        <v>274</v>
      </c>
      <c r="F129" s="405">
        <v>0</v>
      </c>
      <c r="G129" s="406">
        <v>0</v>
      </c>
      <c r="H129" s="408">
        <v>0</v>
      </c>
      <c r="I129" s="405">
        <v>0</v>
      </c>
      <c r="J129" s="406">
        <v>0</v>
      </c>
      <c r="K129" s="416" t="s">
        <v>274</v>
      </c>
    </row>
    <row r="130" spans="1:11" ht="14.4" customHeight="1" thickBot="1" x14ac:dyDescent="0.35">
      <c r="A130" s="427" t="s">
        <v>397</v>
      </c>
      <c r="B130" s="405">
        <v>0</v>
      </c>
      <c r="C130" s="405">
        <v>4143.5898500000003</v>
      </c>
      <c r="D130" s="406">
        <v>4143.5898500000003</v>
      </c>
      <c r="E130" s="415" t="s">
        <v>274</v>
      </c>
      <c r="F130" s="405">
        <v>0</v>
      </c>
      <c r="G130" s="406">
        <v>0</v>
      </c>
      <c r="H130" s="408">
        <v>5.7829999999999999E-2</v>
      </c>
      <c r="I130" s="405">
        <v>0.61643000000000003</v>
      </c>
      <c r="J130" s="406">
        <v>0.61643000000000003</v>
      </c>
      <c r="K130" s="416" t="s">
        <v>274</v>
      </c>
    </row>
    <row r="131" spans="1:11" ht="14.4" customHeight="1" thickBot="1" x14ac:dyDescent="0.35">
      <c r="A131" s="424" t="s">
        <v>398</v>
      </c>
      <c r="B131" s="405">
        <v>27.974753888555998</v>
      </c>
      <c r="C131" s="405">
        <v>21.651409999999998</v>
      </c>
      <c r="D131" s="406">
        <v>-6.3233438885559998</v>
      </c>
      <c r="E131" s="407">
        <v>0.77396248368200005</v>
      </c>
      <c r="F131" s="405">
        <v>0</v>
      </c>
      <c r="G131" s="406">
        <v>0</v>
      </c>
      <c r="H131" s="408">
        <v>0.74446999999999997</v>
      </c>
      <c r="I131" s="405">
        <v>0.74456999999999995</v>
      </c>
      <c r="J131" s="406">
        <v>0.74456999999999995</v>
      </c>
      <c r="K131" s="416" t="s">
        <v>274</v>
      </c>
    </row>
    <row r="132" spans="1:11" ht="14.4" customHeight="1" thickBot="1" x14ac:dyDescent="0.35">
      <c r="A132" s="430" t="s">
        <v>399</v>
      </c>
      <c r="B132" s="410">
        <v>27.974753888555998</v>
      </c>
      <c r="C132" s="410">
        <v>21.651409999999998</v>
      </c>
      <c r="D132" s="411">
        <v>-6.3233438885559998</v>
      </c>
      <c r="E132" s="417">
        <v>0.77396248368200005</v>
      </c>
      <c r="F132" s="410">
        <v>0</v>
      </c>
      <c r="G132" s="411">
        <v>0</v>
      </c>
      <c r="H132" s="413">
        <v>0.74446999999999997</v>
      </c>
      <c r="I132" s="410">
        <v>0.74456999999999995</v>
      </c>
      <c r="J132" s="411">
        <v>0.74456999999999995</v>
      </c>
      <c r="K132" s="414" t="s">
        <v>274</v>
      </c>
    </row>
    <row r="133" spans="1:11" ht="14.4" customHeight="1" thickBot="1" x14ac:dyDescent="0.35">
      <c r="A133" s="426" t="s">
        <v>400</v>
      </c>
      <c r="B133" s="410">
        <v>0</v>
      </c>
      <c r="C133" s="410">
        <v>-1.23E-3</v>
      </c>
      <c r="D133" s="411">
        <v>-1.23E-3</v>
      </c>
      <c r="E133" s="412" t="s">
        <v>274</v>
      </c>
      <c r="F133" s="410">
        <v>0</v>
      </c>
      <c r="G133" s="411">
        <v>0</v>
      </c>
      <c r="H133" s="413">
        <v>6.8000000000000005E-4</v>
      </c>
      <c r="I133" s="410">
        <v>7.7999999999999999E-4</v>
      </c>
      <c r="J133" s="411">
        <v>7.7999999999999999E-4</v>
      </c>
      <c r="K133" s="414" t="s">
        <v>274</v>
      </c>
    </row>
    <row r="134" spans="1:11" ht="14.4" customHeight="1" thickBot="1" x14ac:dyDescent="0.35">
      <c r="A134" s="427" t="s">
        <v>401</v>
      </c>
      <c r="B134" s="405">
        <v>0</v>
      </c>
      <c r="C134" s="405">
        <v>-1.23E-3</v>
      </c>
      <c r="D134" s="406">
        <v>-1.23E-3</v>
      </c>
      <c r="E134" s="415" t="s">
        <v>274</v>
      </c>
      <c r="F134" s="405">
        <v>0</v>
      </c>
      <c r="G134" s="406">
        <v>0</v>
      </c>
      <c r="H134" s="408">
        <v>6.8000000000000005E-4</v>
      </c>
      <c r="I134" s="405">
        <v>7.7999999999999999E-4</v>
      </c>
      <c r="J134" s="406">
        <v>7.7999999999999999E-4</v>
      </c>
      <c r="K134" s="416" t="s">
        <v>274</v>
      </c>
    </row>
    <row r="135" spans="1:11" ht="14.4" customHeight="1" thickBot="1" x14ac:dyDescent="0.35">
      <c r="A135" s="426" t="s">
        <v>402</v>
      </c>
      <c r="B135" s="410">
        <v>27.974753888555998</v>
      </c>
      <c r="C135" s="410">
        <v>21.652640000000002</v>
      </c>
      <c r="D135" s="411">
        <v>-6.3221138885560002</v>
      </c>
      <c r="E135" s="417">
        <v>0.77400645189700001</v>
      </c>
      <c r="F135" s="410">
        <v>0</v>
      </c>
      <c r="G135" s="411">
        <v>0</v>
      </c>
      <c r="H135" s="413">
        <v>0.74378999999999995</v>
      </c>
      <c r="I135" s="410">
        <v>0.74378999999999995</v>
      </c>
      <c r="J135" s="411">
        <v>0.74378999999999995</v>
      </c>
      <c r="K135" s="414" t="s">
        <v>274</v>
      </c>
    </row>
    <row r="136" spans="1:11" ht="14.4" customHeight="1" thickBot="1" x14ac:dyDescent="0.35">
      <c r="A136" s="427" t="s">
        <v>403</v>
      </c>
      <c r="B136" s="405">
        <v>27.974753888555998</v>
      </c>
      <c r="C136" s="405">
        <v>21.652640000000002</v>
      </c>
      <c r="D136" s="406">
        <v>-6.3221138885560002</v>
      </c>
      <c r="E136" s="407">
        <v>0.77400645189700001</v>
      </c>
      <c r="F136" s="405">
        <v>0</v>
      </c>
      <c r="G136" s="406">
        <v>0</v>
      </c>
      <c r="H136" s="408">
        <v>0.74378999999999995</v>
      </c>
      <c r="I136" s="405">
        <v>0.74378999999999995</v>
      </c>
      <c r="J136" s="406">
        <v>0.74378999999999995</v>
      </c>
      <c r="K136" s="416" t="s">
        <v>274</v>
      </c>
    </row>
    <row r="137" spans="1:11" ht="14.4" customHeight="1" thickBot="1" x14ac:dyDescent="0.35">
      <c r="A137" s="423" t="s">
        <v>404</v>
      </c>
      <c r="B137" s="405">
        <v>3024.02521590266</v>
      </c>
      <c r="C137" s="405">
        <v>3000.36843</v>
      </c>
      <c r="D137" s="406">
        <v>-23.656785902664001</v>
      </c>
      <c r="E137" s="407">
        <v>0.99217705402099998</v>
      </c>
      <c r="F137" s="405">
        <v>0</v>
      </c>
      <c r="G137" s="406">
        <v>0</v>
      </c>
      <c r="H137" s="408">
        <v>223.61448999999999</v>
      </c>
      <c r="I137" s="405">
        <v>461.24628000000001</v>
      </c>
      <c r="J137" s="406">
        <v>461.24628000000001</v>
      </c>
      <c r="K137" s="416" t="s">
        <v>298</v>
      </c>
    </row>
    <row r="138" spans="1:11" ht="14.4" customHeight="1" thickBot="1" x14ac:dyDescent="0.35">
      <c r="A138" s="428" t="s">
        <v>405</v>
      </c>
      <c r="B138" s="410">
        <v>3024.02521590266</v>
      </c>
      <c r="C138" s="410">
        <v>3000.36843</v>
      </c>
      <c r="D138" s="411">
        <v>-23.656785902664001</v>
      </c>
      <c r="E138" s="417">
        <v>0.99217705402099998</v>
      </c>
      <c r="F138" s="410">
        <v>0</v>
      </c>
      <c r="G138" s="411">
        <v>0</v>
      </c>
      <c r="H138" s="413">
        <v>223.61448999999999</v>
      </c>
      <c r="I138" s="410">
        <v>461.24628000000001</v>
      </c>
      <c r="J138" s="411">
        <v>461.24628000000001</v>
      </c>
      <c r="K138" s="414" t="s">
        <v>298</v>
      </c>
    </row>
    <row r="139" spans="1:11" ht="14.4" customHeight="1" thickBot="1" x14ac:dyDescent="0.35">
      <c r="A139" s="430" t="s">
        <v>41</v>
      </c>
      <c r="B139" s="410">
        <v>3024.02521590266</v>
      </c>
      <c r="C139" s="410">
        <v>3000.36843</v>
      </c>
      <c r="D139" s="411">
        <v>-23.656785902664001</v>
      </c>
      <c r="E139" s="417">
        <v>0.99217705402099998</v>
      </c>
      <c r="F139" s="410">
        <v>0</v>
      </c>
      <c r="G139" s="411">
        <v>0</v>
      </c>
      <c r="H139" s="413">
        <v>223.61448999999999</v>
      </c>
      <c r="I139" s="410">
        <v>461.24628000000001</v>
      </c>
      <c r="J139" s="411">
        <v>461.24628000000001</v>
      </c>
      <c r="K139" s="414" t="s">
        <v>298</v>
      </c>
    </row>
    <row r="140" spans="1:11" ht="14.4" customHeight="1" thickBot="1" x14ac:dyDescent="0.35">
      <c r="A140" s="429" t="s">
        <v>406</v>
      </c>
      <c r="B140" s="405">
        <v>0</v>
      </c>
      <c r="C140" s="405">
        <v>0</v>
      </c>
      <c r="D140" s="406">
        <v>0</v>
      </c>
      <c r="E140" s="407">
        <v>1</v>
      </c>
      <c r="F140" s="405">
        <v>0</v>
      </c>
      <c r="G140" s="406">
        <v>0</v>
      </c>
      <c r="H140" s="408">
        <v>1.325E-2</v>
      </c>
      <c r="I140" s="405">
        <v>9.3880000000000005E-2</v>
      </c>
      <c r="J140" s="406">
        <v>9.3880000000000005E-2</v>
      </c>
      <c r="K140" s="416" t="s">
        <v>298</v>
      </c>
    </row>
    <row r="141" spans="1:11" ht="14.4" customHeight="1" thickBot="1" x14ac:dyDescent="0.35">
      <c r="A141" s="427" t="s">
        <v>407</v>
      </c>
      <c r="B141" s="405">
        <v>0</v>
      </c>
      <c r="C141" s="405">
        <v>0</v>
      </c>
      <c r="D141" s="406">
        <v>0</v>
      </c>
      <c r="E141" s="407">
        <v>1</v>
      </c>
      <c r="F141" s="405">
        <v>0</v>
      </c>
      <c r="G141" s="406">
        <v>0</v>
      </c>
      <c r="H141" s="408">
        <v>1.325E-2</v>
      </c>
      <c r="I141" s="405">
        <v>9.3880000000000005E-2</v>
      </c>
      <c r="J141" s="406">
        <v>9.3880000000000005E-2</v>
      </c>
      <c r="K141" s="416" t="s">
        <v>298</v>
      </c>
    </row>
    <row r="142" spans="1:11" ht="14.4" customHeight="1" thickBot="1" x14ac:dyDescent="0.35">
      <c r="A142" s="426" t="s">
        <v>408</v>
      </c>
      <c r="B142" s="410">
        <v>70.220120224297006</v>
      </c>
      <c r="C142" s="410">
        <v>31.527339999999999</v>
      </c>
      <c r="D142" s="411">
        <v>-38.692780224297003</v>
      </c>
      <c r="E142" s="417">
        <v>0.448978724321</v>
      </c>
      <c r="F142" s="410">
        <v>0</v>
      </c>
      <c r="G142" s="411">
        <v>0</v>
      </c>
      <c r="H142" s="413">
        <v>1.8943399999999999</v>
      </c>
      <c r="I142" s="410">
        <v>2.2853599999999998</v>
      </c>
      <c r="J142" s="411">
        <v>2.2853599999999998</v>
      </c>
      <c r="K142" s="414" t="s">
        <v>298</v>
      </c>
    </row>
    <row r="143" spans="1:11" ht="14.4" customHeight="1" thickBot="1" x14ac:dyDescent="0.35">
      <c r="A143" s="427" t="s">
        <v>409</v>
      </c>
      <c r="B143" s="405">
        <v>0.95173613292699999</v>
      </c>
      <c r="C143" s="405">
        <v>4.1100000000000003</v>
      </c>
      <c r="D143" s="406">
        <v>3.1582638670719998</v>
      </c>
      <c r="E143" s="407">
        <v>4.3184238338789998</v>
      </c>
      <c r="F143" s="405">
        <v>0</v>
      </c>
      <c r="G143" s="406">
        <v>0</v>
      </c>
      <c r="H143" s="408">
        <v>0</v>
      </c>
      <c r="I143" s="405">
        <v>0</v>
      </c>
      <c r="J143" s="406">
        <v>0</v>
      </c>
      <c r="K143" s="409">
        <v>2</v>
      </c>
    </row>
    <row r="144" spans="1:11" ht="14.4" customHeight="1" thickBot="1" x14ac:dyDescent="0.35">
      <c r="A144" s="427" t="s">
        <v>410</v>
      </c>
      <c r="B144" s="405">
        <v>39.418304728041001</v>
      </c>
      <c r="C144" s="405">
        <v>13.786099999999999</v>
      </c>
      <c r="D144" s="406">
        <v>-25.632204728041</v>
      </c>
      <c r="E144" s="407">
        <v>0.34973853125100002</v>
      </c>
      <c r="F144" s="405">
        <v>0</v>
      </c>
      <c r="G144" s="406">
        <v>0</v>
      </c>
      <c r="H144" s="408">
        <v>1.4063000000000001</v>
      </c>
      <c r="I144" s="405">
        <v>1.4063000000000001</v>
      </c>
      <c r="J144" s="406">
        <v>1.4063000000000001</v>
      </c>
      <c r="K144" s="416" t="s">
        <v>298</v>
      </c>
    </row>
    <row r="145" spans="1:11" ht="14.4" customHeight="1" thickBot="1" x14ac:dyDescent="0.35">
      <c r="A145" s="427" t="s">
        <v>411</v>
      </c>
      <c r="B145" s="405">
        <v>29.850079363328</v>
      </c>
      <c r="C145" s="405">
        <v>13.63124</v>
      </c>
      <c r="D145" s="406">
        <v>-16.218839363328001</v>
      </c>
      <c r="E145" s="407">
        <v>0.45665674231800002</v>
      </c>
      <c r="F145" s="405">
        <v>0</v>
      </c>
      <c r="G145" s="406">
        <v>0</v>
      </c>
      <c r="H145" s="408">
        <v>0.48803999999999997</v>
      </c>
      <c r="I145" s="405">
        <v>0.87905999999999995</v>
      </c>
      <c r="J145" s="406">
        <v>0.87905999999999995</v>
      </c>
      <c r="K145" s="416" t="s">
        <v>298</v>
      </c>
    </row>
    <row r="146" spans="1:11" ht="14.4" customHeight="1" thickBot="1" x14ac:dyDescent="0.35">
      <c r="A146" s="426" t="s">
        <v>412</v>
      </c>
      <c r="B146" s="410">
        <v>40.141520262036998</v>
      </c>
      <c r="C146" s="410">
        <v>39.272799999999997</v>
      </c>
      <c r="D146" s="411">
        <v>-0.86872026203700003</v>
      </c>
      <c r="E146" s="417">
        <v>0.97835856100200003</v>
      </c>
      <c r="F146" s="410">
        <v>0</v>
      </c>
      <c r="G146" s="411">
        <v>0</v>
      </c>
      <c r="H146" s="413">
        <v>3.5390000000000001</v>
      </c>
      <c r="I146" s="410">
        <v>7.4137000000000004</v>
      </c>
      <c r="J146" s="411">
        <v>7.4137000000000004</v>
      </c>
      <c r="K146" s="414" t="s">
        <v>298</v>
      </c>
    </row>
    <row r="147" spans="1:11" ht="14.4" customHeight="1" thickBot="1" x14ac:dyDescent="0.35">
      <c r="A147" s="427" t="s">
        <v>413</v>
      </c>
      <c r="B147" s="405">
        <v>40.141520262036998</v>
      </c>
      <c r="C147" s="405">
        <v>39.272799999999997</v>
      </c>
      <c r="D147" s="406">
        <v>-0.86872026203700003</v>
      </c>
      <c r="E147" s="407">
        <v>0.97835856100200003</v>
      </c>
      <c r="F147" s="405">
        <v>0</v>
      </c>
      <c r="G147" s="406">
        <v>0</v>
      </c>
      <c r="H147" s="408">
        <v>3.5390000000000001</v>
      </c>
      <c r="I147" s="405">
        <v>7.4137000000000004</v>
      </c>
      <c r="J147" s="406">
        <v>7.4137000000000004</v>
      </c>
      <c r="K147" s="416" t="s">
        <v>298</v>
      </c>
    </row>
    <row r="148" spans="1:11" ht="14.4" customHeight="1" thickBot="1" x14ac:dyDescent="0.35">
      <c r="A148" s="426" t="s">
        <v>414</v>
      </c>
      <c r="B148" s="410">
        <v>893.04118137365504</v>
      </c>
      <c r="C148" s="410">
        <v>854.45095000000003</v>
      </c>
      <c r="D148" s="411">
        <v>-38.590231373653999</v>
      </c>
      <c r="E148" s="417">
        <v>0.95678784788500004</v>
      </c>
      <c r="F148" s="410">
        <v>0</v>
      </c>
      <c r="G148" s="411">
        <v>0</v>
      </c>
      <c r="H148" s="413">
        <v>73.482039999999998</v>
      </c>
      <c r="I148" s="410">
        <v>150.54617999999999</v>
      </c>
      <c r="J148" s="411">
        <v>150.54617999999999</v>
      </c>
      <c r="K148" s="414" t="s">
        <v>298</v>
      </c>
    </row>
    <row r="149" spans="1:11" ht="14.4" customHeight="1" thickBot="1" x14ac:dyDescent="0.35">
      <c r="A149" s="427" t="s">
        <v>415</v>
      </c>
      <c r="B149" s="405">
        <v>893.04118137365504</v>
      </c>
      <c r="C149" s="405">
        <v>854.45095000000003</v>
      </c>
      <c r="D149" s="406">
        <v>-38.590231373653999</v>
      </c>
      <c r="E149" s="407">
        <v>0.95678784788500004</v>
      </c>
      <c r="F149" s="405">
        <v>0</v>
      </c>
      <c r="G149" s="406">
        <v>0</v>
      </c>
      <c r="H149" s="408">
        <v>73.482039999999998</v>
      </c>
      <c r="I149" s="405">
        <v>150.54617999999999</v>
      </c>
      <c r="J149" s="406">
        <v>150.54617999999999</v>
      </c>
      <c r="K149" s="416" t="s">
        <v>298</v>
      </c>
    </row>
    <row r="150" spans="1:11" ht="14.4" customHeight="1" thickBot="1" x14ac:dyDescent="0.35">
      <c r="A150" s="426" t="s">
        <v>416</v>
      </c>
      <c r="B150" s="410">
        <v>0</v>
      </c>
      <c r="C150" s="410">
        <v>14.595000000000001</v>
      </c>
      <c r="D150" s="411">
        <v>14.595000000000001</v>
      </c>
      <c r="E150" s="412" t="s">
        <v>298</v>
      </c>
      <c r="F150" s="410">
        <v>0</v>
      </c>
      <c r="G150" s="411">
        <v>0</v>
      </c>
      <c r="H150" s="413">
        <v>0</v>
      </c>
      <c r="I150" s="410">
        <v>0</v>
      </c>
      <c r="J150" s="411">
        <v>0</v>
      </c>
      <c r="K150" s="418">
        <v>2</v>
      </c>
    </row>
    <row r="151" spans="1:11" ht="14.4" customHeight="1" thickBot="1" x14ac:dyDescent="0.35">
      <c r="A151" s="427" t="s">
        <v>417</v>
      </c>
      <c r="B151" s="405">
        <v>0</v>
      </c>
      <c r="C151" s="405">
        <v>14.595000000000001</v>
      </c>
      <c r="D151" s="406">
        <v>14.595000000000001</v>
      </c>
      <c r="E151" s="415" t="s">
        <v>298</v>
      </c>
      <c r="F151" s="405">
        <v>0</v>
      </c>
      <c r="G151" s="406">
        <v>0</v>
      </c>
      <c r="H151" s="408">
        <v>0</v>
      </c>
      <c r="I151" s="405">
        <v>0</v>
      </c>
      <c r="J151" s="406">
        <v>0</v>
      </c>
      <c r="K151" s="409">
        <v>2</v>
      </c>
    </row>
    <row r="152" spans="1:11" ht="14.4" customHeight="1" thickBot="1" x14ac:dyDescent="0.35">
      <c r="A152" s="426" t="s">
        <v>418</v>
      </c>
      <c r="B152" s="410">
        <v>2020.6223940426701</v>
      </c>
      <c r="C152" s="410">
        <v>2060.52234</v>
      </c>
      <c r="D152" s="411">
        <v>39.899945957325997</v>
      </c>
      <c r="E152" s="417">
        <v>1.019746364325</v>
      </c>
      <c r="F152" s="410">
        <v>0</v>
      </c>
      <c r="G152" s="411">
        <v>0</v>
      </c>
      <c r="H152" s="413">
        <v>144.68585999999999</v>
      </c>
      <c r="I152" s="410">
        <v>300.90715999999998</v>
      </c>
      <c r="J152" s="411">
        <v>300.90715999999998</v>
      </c>
      <c r="K152" s="414" t="s">
        <v>298</v>
      </c>
    </row>
    <row r="153" spans="1:11" ht="14.4" customHeight="1" thickBot="1" x14ac:dyDescent="0.35">
      <c r="A153" s="427" t="s">
        <v>419</v>
      </c>
      <c r="B153" s="405">
        <v>2020.6223940426701</v>
      </c>
      <c r="C153" s="405">
        <v>2060.52234</v>
      </c>
      <c r="D153" s="406">
        <v>39.899945957325997</v>
      </c>
      <c r="E153" s="407">
        <v>1.019746364325</v>
      </c>
      <c r="F153" s="405">
        <v>0</v>
      </c>
      <c r="G153" s="406">
        <v>0</v>
      </c>
      <c r="H153" s="408">
        <v>144.68585999999999</v>
      </c>
      <c r="I153" s="405">
        <v>300.90715999999998</v>
      </c>
      <c r="J153" s="406">
        <v>300.90715999999998</v>
      </c>
      <c r="K153" s="416" t="s">
        <v>298</v>
      </c>
    </row>
    <row r="154" spans="1:11" ht="14.4" customHeight="1" thickBot="1" x14ac:dyDescent="0.35">
      <c r="A154" s="431" t="s">
        <v>420</v>
      </c>
      <c r="B154" s="410">
        <v>0</v>
      </c>
      <c r="C154" s="410">
        <v>16908.213070000002</v>
      </c>
      <c r="D154" s="411">
        <v>16908.213070000002</v>
      </c>
      <c r="E154" s="412" t="s">
        <v>298</v>
      </c>
      <c r="F154" s="410">
        <v>0</v>
      </c>
      <c r="G154" s="411">
        <v>0</v>
      </c>
      <c r="H154" s="413">
        <v>1882.10779</v>
      </c>
      <c r="I154" s="410">
        <v>3835.72282</v>
      </c>
      <c r="J154" s="411">
        <v>3835.72282</v>
      </c>
      <c r="K154" s="414" t="s">
        <v>298</v>
      </c>
    </row>
    <row r="155" spans="1:11" ht="14.4" customHeight="1" thickBot="1" x14ac:dyDescent="0.35">
      <c r="A155" s="428" t="s">
        <v>421</v>
      </c>
      <c r="B155" s="410">
        <v>0</v>
      </c>
      <c r="C155" s="410">
        <v>16908.213070000002</v>
      </c>
      <c r="D155" s="411">
        <v>16908.213070000002</v>
      </c>
      <c r="E155" s="412" t="s">
        <v>298</v>
      </c>
      <c r="F155" s="410">
        <v>0</v>
      </c>
      <c r="G155" s="411">
        <v>0</v>
      </c>
      <c r="H155" s="413">
        <v>1882.10779</v>
      </c>
      <c r="I155" s="410">
        <v>3835.72282</v>
      </c>
      <c r="J155" s="411">
        <v>3835.72282</v>
      </c>
      <c r="K155" s="414" t="s">
        <v>298</v>
      </c>
    </row>
    <row r="156" spans="1:11" ht="14.4" customHeight="1" thickBot="1" x14ac:dyDescent="0.35">
      <c r="A156" s="430" t="s">
        <v>422</v>
      </c>
      <c r="B156" s="410">
        <v>0</v>
      </c>
      <c r="C156" s="410">
        <v>16908.213070000002</v>
      </c>
      <c r="D156" s="411">
        <v>16908.213070000002</v>
      </c>
      <c r="E156" s="412" t="s">
        <v>298</v>
      </c>
      <c r="F156" s="410">
        <v>0</v>
      </c>
      <c r="G156" s="411">
        <v>0</v>
      </c>
      <c r="H156" s="413">
        <v>1882.10779</v>
      </c>
      <c r="I156" s="410">
        <v>3835.72282</v>
      </c>
      <c r="J156" s="411">
        <v>3835.72282</v>
      </c>
      <c r="K156" s="414" t="s">
        <v>298</v>
      </c>
    </row>
    <row r="157" spans="1:11" ht="14.4" customHeight="1" thickBot="1" x14ac:dyDescent="0.35">
      <c r="A157" s="426" t="s">
        <v>423</v>
      </c>
      <c r="B157" s="410">
        <v>0</v>
      </c>
      <c r="C157" s="410">
        <v>16908.213070000002</v>
      </c>
      <c r="D157" s="411">
        <v>16908.213070000002</v>
      </c>
      <c r="E157" s="412" t="s">
        <v>298</v>
      </c>
      <c r="F157" s="410">
        <v>0</v>
      </c>
      <c r="G157" s="411">
        <v>0</v>
      </c>
      <c r="H157" s="413">
        <v>1882.10779</v>
      </c>
      <c r="I157" s="410">
        <v>3835.72282</v>
      </c>
      <c r="J157" s="411">
        <v>3835.72282</v>
      </c>
      <c r="K157" s="414" t="s">
        <v>298</v>
      </c>
    </row>
    <row r="158" spans="1:11" ht="14.4" customHeight="1" thickBot="1" x14ac:dyDescent="0.35">
      <c r="A158" s="427" t="s">
        <v>424</v>
      </c>
      <c r="B158" s="405">
        <v>0</v>
      </c>
      <c r="C158" s="405">
        <v>74.569999999999993</v>
      </c>
      <c r="D158" s="406">
        <v>74.569999999999993</v>
      </c>
      <c r="E158" s="415" t="s">
        <v>298</v>
      </c>
      <c r="F158" s="405">
        <v>0</v>
      </c>
      <c r="G158" s="406">
        <v>0</v>
      </c>
      <c r="H158" s="408">
        <v>0</v>
      </c>
      <c r="I158" s="405">
        <v>0</v>
      </c>
      <c r="J158" s="406">
        <v>0</v>
      </c>
      <c r="K158" s="409">
        <v>2</v>
      </c>
    </row>
    <row r="159" spans="1:11" ht="14.4" customHeight="1" thickBot="1" x14ac:dyDescent="0.35">
      <c r="A159" s="427" t="s">
        <v>425</v>
      </c>
      <c r="B159" s="405">
        <v>0</v>
      </c>
      <c r="C159" s="405">
        <v>16673.248469999999</v>
      </c>
      <c r="D159" s="406">
        <v>16673.248469999999</v>
      </c>
      <c r="E159" s="415" t="s">
        <v>298</v>
      </c>
      <c r="F159" s="405">
        <v>0</v>
      </c>
      <c r="G159" s="406">
        <v>0</v>
      </c>
      <c r="H159" s="408">
        <v>1882.10779</v>
      </c>
      <c r="I159" s="405">
        <v>3830.5110199999999</v>
      </c>
      <c r="J159" s="406">
        <v>3830.5110199999999</v>
      </c>
      <c r="K159" s="416" t="s">
        <v>298</v>
      </c>
    </row>
    <row r="160" spans="1:11" ht="14.4" customHeight="1" thickBot="1" x14ac:dyDescent="0.35">
      <c r="A160" s="427" t="s">
        <v>426</v>
      </c>
      <c r="B160" s="405">
        <v>0</v>
      </c>
      <c r="C160" s="405">
        <v>160.3946</v>
      </c>
      <c r="D160" s="406">
        <v>160.3946</v>
      </c>
      <c r="E160" s="415" t="s">
        <v>298</v>
      </c>
      <c r="F160" s="405">
        <v>0</v>
      </c>
      <c r="G160" s="406">
        <v>0</v>
      </c>
      <c r="H160" s="408">
        <v>0</v>
      </c>
      <c r="I160" s="405">
        <v>5.2118000000000002</v>
      </c>
      <c r="J160" s="406">
        <v>5.2118000000000002</v>
      </c>
      <c r="K160" s="416" t="s">
        <v>298</v>
      </c>
    </row>
    <row r="161" spans="1:11" ht="14.4" customHeight="1" thickBot="1" x14ac:dyDescent="0.35">
      <c r="A161" s="432"/>
      <c r="B161" s="405">
        <v>28963.735185254201</v>
      </c>
      <c r="C161" s="405">
        <v>51186.448320000003</v>
      </c>
      <c r="D161" s="406">
        <v>22222.7131347457</v>
      </c>
      <c r="E161" s="407">
        <v>1.767259919779</v>
      </c>
      <c r="F161" s="405">
        <v>35751.5714032342</v>
      </c>
      <c r="G161" s="406">
        <v>5958.59523387237</v>
      </c>
      <c r="H161" s="408">
        <v>5033.6177900000002</v>
      </c>
      <c r="I161" s="405">
        <v>10480.91445</v>
      </c>
      <c r="J161" s="406">
        <v>4522.3192161276302</v>
      </c>
      <c r="K161" s="409">
        <v>0.29315954624099999</v>
      </c>
    </row>
    <row r="162" spans="1:11" ht="14.4" customHeight="1" thickBot="1" x14ac:dyDescent="0.35">
      <c r="A162" s="433" t="s">
        <v>53</v>
      </c>
      <c r="B162" s="419">
        <v>28963.735185254201</v>
      </c>
      <c r="C162" s="419">
        <v>51186.448320000003</v>
      </c>
      <c r="D162" s="420">
        <v>22222.7131347457</v>
      </c>
      <c r="E162" s="421" t="s">
        <v>298</v>
      </c>
      <c r="F162" s="419">
        <v>35751.5714032342</v>
      </c>
      <c r="G162" s="420">
        <v>5958.59523387237</v>
      </c>
      <c r="H162" s="419">
        <v>5033.6177900000002</v>
      </c>
      <c r="I162" s="419">
        <v>10480.91445</v>
      </c>
      <c r="J162" s="420">
        <v>4522.3192161276302</v>
      </c>
      <c r="K162" s="422">
        <v>0.29315954624099999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56" t="s">
        <v>123</v>
      </c>
      <c r="B1" s="357"/>
      <c r="C1" s="357"/>
      <c r="D1" s="357"/>
      <c r="E1" s="357"/>
      <c r="F1" s="357"/>
      <c r="G1" s="327"/>
      <c r="H1" s="358"/>
      <c r="I1" s="358"/>
    </row>
    <row r="2" spans="1:10" ht="14.4" customHeight="1" thickBot="1" x14ac:dyDescent="0.35">
      <c r="A2" s="215" t="s">
        <v>273</v>
      </c>
      <c r="B2" s="190"/>
      <c r="C2" s="190"/>
      <c r="D2" s="190"/>
      <c r="E2" s="190"/>
      <c r="F2" s="190"/>
    </row>
    <row r="3" spans="1:10" ht="14.4" customHeight="1" thickBot="1" x14ac:dyDescent="0.35">
      <c r="A3" s="215"/>
      <c r="B3" s="319"/>
      <c r="C3" s="318">
        <v>2015</v>
      </c>
      <c r="D3" s="276">
        <v>2016</v>
      </c>
      <c r="E3" s="7"/>
      <c r="F3" s="335">
        <v>2017</v>
      </c>
      <c r="G3" s="353"/>
      <c r="H3" s="353"/>
      <c r="I3" s="336"/>
    </row>
    <row r="4" spans="1:10" ht="14.4" customHeight="1" thickBot="1" x14ac:dyDescent="0.35">
      <c r="A4" s="280" t="s">
        <v>0</v>
      </c>
      <c r="B4" s="281" t="s">
        <v>212</v>
      </c>
      <c r="C4" s="354" t="s">
        <v>60</v>
      </c>
      <c r="D4" s="355"/>
      <c r="E4" s="282"/>
      <c r="F4" s="277" t="s">
        <v>60</v>
      </c>
      <c r="G4" s="278" t="s">
        <v>61</v>
      </c>
      <c r="H4" s="278" t="s">
        <v>55</v>
      </c>
      <c r="I4" s="279" t="s">
        <v>62</v>
      </c>
    </row>
    <row r="5" spans="1:10" ht="14.4" customHeight="1" x14ac:dyDescent="0.3">
      <c r="A5" s="434" t="s">
        <v>427</v>
      </c>
      <c r="B5" s="435" t="s">
        <v>428</v>
      </c>
      <c r="C5" s="436" t="s">
        <v>429</v>
      </c>
      <c r="D5" s="436" t="s">
        <v>429</v>
      </c>
      <c r="E5" s="436"/>
      <c r="F5" s="436" t="s">
        <v>429</v>
      </c>
      <c r="G5" s="436" t="s">
        <v>429</v>
      </c>
      <c r="H5" s="436" t="s">
        <v>429</v>
      </c>
      <c r="I5" s="437" t="s">
        <v>429</v>
      </c>
      <c r="J5" s="438" t="s">
        <v>56</v>
      </c>
    </row>
    <row r="6" spans="1:10" ht="14.4" customHeight="1" x14ac:dyDescent="0.3">
      <c r="A6" s="434" t="s">
        <v>427</v>
      </c>
      <c r="B6" s="435" t="s">
        <v>282</v>
      </c>
      <c r="C6" s="436">
        <v>7.0640800000000006</v>
      </c>
      <c r="D6" s="436">
        <v>4.4075800000000003</v>
      </c>
      <c r="E6" s="436"/>
      <c r="F6" s="436">
        <v>4.7645799999999996</v>
      </c>
      <c r="G6" s="436">
        <v>5.333333333333333</v>
      </c>
      <c r="H6" s="436">
        <v>-0.56875333333333344</v>
      </c>
      <c r="I6" s="437">
        <v>0.89335874999999998</v>
      </c>
      <c r="J6" s="438" t="s">
        <v>1</v>
      </c>
    </row>
    <row r="7" spans="1:10" ht="14.4" customHeight="1" x14ac:dyDescent="0.3">
      <c r="A7" s="434" t="s">
        <v>427</v>
      </c>
      <c r="B7" s="435" t="s">
        <v>283</v>
      </c>
      <c r="C7" s="436">
        <v>0.59514</v>
      </c>
      <c r="D7" s="436">
        <v>0.53444000000000003</v>
      </c>
      <c r="E7" s="436"/>
      <c r="F7" s="436">
        <v>0.28917999999999999</v>
      </c>
      <c r="G7" s="436">
        <v>3.6666666666666665</v>
      </c>
      <c r="H7" s="436">
        <v>-3.3774866666666665</v>
      </c>
      <c r="I7" s="437">
        <v>7.886727272727273E-2</v>
      </c>
      <c r="J7" s="438" t="s">
        <v>1</v>
      </c>
    </row>
    <row r="8" spans="1:10" ht="14.4" customHeight="1" x14ac:dyDescent="0.3">
      <c r="A8" s="434" t="s">
        <v>427</v>
      </c>
      <c r="B8" s="435" t="s">
        <v>284</v>
      </c>
      <c r="C8" s="436">
        <v>0</v>
      </c>
      <c r="D8" s="436">
        <v>0</v>
      </c>
      <c r="E8" s="436"/>
      <c r="F8" s="436" t="s">
        <v>429</v>
      </c>
      <c r="G8" s="436" t="s">
        <v>429</v>
      </c>
      <c r="H8" s="436" t="s">
        <v>429</v>
      </c>
      <c r="I8" s="437" t="s">
        <v>429</v>
      </c>
      <c r="J8" s="438" t="s">
        <v>1</v>
      </c>
    </row>
    <row r="9" spans="1:10" ht="14.4" customHeight="1" x14ac:dyDescent="0.3">
      <c r="A9" s="434" t="s">
        <v>427</v>
      </c>
      <c r="B9" s="435" t="s">
        <v>430</v>
      </c>
      <c r="C9" s="436">
        <v>7.6592200000000004</v>
      </c>
      <c r="D9" s="436">
        <v>4.9420200000000003</v>
      </c>
      <c r="E9" s="436"/>
      <c r="F9" s="436">
        <v>5.0537599999999996</v>
      </c>
      <c r="G9" s="436">
        <v>9</v>
      </c>
      <c r="H9" s="436">
        <v>-3.9462400000000004</v>
      </c>
      <c r="I9" s="437">
        <v>0.56152888888888886</v>
      </c>
      <c r="J9" s="438" t="s">
        <v>431</v>
      </c>
    </row>
    <row r="11" spans="1:10" ht="14.4" customHeight="1" x14ac:dyDescent="0.3">
      <c r="A11" s="434" t="s">
        <v>427</v>
      </c>
      <c r="B11" s="435" t="s">
        <v>428</v>
      </c>
      <c r="C11" s="436" t="s">
        <v>429</v>
      </c>
      <c r="D11" s="436" t="s">
        <v>429</v>
      </c>
      <c r="E11" s="436"/>
      <c r="F11" s="436" t="s">
        <v>429</v>
      </c>
      <c r="G11" s="436" t="s">
        <v>429</v>
      </c>
      <c r="H11" s="436" t="s">
        <v>429</v>
      </c>
      <c r="I11" s="437" t="s">
        <v>429</v>
      </c>
      <c r="J11" s="438" t="s">
        <v>56</v>
      </c>
    </row>
    <row r="12" spans="1:10" ht="14.4" customHeight="1" x14ac:dyDescent="0.3">
      <c r="A12" s="434" t="s">
        <v>432</v>
      </c>
      <c r="B12" s="435" t="s">
        <v>433</v>
      </c>
      <c r="C12" s="436" t="s">
        <v>429</v>
      </c>
      <c r="D12" s="436" t="s">
        <v>429</v>
      </c>
      <c r="E12" s="436"/>
      <c r="F12" s="436" t="s">
        <v>429</v>
      </c>
      <c r="G12" s="436" t="s">
        <v>429</v>
      </c>
      <c r="H12" s="436" t="s">
        <v>429</v>
      </c>
      <c r="I12" s="437" t="s">
        <v>429</v>
      </c>
      <c r="J12" s="438" t="s">
        <v>0</v>
      </c>
    </row>
    <row r="13" spans="1:10" ht="14.4" customHeight="1" x14ac:dyDescent="0.3">
      <c r="A13" s="434" t="s">
        <v>432</v>
      </c>
      <c r="B13" s="435" t="s">
        <v>282</v>
      </c>
      <c r="C13" s="436">
        <v>7.0640800000000006</v>
      </c>
      <c r="D13" s="436">
        <v>4.4075800000000003</v>
      </c>
      <c r="E13" s="436"/>
      <c r="F13" s="436">
        <v>4.7645799999999996</v>
      </c>
      <c r="G13" s="436">
        <v>5.333333333333333</v>
      </c>
      <c r="H13" s="436">
        <v>-0.56875333333333344</v>
      </c>
      <c r="I13" s="437">
        <v>0.89335874999999998</v>
      </c>
      <c r="J13" s="438" t="s">
        <v>1</v>
      </c>
    </row>
    <row r="14" spans="1:10" ht="14.4" customHeight="1" x14ac:dyDescent="0.3">
      <c r="A14" s="434" t="s">
        <v>432</v>
      </c>
      <c r="B14" s="435" t="s">
        <v>283</v>
      </c>
      <c r="C14" s="436">
        <v>0.59514</v>
      </c>
      <c r="D14" s="436">
        <v>0.53444000000000003</v>
      </c>
      <c r="E14" s="436"/>
      <c r="F14" s="436">
        <v>0.28917999999999999</v>
      </c>
      <c r="G14" s="436">
        <v>3.6666666666666665</v>
      </c>
      <c r="H14" s="436">
        <v>-3.3774866666666665</v>
      </c>
      <c r="I14" s="437">
        <v>7.886727272727273E-2</v>
      </c>
      <c r="J14" s="438" t="s">
        <v>1</v>
      </c>
    </row>
    <row r="15" spans="1:10" ht="14.4" customHeight="1" x14ac:dyDescent="0.3">
      <c r="A15" s="434" t="s">
        <v>432</v>
      </c>
      <c r="B15" s="435" t="s">
        <v>284</v>
      </c>
      <c r="C15" s="436">
        <v>0</v>
      </c>
      <c r="D15" s="436">
        <v>0</v>
      </c>
      <c r="E15" s="436"/>
      <c r="F15" s="436" t="s">
        <v>429</v>
      </c>
      <c r="G15" s="436" t="s">
        <v>429</v>
      </c>
      <c r="H15" s="436" t="s">
        <v>429</v>
      </c>
      <c r="I15" s="437" t="s">
        <v>429</v>
      </c>
      <c r="J15" s="438" t="s">
        <v>1</v>
      </c>
    </row>
    <row r="16" spans="1:10" ht="14.4" customHeight="1" x14ac:dyDescent="0.3">
      <c r="A16" s="434" t="s">
        <v>432</v>
      </c>
      <c r="B16" s="435" t="s">
        <v>434</v>
      </c>
      <c r="C16" s="436">
        <v>7.6592200000000004</v>
      </c>
      <c r="D16" s="436">
        <v>4.9420200000000003</v>
      </c>
      <c r="E16" s="436"/>
      <c r="F16" s="436">
        <v>5.0537599999999996</v>
      </c>
      <c r="G16" s="436">
        <v>9</v>
      </c>
      <c r="H16" s="436">
        <v>-3.9462400000000004</v>
      </c>
      <c r="I16" s="437">
        <v>0.56152888888888886</v>
      </c>
      <c r="J16" s="438" t="s">
        <v>435</v>
      </c>
    </row>
    <row r="17" spans="1:10" ht="14.4" customHeight="1" x14ac:dyDescent="0.3">
      <c r="A17" s="434" t="s">
        <v>429</v>
      </c>
      <c r="B17" s="435" t="s">
        <v>429</v>
      </c>
      <c r="C17" s="436" t="s">
        <v>429</v>
      </c>
      <c r="D17" s="436" t="s">
        <v>429</v>
      </c>
      <c r="E17" s="436"/>
      <c r="F17" s="436" t="s">
        <v>429</v>
      </c>
      <c r="G17" s="436" t="s">
        <v>429</v>
      </c>
      <c r="H17" s="436" t="s">
        <v>429</v>
      </c>
      <c r="I17" s="437" t="s">
        <v>429</v>
      </c>
      <c r="J17" s="438" t="s">
        <v>436</v>
      </c>
    </row>
    <row r="18" spans="1:10" ht="14.4" customHeight="1" x14ac:dyDescent="0.3">
      <c r="A18" s="434" t="s">
        <v>427</v>
      </c>
      <c r="B18" s="435" t="s">
        <v>430</v>
      </c>
      <c r="C18" s="436">
        <v>7.6592200000000004</v>
      </c>
      <c r="D18" s="436">
        <v>4.9420200000000003</v>
      </c>
      <c r="E18" s="436"/>
      <c r="F18" s="436">
        <v>5.0537599999999996</v>
      </c>
      <c r="G18" s="436">
        <v>9</v>
      </c>
      <c r="H18" s="436">
        <v>-3.9462400000000004</v>
      </c>
      <c r="I18" s="437">
        <v>0.56152888888888886</v>
      </c>
      <c r="J18" s="438" t="s">
        <v>431</v>
      </c>
    </row>
  </sheetData>
  <mergeCells count="3">
    <mergeCell ref="F3:I3"/>
    <mergeCell ref="C4:D4"/>
    <mergeCell ref="A1:I1"/>
  </mergeCells>
  <conditionalFormatting sqref="F10 F19:F65537">
    <cfRule type="cellIs" dxfId="45" priority="18" stopIfTrue="1" operator="greaterThan">
      <formula>1</formula>
    </cfRule>
  </conditionalFormatting>
  <conditionalFormatting sqref="H5:H9">
    <cfRule type="expression" dxfId="44" priority="14">
      <formula>$H5&gt;0</formula>
    </cfRule>
  </conditionalFormatting>
  <conditionalFormatting sqref="I5:I9">
    <cfRule type="expression" dxfId="43" priority="15">
      <formula>$I5&gt;1</formula>
    </cfRule>
  </conditionalFormatting>
  <conditionalFormatting sqref="B5:B9">
    <cfRule type="expression" dxfId="42" priority="11">
      <formula>OR($J5="NS",$J5="SumaNS",$J5="Účet")</formula>
    </cfRule>
  </conditionalFormatting>
  <conditionalFormatting sqref="B5:D9 F5:I9">
    <cfRule type="expression" dxfId="41" priority="17">
      <formula>AND($J5&lt;&gt;"",$J5&lt;&gt;"mezeraKL")</formula>
    </cfRule>
  </conditionalFormatting>
  <conditionalFormatting sqref="B5:D9 F5:I9">
    <cfRule type="expression" dxfId="40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9" priority="13">
      <formula>OR($J5="SumaNS",$J5="NS")</formula>
    </cfRule>
  </conditionalFormatting>
  <conditionalFormatting sqref="A5:A9">
    <cfRule type="expression" dxfId="38" priority="9">
      <formula>AND($J5&lt;&gt;"mezeraKL",$J5&lt;&gt;"")</formula>
    </cfRule>
  </conditionalFormatting>
  <conditionalFormatting sqref="A5:A9">
    <cfRule type="expression" dxfId="37" priority="10">
      <formula>AND($J5&lt;&gt;"",$J5&lt;&gt;"mezeraKL")</formula>
    </cfRule>
  </conditionalFormatting>
  <conditionalFormatting sqref="H11:H18">
    <cfRule type="expression" dxfId="36" priority="5">
      <formula>$H11&gt;0</formula>
    </cfRule>
  </conditionalFormatting>
  <conditionalFormatting sqref="A11:A18">
    <cfRule type="expression" dxfId="35" priority="2">
      <formula>AND($J11&lt;&gt;"mezeraKL",$J11&lt;&gt;"")</formula>
    </cfRule>
  </conditionalFormatting>
  <conditionalFormatting sqref="I11:I18">
    <cfRule type="expression" dxfId="34" priority="6">
      <formula>$I11&gt;1</formula>
    </cfRule>
  </conditionalFormatting>
  <conditionalFormatting sqref="B11:B18">
    <cfRule type="expression" dxfId="33" priority="1">
      <formula>OR($J11="NS",$J11="SumaNS",$J11="Účet")</formula>
    </cfRule>
  </conditionalFormatting>
  <conditionalFormatting sqref="A11:D18 F11:I18">
    <cfRule type="expression" dxfId="32" priority="8">
      <formula>AND($J11&lt;&gt;"",$J11&lt;&gt;"mezeraKL")</formula>
    </cfRule>
  </conditionalFormatting>
  <conditionalFormatting sqref="B11:D18 F11:I18">
    <cfRule type="expression" dxfId="31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30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2.6640625" style="191" customWidth="1"/>
    <col min="15" max="16384" width="8.88671875" style="115"/>
  </cols>
  <sheetData>
    <row r="1" spans="1:14" ht="18.600000000000001" customHeight="1" thickBot="1" x14ac:dyDescent="0.4">
      <c r="A1" s="363" t="s">
        <v>142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</row>
    <row r="2" spans="1:14" ht="14.4" customHeight="1" thickBot="1" x14ac:dyDescent="0.35">
      <c r="A2" s="215" t="s">
        <v>273</v>
      </c>
      <c r="B2" s="62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59"/>
      <c r="D3" s="360"/>
      <c r="E3" s="360"/>
      <c r="F3" s="360"/>
      <c r="G3" s="360"/>
      <c r="H3" s="360"/>
      <c r="I3" s="360"/>
      <c r="J3" s="361" t="s">
        <v>113</v>
      </c>
      <c r="K3" s="362"/>
      <c r="L3" s="84">
        <f>IF(M3&lt;&gt;0,N3/M3,0)</f>
        <v>140.73075737468474</v>
      </c>
      <c r="M3" s="84">
        <f>SUBTOTAL(9,M5:M1048576)</f>
        <v>22.2</v>
      </c>
      <c r="N3" s="85">
        <f>SUBTOTAL(9,N5:N1048576)</f>
        <v>3124.2228137180009</v>
      </c>
    </row>
    <row r="4" spans="1:14" s="192" customFormat="1" ht="14.4" customHeight="1" thickBot="1" x14ac:dyDescent="0.35">
      <c r="A4" s="439" t="s">
        <v>4</v>
      </c>
      <c r="B4" s="440" t="s">
        <v>5</v>
      </c>
      <c r="C4" s="440" t="s">
        <v>0</v>
      </c>
      <c r="D4" s="440" t="s">
        <v>6</v>
      </c>
      <c r="E4" s="440" t="s">
        <v>7</v>
      </c>
      <c r="F4" s="440" t="s">
        <v>1</v>
      </c>
      <c r="G4" s="440" t="s">
        <v>8</v>
      </c>
      <c r="H4" s="440" t="s">
        <v>9</v>
      </c>
      <c r="I4" s="440" t="s">
        <v>10</v>
      </c>
      <c r="J4" s="441" t="s">
        <v>11</v>
      </c>
      <c r="K4" s="441" t="s">
        <v>12</v>
      </c>
      <c r="L4" s="442" t="s">
        <v>127</v>
      </c>
      <c r="M4" s="442" t="s">
        <v>13</v>
      </c>
      <c r="N4" s="443" t="s">
        <v>138</v>
      </c>
    </row>
    <row r="5" spans="1:14" ht="14.4" customHeight="1" x14ac:dyDescent="0.3">
      <c r="A5" s="446" t="s">
        <v>427</v>
      </c>
      <c r="B5" s="447" t="s">
        <v>428</v>
      </c>
      <c r="C5" s="448" t="s">
        <v>432</v>
      </c>
      <c r="D5" s="449" t="s">
        <v>472</v>
      </c>
      <c r="E5" s="448" t="s">
        <v>437</v>
      </c>
      <c r="F5" s="449" t="s">
        <v>473</v>
      </c>
      <c r="G5" s="448" t="s">
        <v>438</v>
      </c>
      <c r="H5" s="448" t="s">
        <v>439</v>
      </c>
      <c r="I5" s="448" t="s">
        <v>440</v>
      </c>
      <c r="J5" s="448" t="s">
        <v>441</v>
      </c>
      <c r="K5" s="448" t="s">
        <v>442</v>
      </c>
      <c r="L5" s="450">
        <v>87.570137201669723</v>
      </c>
      <c r="M5" s="450">
        <v>2</v>
      </c>
      <c r="N5" s="451">
        <v>175.14027440333945</v>
      </c>
    </row>
    <row r="6" spans="1:14" ht="14.4" customHeight="1" x14ac:dyDescent="0.3">
      <c r="A6" s="452" t="s">
        <v>427</v>
      </c>
      <c r="B6" s="453" t="s">
        <v>428</v>
      </c>
      <c r="C6" s="454" t="s">
        <v>432</v>
      </c>
      <c r="D6" s="455" t="s">
        <v>472</v>
      </c>
      <c r="E6" s="454" t="s">
        <v>437</v>
      </c>
      <c r="F6" s="455" t="s">
        <v>473</v>
      </c>
      <c r="G6" s="454" t="s">
        <v>438</v>
      </c>
      <c r="H6" s="454" t="s">
        <v>443</v>
      </c>
      <c r="I6" s="454" t="s">
        <v>444</v>
      </c>
      <c r="J6" s="454" t="s">
        <v>445</v>
      </c>
      <c r="K6" s="454" t="s">
        <v>446</v>
      </c>
      <c r="L6" s="456">
        <v>20.759</v>
      </c>
      <c r="M6" s="456">
        <v>6</v>
      </c>
      <c r="N6" s="457">
        <v>124.554</v>
      </c>
    </row>
    <row r="7" spans="1:14" ht="14.4" customHeight="1" x14ac:dyDescent="0.3">
      <c r="A7" s="452" t="s">
        <v>427</v>
      </c>
      <c r="B7" s="453" t="s">
        <v>428</v>
      </c>
      <c r="C7" s="454" t="s">
        <v>432</v>
      </c>
      <c r="D7" s="455" t="s">
        <v>472</v>
      </c>
      <c r="E7" s="454" t="s">
        <v>437</v>
      </c>
      <c r="F7" s="455" t="s">
        <v>473</v>
      </c>
      <c r="G7" s="454" t="s">
        <v>438</v>
      </c>
      <c r="H7" s="454" t="s">
        <v>447</v>
      </c>
      <c r="I7" s="454" t="s">
        <v>448</v>
      </c>
      <c r="J7" s="454" t="s">
        <v>449</v>
      </c>
      <c r="K7" s="454"/>
      <c r="L7" s="456">
        <v>115.0334067190619</v>
      </c>
      <c r="M7" s="456">
        <v>5</v>
      </c>
      <c r="N7" s="457">
        <v>575.16703359530948</v>
      </c>
    </row>
    <row r="8" spans="1:14" ht="14.4" customHeight="1" x14ac:dyDescent="0.3">
      <c r="A8" s="452" t="s">
        <v>427</v>
      </c>
      <c r="B8" s="453" t="s">
        <v>428</v>
      </c>
      <c r="C8" s="454" t="s">
        <v>432</v>
      </c>
      <c r="D8" s="455" t="s">
        <v>472</v>
      </c>
      <c r="E8" s="454" t="s">
        <v>437</v>
      </c>
      <c r="F8" s="455" t="s">
        <v>473</v>
      </c>
      <c r="G8" s="454" t="s">
        <v>438</v>
      </c>
      <c r="H8" s="454" t="s">
        <v>450</v>
      </c>
      <c r="I8" s="454" t="s">
        <v>448</v>
      </c>
      <c r="J8" s="454" t="s">
        <v>451</v>
      </c>
      <c r="K8" s="454" t="s">
        <v>452</v>
      </c>
      <c r="L8" s="456">
        <v>837.89945855232043</v>
      </c>
      <c r="M8" s="456">
        <v>1</v>
      </c>
      <c r="N8" s="457">
        <v>837.89945855232043</v>
      </c>
    </row>
    <row r="9" spans="1:14" ht="14.4" customHeight="1" x14ac:dyDescent="0.3">
      <c r="A9" s="452" t="s">
        <v>427</v>
      </c>
      <c r="B9" s="453" t="s">
        <v>428</v>
      </c>
      <c r="C9" s="454" t="s">
        <v>432</v>
      </c>
      <c r="D9" s="455" t="s">
        <v>472</v>
      </c>
      <c r="E9" s="454" t="s">
        <v>437</v>
      </c>
      <c r="F9" s="455" t="s">
        <v>473</v>
      </c>
      <c r="G9" s="454" t="s">
        <v>438</v>
      </c>
      <c r="H9" s="454" t="s">
        <v>453</v>
      </c>
      <c r="I9" s="454" t="s">
        <v>448</v>
      </c>
      <c r="J9" s="454" t="s">
        <v>454</v>
      </c>
      <c r="K9" s="454"/>
      <c r="L9" s="456">
        <v>562.54375533358973</v>
      </c>
      <c r="M9" s="456">
        <v>1</v>
      </c>
      <c r="N9" s="457">
        <v>562.54375533358973</v>
      </c>
    </row>
    <row r="10" spans="1:14" ht="14.4" customHeight="1" x14ac:dyDescent="0.3">
      <c r="A10" s="452" t="s">
        <v>427</v>
      </c>
      <c r="B10" s="453" t="s">
        <v>428</v>
      </c>
      <c r="C10" s="454" t="s">
        <v>432</v>
      </c>
      <c r="D10" s="455" t="s">
        <v>472</v>
      </c>
      <c r="E10" s="454" t="s">
        <v>437</v>
      </c>
      <c r="F10" s="455" t="s">
        <v>473</v>
      </c>
      <c r="G10" s="454" t="s">
        <v>438</v>
      </c>
      <c r="H10" s="454" t="s">
        <v>455</v>
      </c>
      <c r="I10" s="454" t="s">
        <v>448</v>
      </c>
      <c r="J10" s="454" t="s">
        <v>456</v>
      </c>
      <c r="K10" s="454"/>
      <c r="L10" s="456">
        <v>184.58130428080165</v>
      </c>
      <c r="M10" s="456">
        <v>2</v>
      </c>
      <c r="N10" s="457">
        <v>369.16260856160329</v>
      </c>
    </row>
    <row r="11" spans="1:14" ht="14.4" customHeight="1" x14ac:dyDescent="0.3">
      <c r="A11" s="452" t="s">
        <v>427</v>
      </c>
      <c r="B11" s="453" t="s">
        <v>428</v>
      </c>
      <c r="C11" s="454" t="s">
        <v>432</v>
      </c>
      <c r="D11" s="455" t="s">
        <v>472</v>
      </c>
      <c r="E11" s="454" t="s">
        <v>437</v>
      </c>
      <c r="F11" s="455" t="s">
        <v>473</v>
      </c>
      <c r="G11" s="454" t="s">
        <v>438</v>
      </c>
      <c r="H11" s="454" t="s">
        <v>457</v>
      </c>
      <c r="I11" s="454" t="s">
        <v>457</v>
      </c>
      <c r="J11" s="454" t="s">
        <v>458</v>
      </c>
      <c r="K11" s="454" t="s">
        <v>459</v>
      </c>
      <c r="L11" s="456">
        <v>73.099880144694126</v>
      </c>
      <c r="M11" s="456">
        <v>1</v>
      </c>
      <c r="N11" s="457">
        <v>73.099880144694126</v>
      </c>
    </row>
    <row r="12" spans="1:14" ht="14.4" customHeight="1" x14ac:dyDescent="0.3">
      <c r="A12" s="452" t="s">
        <v>427</v>
      </c>
      <c r="B12" s="453" t="s">
        <v>428</v>
      </c>
      <c r="C12" s="454" t="s">
        <v>432</v>
      </c>
      <c r="D12" s="455" t="s">
        <v>472</v>
      </c>
      <c r="E12" s="454" t="s">
        <v>437</v>
      </c>
      <c r="F12" s="455" t="s">
        <v>473</v>
      </c>
      <c r="G12" s="454" t="s">
        <v>460</v>
      </c>
      <c r="H12" s="454" t="s">
        <v>461</v>
      </c>
      <c r="I12" s="454" t="s">
        <v>462</v>
      </c>
      <c r="J12" s="454" t="s">
        <v>463</v>
      </c>
      <c r="K12" s="454" t="s">
        <v>464</v>
      </c>
      <c r="L12" s="456">
        <v>58.740000000000009</v>
      </c>
      <c r="M12" s="456">
        <v>2</v>
      </c>
      <c r="N12" s="457">
        <v>117.48000000000002</v>
      </c>
    </row>
    <row r="13" spans="1:14" ht="14.4" customHeight="1" x14ac:dyDescent="0.3">
      <c r="A13" s="452" t="s">
        <v>427</v>
      </c>
      <c r="B13" s="453" t="s">
        <v>428</v>
      </c>
      <c r="C13" s="454" t="s">
        <v>432</v>
      </c>
      <c r="D13" s="455" t="s">
        <v>472</v>
      </c>
      <c r="E13" s="454" t="s">
        <v>465</v>
      </c>
      <c r="F13" s="455" t="s">
        <v>474</v>
      </c>
      <c r="G13" s="454" t="s">
        <v>438</v>
      </c>
      <c r="H13" s="454" t="s">
        <v>466</v>
      </c>
      <c r="I13" s="454" t="s">
        <v>466</v>
      </c>
      <c r="J13" s="454" t="s">
        <v>467</v>
      </c>
      <c r="K13" s="454" t="s">
        <v>468</v>
      </c>
      <c r="L13" s="456">
        <v>89.61</v>
      </c>
      <c r="M13" s="456">
        <v>2</v>
      </c>
      <c r="N13" s="457">
        <v>179.22</v>
      </c>
    </row>
    <row r="14" spans="1:14" ht="14.4" customHeight="1" thickBot="1" x14ac:dyDescent="0.35">
      <c r="A14" s="458" t="s">
        <v>427</v>
      </c>
      <c r="B14" s="459" t="s">
        <v>428</v>
      </c>
      <c r="C14" s="460" t="s">
        <v>432</v>
      </c>
      <c r="D14" s="461" t="s">
        <v>472</v>
      </c>
      <c r="E14" s="460" t="s">
        <v>465</v>
      </c>
      <c r="F14" s="461" t="s">
        <v>474</v>
      </c>
      <c r="G14" s="460" t="s">
        <v>460</v>
      </c>
      <c r="H14" s="460" t="s">
        <v>469</v>
      </c>
      <c r="I14" s="460" t="s">
        <v>469</v>
      </c>
      <c r="J14" s="460" t="s">
        <v>470</v>
      </c>
      <c r="K14" s="460" t="s">
        <v>471</v>
      </c>
      <c r="L14" s="462">
        <v>549.77901563572175</v>
      </c>
      <c r="M14" s="462">
        <v>0.2</v>
      </c>
      <c r="N14" s="463">
        <v>109.95580312714435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5"/>
  </cols>
  <sheetData>
    <row r="1" spans="1:6" ht="37.200000000000003" customHeight="1" thickBot="1" x14ac:dyDescent="0.4">
      <c r="A1" s="364" t="s">
        <v>143</v>
      </c>
      <c r="B1" s="365"/>
      <c r="C1" s="365"/>
      <c r="D1" s="365"/>
      <c r="E1" s="365"/>
      <c r="F1" s="365"/>
    </row>
    <row r="2" spans="1:6" ht="14.4" customHeight="1" thickBot="1" x14ac:dyDescent="0.35">
      <c r="A2" s="215" t="s">
        <v>273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66" t="s">
        <v>115</v>
      </c>
      <c r="C3" s="367"/>
      <c r="D3" s="368" t="s">
        <v>114</v>
      </c>
      <c r="E3" s="367"/>
      <c r="F3" s="72" t="s">
        <v>3</v>
      </c>
    </row>
    <row r="4" spans="1:6" ht="14.4" customHeight="1" thickBot="1" x14ac:dyDescent="0.35">
      <c r="A4" s="464" t="s">
        <v>128</v>
      </c>
      <c r="B4" s="465" t="s">
        <v>14</v>
      </c>
      <c r="C4" s="466" t="s">
        <v>2</v>
      </c>
      <c r="D4" s="465" t="s">
        <v>14</v>
      </c>
      <c r="E4" s="466" t="s">
        <v>2</v>
      </c>
      <c r="F4" s="467" t="s">
        <v>14</v>
      </c>
    </row>
    <row r="5" spans="1:6" ht="14.4" customHeight="1" thickBot="1" x14ac:dyDescent="0.35">
      <c r="A5" s="476" t="s">
        <v>475</v>
      </c>
      <c r="B5" s="444"/>
      <c r="C5" s="468">
        <v>0</v>
      </c>
      <c r="D5" s="444">
        <v>227.43580312714437</v>
      </c>
      <c r="E5" s="468">
        <v>1</v>
      </c>
      <c r="F5" s="445">
        <v>227.43580312714437</v>
      </c>
    </row>
    <row r="6" spans="1:6" ht="14.4" customHeight="1" thickBot="1" x14ac:dyDescent="0.35">
      <c r="A6" s="472" t="s">
        <v>3</v>
      </c>
      <c r="B6" s="473"/>
      <c r="C6" s="474">
        <v>0</v>
      </c>
      <c r="D6" s="473">
        <v>227.43580312714437</v>
      </c>
      <c r="E6" s="474">
        <v>1</v>
      </c>
      <c r="F6" s="475">
        <v>227.43580312714437</v>
      </c>
    </row>
    <row r="7" spans="1:6" ht="14.4" customHeight="1" thickBot="1" x14ac:dyDescent="0.35"/>
    <row r="8" spans="1:6" ht="14.4" customHeight="1" x14ac:dyDescent="0.3">
      <c r="A8" s="482" t="s">
        <v>476</v>
      </c>
      <c r="B8" s="450"/>
      <c r="C8" s="469">
        <v>0</v>
      </c>
      <c r="D8" s="450">
        <v>117.48000000000002</v>
      </c>
      <c r="E8" s="469">
        <v>1</v>
      </c>
      <c r="F8" s="451">
        <v>117.48000000000002</v>
      </c>
    </row>
    <row r="9" spans="1:6" ht="14.4" customHeight="1" thickBot="1" x14ac:dyDescent="0.35">
      <c r="A9" s="483" t="s">
        <v>477</v>
      </c>
      <c r="B9" s="479"/>
      <c r="C9" s="480">
        <v>0</v>
      </c>
      <c r="D9" s="479">
        <v>109.95580312714435</v>
      </c>
      <c r="E9" s="480">
        <v>1</v>
      </c>
      <c r="F9" s="481">
        <v>109.95580312714435</v>
      </c>
    </row>
    <row r="10" spans="1:6" ht="14.4" customHeight="1" thickBot="1" x14ac:dyDescent="0.35">
      <c r="A10" s="472" t="s">
        <v>3</v>
      </c>
      <c r="B10" s="473"/>
      <c r="C10" s="474">
        <v>0</v>
      </c>
      <c r="D10" s="473">
        <v>227.43580312714437</v>
      </c>
      <c r="E10" s="474">
        <v>1</v>
      </c>
      <c r="F10" s="475">
        <v>227.43580312714437</v>
      </c>
    </row>
  </sheetData>
  <mergeCells count="3">
    <mergeCell ref="A1:F1"/>
    <mergeCell ref="B3:C3"/>
    <mergeCell ref="D3:E3"/>
  </mergeCells>
  <conditionalFormatting sqref="C5:C1048576">
    <cfRule type="cellIs" dxfId="2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1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2017-03-31T13:22:26Z</dcterms:modified>
</cp:coreProperties>
</file>