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19" r:id="rId15"/>
    <sheet name="ON Data" sheetId="418" state="hidden" r:id="rId16"/>
    <sheet name="ZV Vykáz.-A" sheetId="344" r:id="rId17"/>
    <sheet name="ZV Vykáz.-A Lékaři" sheetId="429" r:id="rId18"/>
    <sheet name="ZV Vykáz.-A Detail" sheetId="345" r:id="rId19"/>
    <sheet name="ZV Vykáz.-A Det.Lék." sheetId="430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9" hidden="1">'ZV Vykáz.-A Det.Lék.'!$A$5:$S$5</definedName>
    <definedName name="_xlnm._FilterDatabase" localSheetId="18" hidden="1">'ZV Vykáz.-A Detail'!$A$5:$R$5</definedName>
    <definedName name="_xlnm._FilterDatabase" localSheetId="17" hidden="1">'ZV Vykáz.-A Lékaři'!$A$4:$A$5</definedName>
    <definedName name="_xlnm._FilterDatabase" localSheetId="21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D20" i="414" l="1"/>
  <c r="E20" i="414" s="1"/>
  <c r="D19" i="414"/>
  <c r="A25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10" i="414"/>
  <c r="A8" i="414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23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7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AH6" i="419" l="1"/>
  <c r="AS6" i="419"/>
  <c r="AO6" i="419"/>
  <c r="AK6" i="419"/>
  <c r="AG6" i="419"/>
  <c r="AC6" i="419"/>
  <c r="Y6" i="419"/>
  <c r="U6" i="419"/>
  <c r="Q6" i="419"/>
  <c r="M6" i="419"/>
  <c r="I6" i="419"/>
  <c r="E6" i="419"/>
  <c r="N6" i="419"/>
  <c r="AR6" i="419"/>
  <c r="AN6" i="419"/>
  <c r="AJ6" i="419"/>
  <c r="AF6" i="419"/>
  <c r="AB6" i="419"/>
  <c r="X6" i="419"/>
  <c r="T6" i="419"/>
  <c r="P6" i="419"/>
  <c r="L6" i="419"/>
  <c r="H6" i="419"/>
  <c r="AL6" i="419"/>
  <c r="Z6" i="419"/>
  <c r="R6" i="419"/>
  <c r="F6" i="419"/>
  <c r="AQ6" i="419"/>
  <c r="AM6" i="419"/>
  <c r="AI6" i="419"/>
  <c r="AE6" i="419"/>
  <c r="AA6" i="419"/>
  <c r="W6" i="419"/>
  <c r="S6" i="419"/>
  <c r="O6" i="419"/>
  <c r="K6" i="419"/>
  <c r="G6" i="419"/>
  <c r="AP6" i="419"/>
  <c r="AD6" i="419"/>
  <c r="V6" i="419"/>
  <c r="J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1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D17" i="414"/>
  <c r="D4" i="414"/>
  <c r="C14" i="414"/>
  <c r="D14" i="414"/>
  <c r="C13" i="414" l="1"/>
  <c r="C7" i="414"/>
  <c r="D10" i="414" l="1"/>
  <c r="E10" i="414" s="1"/>
  <c r="E21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T3" i="347"/>
  <c r="R3" i="347"/>
  <c r="P3" i="347"/>
  <c r="O3" i="347"/>
  <c r="N3" i="347"/>
  <c r="S3" i="347" s="1"/>
  <c r="M3" i="347"/>
  <c r="Q3" i="347" s="1"/>
  <c r="N3" i="220"/>
  <c r="L3" i="220" s="1"/>
  <c r="C22" i="414"/>
  <c r="D22" i="414"/>
  <c r="Q3" i="345" l="1"/>
  <c r="R3" i="345"/>
  <c r="U3" i="347"/>
  <c r="I12" i="339"/>
  <c r="I13" i="339" s="1"/>
  <c r="F13" i="339"/>
  <c r="E13" i="339"/>
  <c r="E15" i="339" s="1"/>
  <c r="H12" i="339"/>
  <c r="G12" i="339"/>
  <c r="A4" i="383"/>
  <c r="A27" i="383"/>
  <c r="A26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J13" i="339" l="1"/>
  <c r="B15" i="339"/>
  <c r="H13" i="339"/>
  <c r="F15" i="339"/>
  <c r="E14" i="414"/>
  <c r="E4" i="414"/>
  <c r="C6" i="340"/>
  <c r="D6" i="340" s="1"/>
  <c r="B4" i="340"/>
  <c r="G13" i="339"/>
  <c r="B12" i="340" l="1"/>
  <c r="B13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<sst xmlns="http://schemas.openxmlformats.org/spreadsheetml/2006/main" count="6164" uniqueCount="1122">
  <si>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</si>
  <si>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</si>
  <si>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</si>
  <si>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</si>
  <si>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</si>
  <si>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</si>
  <si>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</si>
  <si>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</si>
  <si>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</si>
  <si>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</si>
  <si>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</si>
  <si>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</si>
  <si>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</si>
  <si>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</si>
  <si>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</si>
  <si>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</si>
  <si>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</si>
  <si>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</si>
  <si>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</si>
  <si>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</si>
  <si>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</si>
  <si>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</si>
  <si>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</si>
  <si>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</si>
  <si>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</si>
  <si>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</si>
  <si>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</si>
  <si>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</si>
  <si>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</si>
  <si>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</si>
  <si>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</si>
  <si>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</si>
  <si>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</si>
  <si>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</si>
  <si>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</si>
  <si>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</si>
  <si>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</si>
  <si>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</si>
  <si>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</si>
  <si>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</si>
  <si>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</si>
  <si>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</si>
  <si>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</si>
  <si>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</si>
  <si>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</si>
  <si>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</si>
  <si>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</si>
  <si>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</si>
  <si>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</si>
  <si>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</si>
  <si>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</si>
  <si>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</si>
  <si>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</si>
  <si>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</si>
  <si>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</si>
  <si>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</si>
  <si>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</si>
  <si>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</si>
  <si>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</si>
  <si>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</si>
  <si>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</si>
  <si>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</si>
  <si>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</si>
  <si>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</si>
  <si>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</si>
  <si>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</si>
  <si>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</si>
  <si>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</si>
  <si>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</si>
  <si>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</si>
  <si>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</si>
  <si>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</si>
  <si>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</si>
  <si>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</si>
  <si>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</si>
  <si>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</si>
  <si>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</si>
  <si>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</si>
  <si>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</si>
  <si>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</si>
  <si>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</si>
  <si>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</si>
  <si>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</si>
  <si>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</si>
  <si>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</si>
  <si>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</si>
  <si>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</si>
  <si>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</si>
  <si>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</si>
  <si>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</si>
  <si>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</si>
  <si>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</si>
  <si>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</si>
  <si>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</si>
  <si>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</si>
  <si>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</si>
  <si>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</si>
  <si>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</si>
  <si>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</si>
  <si>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</si>
  <si>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</si>
  <si>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</si>
  <si>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</si>
  <si>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</si>
  <si>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</si>
  <si>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</si>
  <si>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</si>
  <si>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</si>
  <si>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</si>
  <si>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</si>
  <si>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</si>
  <si>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</si>
  <si>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</si>
  <si>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</si>
  <si>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</si>
  <si>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</si>
  <si>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</si>
  <si>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</si>
  <si>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</si>
  <si>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</si>
  <si>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</si>
  <si>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</si>
  <si>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</si>
  <si>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</si>
  <si>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</si>
  <si>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</si>
  <si>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</si>
  <si>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</si>
  <si>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</si>
  <si>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</si>
  <si>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</si>
  <si>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</si>
  <si>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</si>
  <si>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</si>
  <si>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</si>
  <si>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</si>
  <si>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</si>
  <si>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</si>
  <si>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</si>
  <si>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</si>
  <si>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</si>
  <si>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</si>
  <si>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</si>
  <si>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</si>
  <si>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</si>
  <si>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</si>
  <si>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</si>
  <si>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</si>
  <si>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</si>
  <si>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</si>
  <si>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</si>
  <si>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</si>
  <si>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</si>
  <si>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</si>
  <si>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</si>
  <si>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</si>
  <si>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</si>
  <si>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</si>
  <si>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</si>
  <si>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</si>
  <si>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</si>
  <si>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</si>
  <si>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</si>
  <si>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</si>
  <si>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</si>
  <si>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</si>
  <si>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</si>
  <si>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</si>
  <si>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</si>
  <si>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</si>
  <si>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</si>
  <si>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</si>
  <si>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</si>
  <si>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</si>
  <si>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</si>
  <si>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</si>
  <si>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</si>
  <si>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</si>
  <si>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</si>
  <si>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</si>
  <si>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</si>
  <si>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</si>
  <si>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</si>
  <si>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</si>
  <si>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</si>
  <si>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</si>
  <si>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</si>
  <si>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</si>
  <si>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</si>
  <si>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</si>
  <si>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</si>
  <si>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</si>
  <si>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</si>
  <si>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</si>
  <si>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</si>
  <si>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</si>
  <si>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</si>
  <si>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</si>
  <si>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</si>
  <si>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</si>
  <si>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</si>
  <si>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</si>
  <si>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</si>
  <si>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</si>
  <si>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</si>
  <si>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</si>
  <si>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</si>
  <si>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</si>
  <si>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</si>
  <si>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</si>
  <si>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</si>
  <si>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</si>
  <si>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</si>
  <si>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</si>
  <si>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</si>
  <si>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</si>
  <si>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</si>
  <si>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</si>
  <si>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</si>
  <si>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</si>
  <si>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</si>
  <si>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</si>
  <si>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</si>
  <si>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</si>
  <si>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</si>
  <si>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</si>
  <si>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</si>
  <si>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</si>
  <si>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</si>
  <si>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</si>
  <si>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</si>
  <si>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</si>
  <si>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</si>
  <si>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</si>
  <si>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</si>
  <si>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</si>
  <si>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</si>
  <si>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</si>
  <si>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</si>
  <si>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</si>
  <si>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</si>
  <si>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</si>
  <si>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</si>
  <si>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</si>
  <si>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</si>
  <si>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</si>
  <si>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</si>
  <si>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</si>
  <si>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</si>
  <si>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</si>
  <si>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</si>
  <si>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</si>
  <si>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</si>
  <si>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</si>
  <si>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</si>
  <si>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</si>
  <si>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</si>
  <si>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</si>
  <si>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</si>
  <si>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</si>
  <si>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</si>
  <si>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</si>
  <si>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</si>
  <si>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</si>
  <si>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</si>
  <si>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</si>
  <si>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</si>
  <si>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</si>
  <si>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</si>
  <si>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</si>
  <si>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</si>
  <si>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</si>
  <si>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</si>
  <si>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</si>
  <si>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</si>
  <si>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</si>
  <si>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</si>
  <si>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</si>
  <si>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</si>
  <si>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</si>
  <si>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</si>
  <si>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</si>
  <si>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</si>
  <si>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</si>
  <si>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</si>
  <si>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</si>
  <si>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</si>
  <si>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</si>
  <si>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</si>
  <si>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</si>
  <si>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</si>
  <si>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</si>
  <si>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</si>
  <si>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</si>
  <si>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</si>
  <si>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</si>
  <si>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</si>
  <si>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</si>
  <si>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</si>
  <si>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</si>
  <si>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</si>
  <si>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</si>
  <si>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</si>
  <si>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</si>
  <si>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</si>
  <si>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</si>
  <si>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</si>
  <si>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</si>
  <si>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</si>
  <si>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</si>
  <si>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</si>
  <si>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</si>
  <si>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</si>
  <si>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</si>
  <si>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</si>
  <si>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</si>
  <si>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</si>
  <si>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</si>
  <si>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</si>
  <si>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</si>
  <si>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</si>
  <si>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</si>
  <si>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</si>
  <si>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</si>
  <si>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</si>
  <si>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</si>
  <si>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</si>
  <si>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</si>
  <si>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</si>
  <si>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</si>
  <si>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</si>
  <si>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</si>
  <si>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</si>
  <si>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</si>
  <si>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</si>
  <si>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</si>
  <si>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</si>
  <si>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</si>
  <si>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</si>
  <si>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</si>
  <si>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</si>
  <si>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</si>
  <si>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</si>
  <si>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</si>
  <si>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</si>
  <si>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</si>
  <si>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</si>
  <si>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</si>
  <si>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</si>
  <si>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</si>
  <si>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</si>
  <si>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</si>
  <si>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</si>
  <si>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</si>
  <si>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</si>
  <si>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</si>
  <si>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</si>
  <si>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</si>
  <si>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</si>
  <si>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</si>
  <si>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</si>
  <si>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</si>
  <si>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</si>
  <si>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</si>
  <si>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</si>
  <si>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</si>
  <si>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</si>
  <si>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</si>
  <si>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</si>
  <si>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</si>
  <si>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</si>
  <si>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</si>
  <si>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</si>
  <si>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</si>
  <si>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</si>
  <si>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</si>
  <si>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</si>
  <si>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</si>
  <si>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</si>
  <si>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</si>
  <si>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</si>
  <si>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</si>
  <si>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</si>
  <si>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</si>
  <si>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</si>
  <si>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</si>
  <si>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</si>
  <si>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</si>
  <si>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</si>
  <si>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</si>
  <si>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</si>
  <si>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</si>
  <si>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</si>
  <si>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</si>
  <si>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</si>
  <si>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</si>
  <si>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</si>
  <si>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</si>
  <si>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</si>
  <si>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</si>
  <si>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</si>
  <si>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</si>
  <si>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</si>
  <si>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</si>
  <si>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</si>
  <si>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</si>
  <si>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</si>
  <si>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</si>
  <si>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</si>
  <si>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</si>
  <si>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</si>
  <si>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</si>
  <si>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</si>
  <si>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</si>
  <si>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</si>
  <si>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</si>
  <si>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</si>
  <si>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</si>
  <si>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</si>
  <si>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</si>
  <si>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</si>
  <si>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</si>
  <si>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</si>
  <si>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</si>
  <si>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</si>
  <si>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</si>
  <si>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</si>
  <si>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</si>
  <si>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</si>
  <si>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</si>
  <si>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</si>
  <si>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</si>
  <si>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</si>
  <si>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</si>
  <si>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</si>
  <si>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</si>
  <si>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</si>
  <si>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</si>
  <si>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</si>
  <si>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</si>
  <si>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</si>
  <si>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</si>
  <si>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</si>
  <si>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</si>
  <si>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</si>
  <si>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</si>
  <si>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</si>
  <si>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</si>
  <si>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</si>
  <si>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</si>
  <si>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</si>
  <si>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41</t>
  </si>
  <si>
    <t>Ústav imunologie</t>
  </si>
  <si>
    <t/>
  </si>
  <si>
    <t>Ústav imunologie Celkem</t>
  </si>
  <si>
    <t>SumaKL</t>
  </si>
  <si>
    <t>4141</t>
  </si>
  <si>
    <t>imunologie - laboratoř</t>
  </si>
  <si>
    <t>imunologie - laboratoř Celkem</t>
  </si>
  <si>
    <t>SumaNS</t>
  </si>
  <si>
    <t>mezeraNS</t>
  </si>
  <si>
    <t>50113001</t>
  </si>
  <si>
    <t>O</t>
  </si>
  <si>
    <t>394712</t>
  </si>
  <si>
    <t>0</t>
  </si>
  <si>
    <t>IR  AQUA STERILE OPLACH.1x1000 ml ECOTAINER</t>
  </si>
  <si>
    <t>IR OPLACH</t>
  </si>
  <si>
    <t>397412</t>
  </si>
  <si>
    <t>IR  0.9%SOD.CHLOR.FOR IRR. 6X1000 ML</t>
  </si>
  <si>
    <t>IR-Fres. 6X1000 ML 15%</t>
  </si>
  <si>
    <t>990474</t>
  </si>
  <si>
    <t>Desprej 5l</t>
  </si>
  <si>
    <t>50113009</t>
  </si>
  <si>
    <t>159496</t>
  </si>
  <si>
    <t>59496</t>
  </si>
  <si>
    <t>TELEBRIX GASTRO</t>
  </si>
  <si>
    <t>POR+RCT SOL 1X100ML/30GM I</t>
  </si>
  <si>
    <t>IMUNO: imunologie - laboratoř</t>
  </si>
  <si>
    <t>Lékárna - léčiva</t>
  </si>
  <si>
    <t>Lékárna - RTG diagnostika</t>
  </si>
  <si>
    <t>41 - Ústav imunologie</t>
  </si>
  <si>
    <t>4141 - imunologie - laboratoř</t>
  </si>
  <si>
    <t>HVLP</t>
  </si>
  <si>
    <t>89301414</t>
  </si>
  <si>
    <t>89301414 Celkem</t>
  </si>
  <si>
    <t xml:space="preserve"> </t>
  </si>
  <si>
    <t>* Legenda</t>
  </si>
  <si>
    <t>DIAPZT = Pomůcky pro diabetiky, jejichž název začíná slovem "Pumpa"</t>
  </si>
  <si>
    <t>Ambrůzová Zuzana</t>
  </si>
  <si>
    <t>Cefprozil</t>
  </si>
  <si>
    <t>199796</t>
  </si>
  <si>
    <t>CEFZIL</t>
  </si>
  <si>
    <t>500MG TBL FLM 10</t>
  </si>
  <si>
    <t>Preskripce a záchyt receptů a poukazů - orientační přehled</t>
  </si>
  <si>
    <t>ZA314</t>
  </si>
  <si>
    <t>Obinadlo idealast-haft 8 cm x   4 m 9311113</t>
  </si>
  <si>
    <t>ZA413</t>
  </si>
  <si>
    <t>Kompresa gáza 10 x 10 cm/100 ks nesterilní 06003</t>
  </si>
  <si>
    <t>ZA444</t>
  </si>
  <si>
    <t>Tampon nesterilní stáčený 20 x 19 cm bez RTG nití bal. á 100 ks 1320300404</t>
  </si>
  <si>
    <t>ZA446</t>
  </si>
  <si>
    <t>Vata buničitá přířezy 20 x 30 cm 1230200129</t>
  </si>
  <si>
    <t>ZF352</t>
  </si>
  <si>
    <t>Náplast transpore bílá 2,50 cm x 9,14 m bal. á 12 ks 1534-1</t>
  </si>
  <si>
    <t>ZH012</t>
  </si>
  <si>
    <t>Náplast micropore 2,50 cm x 9,10 m 840W-1</t>
  </si>
  <si>
    <t>ZN366</t>
  </si>
  <si>
    <t>Náplast poinjekční elastická tkaná jednotl. baleno 19 mm x 72 mm P-CURE1972ELAST</t>
  </si>
  <si>
    <t>ZN475</t>
  </si>
  <si>
    <t>Obinadlo elastické universal   8 cm x 5 m 1323100312</t>
  </si>
  <si>
    <t>ZB758</t>
  </si>
  <si>
    <t>Zkumavka 9 ml K3 edta NR 455036</t>
  </si>
  <si>
    <t>ZB763</t>
  </si>
  <si>
    <t>Zkumavka červená 9 ml 455092</t>
  </si>
  <si>
    <t>ZB771</t>
  </si>
  <si>
    <t>Držák jehly základní 450201</t>
  </si>
  <si>
    <t>ZC768</t>
  </si>
  <si>
    <t>Zkumavka 10 ml sterilní bal. á 1250 ks 1009/TE/SG/ES</t>
  </si>
  <si>
    <t>ZF091</t>
  </si>
  <si>
    <t>Zátka k plast. zkumavkám FLME21301</t>
  </si>
  <si>
    <t>ZF159</t>
  </si>
  <si>
    <t>Nádoba na kontaminovaný odpad 1 l 15-0002</t>
  </si>
  <si>
    <t>ZF192</t>
  </si>
  <si>
    <t>Nádoba na kontaminovaný odpad 4 l 15-0004</t>
  </si>
  <si>
    <t>ZK696</t>
  </si>
  <si>
    <t>Zkumavka jednorázová PS 5 ml 13 x 75 mm nesterilní bal. á 500 ks bez uzávěru FLME21057</t>
  </si>
  <si>
    <t>ZB789</t>
  </si>
  <si>
    <t>Víčko k mikrotitr.destičce 400921</t>
  </si>
  <si>
    <t>ZE837</t>
  </si>
  <si>
    <t>Pipeta pasteurova 3 ml nesterilní bal. á 500 ks 331690270550</t>
  </si>
  <si>
    <t>ZK726</t>
  </si>
  <si>
    <t>Nádoba na kontaminovaný odpad PBS 12 l 2041300431302 (I003501400)</t>
  </si>
  <si>
    <t>ZK695</t>
  </si>
  <si>
    <t>Zkumavka jednorázová PP 5 ml bal. á 250 ks bez uzávěru FLME21010</t>
  </si>
  <si>
    <t>ZH774</t>
  </si>
  <si>
    <t>Zátka PE s lamelou pr. 11/12 mm BSA062</t>
  </si>
  <si>
    <t>ZJ188</t>
  </si>
  <si>
    <t>Zkumavka S-Monovette® 4,9 ml Serum+gel 04.1935</t>
  </si>
  <si>
    <t>ZO932</t>
  </si>
  <si>
    <t>Zkumavka 13 ml PP 101/16,5 mm bílý uzávěr sterilní 60.540.012</t>
  </si>
  <si>
    <t>ZB290</t>
  </si>
  <si>
    <t>Špička žlutá 2-100ul bal. á 500 ks 70.760.002</t>
  </si>
  <si>
    <t>ZB366</t>
  </si>
  <si>
    <t>Zkumavka PS 10 ml nesterilní á 2000 ks 400912</t>
  </si>
  <si>
    <t>ZC590</t>
  </si>
  <si>
    <t>Zkumavky centrifugační 50 ml á 360 ks 91050</t>
  </si>
  <si>
    <t>ZC774</t>
  </si>
  <si>
    <t>Sklo podložní řezané, čiré 76 x 26 mm bal. á 50 ks VTRA635901000076</t>
  </si>
  <si>
    <t>ZC852</t>
  </si>
  <si>
    <t>Mikrozkumavka eppendorf 1,5 ml bal. á 1000 ks 72.690.001</t>
  </si>
  <si>
    <t>ZE262</t>
  </si>
  <si>
    <t>Špička žlutá 1-200ul bal. á 1000 ks FLME28052</t>
  </si>
  <si>
    <t>ZI560</t>
  </si>
  <si>
    <t>Špička žlutá dlouhá manžeta gilson 1 - 200 ul FLME28063</t>
  </si>
  <si>
    <t>ZC380</t>
  </si>
  <si>
    <t>Špička eppendorf Tips 0,5-20 ul bal. á 1000 ks 0030000854</t>
  </si>
  <si>
    <t>ZB605</t>
  </si>
  <si>
    <t>Špička modrá krátká manžeta 1108</t>
  </si>
  <si>
    <t>ZI765</t>
  </si>
  <si>
    <t>Zkumavka PS 15 ml sterilní se zátkou s kulatým dnem bal. á 20 ks Z1331000020115</t>
  </si>
  <si>
    <t>ZF178</t>
  </si>
  <si>
    <t>Zkumavka 2 ml bal.á 500 ks U346500.N</t>
  </si>
  <si>
    <t>ZN439</t>
  </si>
  <si>
    <t>Zkumavka mikrocentrifugační 1,7 ml bez víčka superClear biol-proof bal. á 500 ks 211-0032</t>
  </si>
  <si>
    <t>ZB861</t>
  </si>
  <si>
    <t>Špička pipetovací standard Tips 0,1-10 ul 0030000811</t>
  </si>
  <si>
    <t>ZH993</t>
  </si>
  <si>
    <t>Mikrozkumavka eppendorf DNA LoBind Tubes 1,5 ml bal. á 250 ks 0030108051</t>
  </si>
  <si>
    <t>ZO336</t>
  </si>
  <si>
    <t>Destička 96 jamek k analyzátoru ABI3500 MicroAmp Optical 96 well Reaction Plate bal. á 20 ks 4306737</t>
  </si>
  <si>
    <t>ZO868</t>
  </si>
  <si>
    <t>Nástavec Finntip stepper 5 ml/100-500 ul bal. á 50 ks Z1331094042000</t>
  </si>
  <si>
    <t>ZO908</t>
  </si>
  <si>
    <t>Špička pipetovací Sartorius Biohit 50-1200ul 10 x 96 ks nesterilní single tray PP 4059.9017</t>
  </si>
  <si>
    <t>ZB768</t>
  </si>
  <si>
    <t>Jehla vakuová 216/38 mm zelená 450076</t>
  </si>
  <si>
    <t>ZB769</t>
  </si>
  <si>
    <t>Jehla vakuová 206/38 mm žlutá 450077</t>
  </si>
  <si>
    <t>ZM292</t>
  </si>
  <si>
    <t>Rukavice nitril sempercare bez p. M bal. á 200 ks 30803</t>
  </si>
  <si>
    <t>ZM291</t>
  </si>
  <si>
    <t>Rukavice nitril sempercare bez p. S bal. á 200 ks 30802</t>
  </si>
  <si>
    <t>804536</t>
  </si>
  <si>
    <t xml:space="preserve">-Diagnostikum připr. </t>
  </si>
  <si>
    <t>801696</t>
  </si>
  <si>
    <t>-Lyzační roztok (HEM) pH=7,29 1000 ml</t>
  </si>
  <si>
    <t>DC166</t>
  </si>
  <si>
    <t>ETHANOL 99,5%,  P.A.</t>
  </si>
  <si>
    <t>DE462</t>
  </si>
  <si>
    <t>ImmunoCAP Stop Solution</t>
  </si>
  <si>
    <t>DC495</t>
  </si>
  <si>
    <t>F77 BETA-LACTOGLOBULIN</t>
  </si>
  <si>
    <t>DC242</t>
  </si>
  <si>
    <t>RF-AGM</t>
  </si>
  <si>
    <t>DB910</t>
  </si>
  <si>
    <t>F13 PEANUT</t>
  </si>
  <si>
    <t>DG018</t>
  </si>
  <si>
    <t>FITC Hi Sens IgG conj with EB</t>
  </si>
  <si>
    <t>DA351</t>
  </si>
  <si>
    <t>MASTAZYME ANA Profile HJS</t>
  </si>
  <si>
    <t>DC176</t>
  </si>
  <si>
    <t>G12 SECALE CEREALE</t>
  </si>
  <si>
    <t>DB003</t>
  </si>
  <si>
    <t>Monkey Endomysium 12 slides x 8 wells</t>
  </si>
  <si>
    <t>DA857</t>
  </si>
  <si>
    <t>Immunoscan CCPlus</t>
  </si>
  <si>
    <t>DA634</t>
  </si>
  <si>
    <t>Anti-tissue Transglutaminase IgG</t>
  </si>
  <si>
    <t>DF586</t>
  </si>
  <si>
    <t>Anti-tissue Transglutaminase IgA</t>
  </si>
  <si>
    <t>DE422</t>
  </si>
  <si>
    <t>GENOVISION HLA-B7 II.</t>
  </si>
  <si>
    <t>DD407</t>
  </si>
  <si>
    <t>ANTI-NUCLEOSOME</t>
  </si>
  <si>
    <t>DB871</t>
  </si>
  <si>
    <t>D1 DERMATOPHAGOIDES PTERONYSSI</t>
  </si>
  <si>
    <t>DG017</t>
  </si>
  <si>
    <t>NOVA Lite HEp-2 ANA 20x12 wells</t>
  </si>
  <si>
    <t>DC949</t>
  </si>
  <si>
    <t>Liver5 (M2/LKM1/LC1/SLA/f-Actin)</t>
  </si>
  <si>
    <t>DB889</t>
  </si>
  <si>
    <t>M6 ALTERNARIA ALTERNATA</t>
  </si>
  <si>
    <t>DB879</t>
  </si>
  <si>
    <t>E5 DOG DANDER</t>
  </si>
  <si>
    <t>DE458</t>
  </si>
  <si>
    <t>ImmunoCAP Spec. IgE Conjugate,400</t>
  </si>
  <si>
    <t>DE463</t>
  </si>
  <si>
    <t>ImmunoCAP Development Solution</t>
  </si>
  <si>
    <t>DB909</t>
  </si>
  <si>
    <t>F17 HAZEL NUT</t>
  </si>
  <si>
    <t>DE460</t>
  </si>
  <si>
    <t>ImmunoCAP Spec.IgE Curve Control</t>
  </si>
  <si>
    <t>DB875</t>
  </si>
  <si>
    <t>H1 GREER LABS.INC.</t>
  </si>
  <si>
    <t>DC182</t>
  </si>
  <si>
    <t>F3 FISH /COD/</t>
  </si>
  <si>
    <t>DB869</t>
  </si>
  <si>
    <t>GX1 /G3,4,5,6,8/</t>
  </si>
  <si>
    <t>DC178</t>
  </si>
  <si>
    <t>M3 ASPERGILLUS FUMIGATUS</t>
  </si>
  <si>
    <t>DC498</t>
  </si>
  <si>
    <t>WASHING SOLUTION UNICAP</t>
  </si>
  <si>
    <t>DB872</t>
  </si>
  <si>
    <t>D2 DERMATOPHAGOIDES FARINAE</t>
  </si>
  <si>
    <t>DB876</t>
  </si>
  <si>
    <t>E1 CAT DANDER</t>
  </si>
  <si>
    <t>DB899</t>
  </si>
  <si>
    <t>F5 RYE</t>
  </si>
  <si>
    <t>DB886</t>
  </si>
  <si>
    <t>I3 VESPULA SPP.,COMMON WASP</t>
  </si>
  <si>
    <t>DB864</t>
  </si>
  <si>
    <t>T2 ALNUS INCANA</t>
  </si>
  <si>
    <t>DG091</t>
  </si>
  <si>
    <t>FITC IgA Conjugate no EB</t>
  </si>
  <si>
    <t>DB863</t>
  </si>
  <si>
    <t>T3 BETULA VERRUCOSA</t>
  </si>
  <si>
    <t>DC189</t>
  </si>
  <si>
    <t>S-PHADIATOP</t>
  </si>
  <si>
    <t>DB997</t>
  </si>
  <si>
    <t>ANTI-EINZELSTRANG DNA</t>
  </si>
  <si>
    <t>DF911</t>
  </si>
  <si>
    <t>Anti PR3 (ANCA -C)</t>
  </si>
  <si>
    <t>DB893</t>
  </si>
  <si>
    <t>FX5E /F1,2,3,4,13,14/</t>
  </si>
  <si>
    <t>DB885</t>
  </si>
  <si>
    <t>I1 APIS MELLIFERA,HONEY BEEN</t>
  </si>
  <si>
    <t>DC232</t>
  </si>
  <si>
    <t>e82 Rabbit epithelium</t>
  </si>
  <si>
    <t>DF912</t>
  </si>
  <si>
    <t>Anti MPO (ANCA -P)</t>
  </si>
  <si>
    <t>DC554</t>
  </si>
  <si>
    <t>Anti-IgE ImmunoCAPś f. UNICAP</t>
  </si>
  <si>
    <t>DB865</t>
  </si>
  <si>
    <t>W6 ARTEMISIA VULGARIS</t>
  </si>
  <si>
    <t>DB888</t>
  </si>
  <si>
    <t>M2 CLADOSPORIUM HERBARUM</t>
  </si>
  <si>
    <t>DC858</t>
  </si>
  <si>
    <t>PRIMER</t>
  </si>
  <si>
    <t>DA350</t>
  </si>
  <si>
    <t>MASTAZYME ENA Screen 7</t>
  </si>
  <si>
    <t>DF822</t>
  </si>
  <si>
    <t>EIA Gliadin DA IgG</t>
  </si>
  <si>
    <t>DB971</t>
  </si>
  <si>
    <t>DILUENS 5000 ML</t>
  </si>
  <si>
    <t>DD310</t>
  </si>
  <si>
    <t>N-IgG 5 ML</t>
  </si>
  <si>
    <t>DB895</t>
  </si>
  <si>
    <t>F1 EGG WHITE</t>
  </si>
  <si>
    <t>DB908</t>
  </si>
  <si>
    <t>F14 SOYA BEAN</t>
  </si>
  <si>
    <t>DA635</t>
  </si>
  <si>
    <t>ANTI-dsDNA IgG</t>
  </si>
  <si>
    <t>DB898</t>
  </si>
  <si>
    <t>F4 WHEAT</t>
  </si>
  <si>
    <t>DB972</t>
  </si>
  <si>
    <t>N/T-PROT.KTR.SL/M</t>
  </si>
  <si>
    <t>DC405</t>
  </si>
  <si>
    <t>N-ALPHA1-ANTITRYPS</t>
  </si>
  <si>
    <t>DE017</t>
  </si>
  <si>
    <t>AlleleSEQR DRB-1 (25 tests)</t>
  </si>
  <si>
    <t>DF772</t>
  </si>
  <si>
    <t>Arrow DNA Blood kit 500, 96preps</t>
  </si>
  <si>
    <t>DB562</t>
  </si>
  <si>
    <t>N Supplementary Reagent / Precipitation 5ML</t>
  </si>
  <si>
    <t>DC184</t>
  </si>
  <si>
    <t>F47 GARLIC</t>
  </si>
  <si>
    <t>DB565</t>
  </si>
  <si>
    <t>N SUPPLEMENTARY REAGENT</t>
  </si>
  <si>
    <t>DB190</t>
  </si>
  <si>
    <t>Genovision A*01</t>
  </si>
  <si>
    <t>DE532</t>
  </si>
  <si>
    <t>Goodpasture (GBM), 24t</t>
  </si>
  <si>
    <t>DB970</t>
  </si>
  <si>
    <t>N REAKTION BUFFER 5000 ML</t>
  </si>
  <si>
    <t>DD271</t>
  </si>
  <si>
    <t>BN II ADITIV 100 ml</t>
  </si>
  <si>
    <t>DB564</t>
  </si>
  <si>
    <t>N LATEX IGE MONO REAGENT</t>
  </si>
  <si>
    <t>DF339</t>
  </si>
  <si>
    <t>N Latex RF Kit 4x75</t>
  </si>
  <si>
    <t>DB907</t>
  </si>
  <si>
    <t>F49 APPLE</t>
  </si>
  <si>
    <t>DB896</t>
  </si>
  <si>
    <t>F2 MILK</t>
  </si>
  <si>
    <t>DG008</t>
  </si>
  <si>
    <t>EIA Milk IgA</t>
  </si>
  <si>
    <t>DC191</t>
  </si>
  <si>
    <t>N-PROTEIN-STAND-SL</t>
  </si>
  <si>
    <t>DG009</t>
  </si>
  <si>
    <t>EIA Milk IgG</t>
  </si>
  <si>
    <t>DE179</t>
  </si>
  <si>
    <t>W1 AMBROSIA ELATIOR</t>
  </si>
  <si>
    <t>DC085</t>
  </si>
  <si>
    <t>FACS Flow sheath fluid</t>
  </si>
  <si>
    <t>DD057</t>
  </si>
  <si>
    <t>N-IGA 5 ML</t>
  </si>
  <si>
    <t>DC287</t>
  </si>
  <si>
    <t>F48 ONION</t>
  </si>
  <si>
    <t>DD235</t>
  </si>
  <si>
    <t>N-IgM 5 ml</t>
  </si>
  <si>
    <t>DF821</t>
  </si>
  <si>
    <t>EIA Gliadin DA IgA</t>
  </si>
  <si>
    <t>DB903</t>
  </si>
  <si>
    <t>F33 ORANGE</t>
  </si>
  <si>
    <t>DC572</t>
  </si>
  <si>
    <t>M5 CANDIDA ALBICANS /YEAST/</t>
  </si>
  <si>
    <t>DE018</t>
  </si>
  <si>
    <t>AlleleSEQR HLA-B (25 tests)</t>
  </si>
  <si>
    <t>DD026</t>
  </si>
  <si>
    <t>K82*LATEX,HEVEA BRAZILIENSIS</t>
  </si>
  <si>
    <t>DB215</t>
  </si>
  <si>
    <t>CD3/CD16+CD56</t>
  </si>
  <si>
    <t>DC496</t>
  </si>
  <si>
    <t>F78 CASEIN</t>
  </si>
  <si>
    <t>DB788</t>
  </si>
  <si>
    <t>GENOVISION HLA-CW*07</t>
  </si>
  <si>
    <t>DC101</t>
  </si>
  <si>
    <t>CD4/CD8</t>
  </si>
  <si>
    <t>DE737</t>
  </si>
  <si>
    <t>Immuno-Trol Control</t>
  </si>
  <si>
    <t>DC115</t>
  </si>
  <si>
    <t>M1 Penicillium notatum</t>
  </si>
  <si>
    <t>DC286</t>
  </si>
  <si>
    <t>F79 GLUTEN</t>
  </si>
  <si>
    <t>DB792</t>
  </si>
  <si>
    <t>GENOVISION HLA-A3</t>
  </si>
  <si>
    <t>DB410</t>
  </si>
  <si>
    <t>CD3 APC</t>
  </si>
  <si>
    <t>DG069</t>
  </si>
  <si>
    <t>MicroVue C1 Inhibitor Plus EIA Kit Microvue Compl</t>
  </si>
  <si>
    <t>DC175</t>
  </si>
  <si>
    <t>T12 SALIX CAPREA</t>
  </si>
  <si>
    <t>DC181</t>
  </si>
  <si>
    <t>F75 EGG YOLK</t>
  </si>
  <si>
    <t>DB891</t>
  </si>
  <si>
    <t>C2 PENICILLOYL V</t>
  </si>
  <si>
    <t>DG809</t>
  </si>
  <si>
    <t>N AS IgG1</t>
  </si>
  <si>
    <t>DG811</t>
  </si>
  <si>
    <t>N-latex IgG3</t>
  </si>
  <si>
    <t>DG810</t>
  </si>
  <si>
    <t>N AS IgG2</t>
  </si>
  <si>
    <t>DG812</t>
  </si>
  <si>
    <t>N-latex IgG4</t>
  </si>
  <si>
    <t>DB890</t>
  </si>
  <si>
    <t>C1 PENICILLOYL G</t>
  </si>
  <si>
    <t>DG943</t>
  </si>
  <si>
    <t>N-C4 1x5 ml</t>
  </si>
  <si>
    <t>DG942</t>
  </si>
  <si>
    <t>N-C3c 1x5 ml</t>
  </si>
  <si>
    <t>DB806</t>
  </si>
  <si>
    <t>GENOVISION HLA-B18</t>
  </si>
  <si>
    <t>DE558</t>
  </si>
  <si>
    <t>QuantiFERON-TB GOLD Plus zkumavky (50xTB1/TB2/Nil/Mit)</t>
  </si>
  <si>
    <t>DA557</t>
  </si>
  <si>
    <t>HLA Wipe test</t>
  </si>
  <si>
    <t>DE464</t>
  </si>
  <si>
    <t>ImmunoCAP Maint.Solut.Kit</t>
  </si>
  <si>
    <t>DB292</t>
  </si>
  <si>
    <t>GENOVISION A*02</t>
  </si>
  <si>
    <t>DA641</t>
  </si>
  <si>
    <t>ImmunoCAP Spec. IgE Calibrator Strip 0-100</t>
  </si>
  <si>
    <t>DC702</t>
  </si>
  <si>
    <t>F76 ALPHA-LACTALBUMIN</t>
  </si>
  <si>
    <t>DB866</t>
  </si>
  <si>
    <t>W8 TARAXACUM VULGARE</t>
  </si>
  <si>
    <t>DB906</t>
  </si>
  <si>
    <t>F84 KIWI FRUIT</t>
  </si>
  <si>
    <t>DD486</t>
  </si>
  <si>
    <t>GENOVISION DNA Size Marker</t>
  </si>
  <si>
    <t>DH288</t>
  </si>
  <si>
    <t>Sterile water 1000 ml PP</t>
  </si>
  <si>
    <t>DD436</t>
  </si>
  <si>
    <t>E83 SWINE EPITHELIUM</t>
  </si>
  <si>
    <t>DA805</t>
  </si>
  <si>
    <t>Formamide 100ml</t>
  </si>
  <si>
    <t>DD201</t>
  </si>
  <si>
    <t>GENOVISION HLA DR*16</t>
  </si>
  <si>
    <t>DE770</t>
  </si>
  <si>
    <t>POP-6™ Polymer for 3500/3500xL Genetic Analyzers, 96 samples</t>
  </si>
  <si>
    <t>DE682</t>
  </si>
  <si>
    <t>Conditioning Reagent, 3500 Series</t>
  </si>
  <si>
    <t>DE425</t>
  </si>
  <si>
    <t>Development Soln. (6x100 Det.)</t>
  </si>
  <si>
    <t>DC494</t>
  </si>
  <si>
    <t>C6 AMOXICILLOYL</t>
  </si>
  <si>
    <t>DE114</t>
  </si>
  <si>
    <t>AlleleSEQR HLA-C (25 tests)</t>
  </si>
  <si>
    <t>DE113</t>
  </si>
  <si>
    <t>AlleleSEQR DQB1 (25 tests)</t>
  </si>
  <si>
    <t>DD559</t>
  </si>
  <si>
    <t>AlleleSEQR HLA-A (25 testů)</t>
  </si>
  <si>
    <t>DF160</t>
  </si>
  <si>
    <t>LabScreen Mixed Class I+II 100 test</t>
  </si>
  <si>
    <t>DD728</t>
  </si>
  <si>
    <t>GENOVISION HLA-B44</t>
  </si>
  <si>
    <t>DC213</t>
  </si>
  <si>
    <t>TAQ DNA POLYMERAZA 1,1 10X500U</t>
  </si>
  <si>
    <t>DH110</t>
  </si>
  <si>
    <t>ImmunoCap Allergen f233</t>
  </si>
  <si>
    <t>DA918</t>
  </si>
  <si>
    <t>ImmunoCAP Allergen w203</t>
  </si>
  <si>
    <t>DH111</t>
  </si>
  <si>
    <t>ImmunoCap Allergen f232</t>
  </si>
  <si>
    <t>DF149</t>
  </si>
  <si>
    <t>Specific IgG4 Curve Controls</t>
  </si>
  <si>
    <t>DE177</t>
  </si>
  <si>
    <t>F10 SESAME SEED</t>
  </si>
  <si>
    <t>DF122</t>
  </si>
  <si>
    <t>GENOVISION DRB1*01</t>
  </si>
  <si>
    <t>DB776</t>
  </si>
  <si>
    <t>GENOVISION DRB1*08</t>
  </si>
  <si>
    <t>DB900</t>
  </si>
  <si>
    <t>F7 OAT</t>
  </si>
  <si>
    <t>DB795</t>
  </si>
  <si>
    <t>GENOVISION HLA-A11</t>
  </si>
  <si>
    <t>DF455</t>
  </si>
  <si>
    <t>Genovision DRB1*03</t>
  </si>
  <si>
    <t>DE323</t>
  </si>
  <si>
    <t>GENOVISION HLA DRB1*04</t>
  </si>
  <si>
    <t>DB787</t>
  </si>
  <si>
    <t>GENOVISION HLA-CW*06</t>
  </si>
  <si>
    <t>DC562</t>
  </si>
  <si>
    <t>GENOVISION DRB*13</t>
  </si>
  <si>
    <t>DF594</t>
  </si>
  <si>
    <t>Rosette Sep HLA T cell Enrichment Cocktail</t>
  </si>
  <si>
    <t>DC290</t>
  </si>
  <si>
    <t>F224 POPPY SEED</t>
  </si>
  <si>
    <t>DD444</t>
  </si>
  <si>
    <t>F35 POTATO</t>
  </si>
  <si>
    <t>DD443</t>
  </si>
  <si>
    <t>F242*CHERRY/PRUNUS AVIUM/</t>
  </si>
  <si>
    <t>DH097</t>
  </si>
  <si>
    <t>ImmunoCap Allergen o214</t>
  </si>
  <si>
    <t>DC185</t>
  </si>
  <si>
    <t>F44 STRAWBERRY</t>
  </si>
  <si>
    <t>DG813</t>
  </si>
  <si>
    <t>Cleaner SCS</t>
  </si>
  <si>
    <t>DG670</t>
  </si>
  <si>
    <t>Immunocap Specific IgA/IgG SD</t>
  </si>
  <si>
    <t>DD153</t>
  </si>
  <si>
    <t>BORIC ACID FOR MOLECULAR BIOLOGY 1kg</t>
  </si>
  <si>
    <t>DD437</t>
  </si>
  <si>
    <t>E81 SHEEP EPITHELIUM</t>
  </si>
  <si>
    <t>DD469</t>
  </si>
  <si>
    <t>W9 Plantago lanceolata</t>
  </si>
  <si>
    <t>DC802</t>
  </si>
  <si>
    <t>GENOVISION B*49</t>
  </si>
  <si>
    <t>DB905</t>
  </si>
  <si>
    <t>F259 GRAPE /VITIS VINIFERA/</t>
  </si>
  <si>
    <t>DF698</t>
  </si>
  <si>
    <t>Donor Adult Bovine Serum, US Origin, Heat Inactivated</t>
  </si>
  <si>
    <t>DC192</t>
  </si>
  <si>
    <t>N/T RHEUMATOLOGY CONTROL. SL/2 3X1 ML</t>
  </si>
  <si>
    <t>DE952</t>
  </si>
  <si>
    <t>IgG1 APC</t>
  </si>
  <si>
    <t>DC721</t>
  </si>
  <si>
    <t>CD3/Anti-HLA-DR</t>
  </si>
  <si>
    <t>DH080</t>
  </si>
  <si>
    <t>TRI Reagent</t>
  </si>
  <si>
    <t>DA681</t>
  </si>
  <si>
    <t>GENOVISION DRB1*11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</si>
  <si>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</si>
  <si>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</si>
  <si>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</si>
  <si>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</si>
  <si>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</si>
  <si>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</si>
  <si>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</si>
  <si>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</si>
  <si>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</si>
  <si>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</si>
  <si>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</si>
  <si>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</si>
  <si>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</si>
  <si>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</si>
  <si>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Ambulantní péče ve vyjmenovaných odbornostech (§9) *</t>
  </si>
  <si>
    <t>813 - Laboratoř alergologická a imunologická</t>
  </si>
  <si>
    <t>Zdravotní výkony vykázané na pracovišti v rámci ambulantní péče *</t>
  </si>
  <si>
    <t>beze jména</t>
  </si>
  <si>
    <t>4143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</si>
  <si>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</si>
  <si>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</si>
  <si>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</si>
  <si>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</si>
  <si>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813</t>
  </si>
  <si>
    <t>V</t>
  </si>
  <si>
    <t>82241</t>
  </si>
  <si>
    <t>IN VITRO STIMULACE T LYMFOCYTŮ SPECIFICKÝMI ANTIGE</t>
  </si>
  <si>
    <t>86213</t>
  </si>
  <si>
    <t>URČOVÁNÍ HLA ANTIGENŮ I. TŘÍDY - KOMBINOVANÝ SET</t>
  </si>
  <si>
    <t>86217</t>
  </si>
  <si>
    <t>URČOVÁNÍ HLA-B 27</t>
  </si>
  <si>
    <t>86243</t>
  </si>
  <si>
    <t>URČOVÁNÍ HLA HAPLOTYPŮ A GENOTYPU Z RODINNÉ STUDIE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</si>
  <si>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</si>
  <si>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</si>
  <si>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</si>
  <si>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</si>
  <si>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</si>
  <si>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</si>
  <si>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</si>
  <si>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</si>
  <si>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</si>
  <si>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</si>
  <si>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</si>
  <si>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</si>
  <si>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</si>
  <si>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</si>
  <si>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</si>
  <si>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</si>
  <si>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</si>
  <si>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</si>
  <si>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</si>
  <si>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POTRAVINOVÝM ALERGENŮM ELISA</t>
  </si>
  <si>
    <t>91237</t>
  </si>
  <si>
    <t>STANOVENÍ SPECIFICKÉHO IgE PROTI SMĚSÍM ALERGENŮ -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</si>
  <si>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</si>
  <si>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</si>
  <si>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</si>
  <si>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</si>
  <si>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</si>
  <si>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</si>
  <si>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</si>
  <si>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</si>
  <si>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</si>
  <si>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</si>
  <si>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</si>
  <si>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</si>
  <si>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</si>
  <si>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</si>
  <si>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</si>
  <si>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</si>
  <si>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</si>
  <si>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</si>
  <si>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</si>
  <si>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</si>
  <si>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</si>
  <si>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</si>
  <si>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</si>
  <si>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</si>
  <si>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</si>
  <si>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</si>
  <si>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</si>
  <si>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</si>
  <si>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</si>
  <si>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</si>
  <si>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</si>
  <si>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</si>
  <si>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</si>
  <si>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</si>
  <si>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</si>
  <si>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</si>
  <si>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</si>
  <si>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</si>
  <si>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</si>
  <si>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>IZOLACE A UCHOVÁNÍ LIDSKÉ DNA (RNA)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</si>
  <si>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</si>
  <si>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</si>
  <si>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</si>
  <si>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</si>
  <si>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</si>
  <si>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</si>
  <si>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</si>
  <si>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</si>
  <si>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</si>
  <si>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</si>
  <si>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</si>
  <si>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</si>
  <si>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</si>
  <si>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</si>
  <si>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</si>
  <si>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</si>
  <si>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</si>
  <si>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</si>
  <si>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</si>
  <si>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</si>
  <si>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</si>
  <si>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</si>
  <si>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</si>
  <si>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</si>
  <si>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</si>
  <si>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</si>
  <si>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</si>
  <si>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</si>
  <si>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</si>
  <si>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</si>
  <si>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91255</t>
  </si>
  <si>
    <t>STANOVENÍ ANTI ss-DNA Ab ELISA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</si>
  <si>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</si>
  <si>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</si>
  <si>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</si>
  <si>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</si>
  <si>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</si>
  <si>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</si>
  <si>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</si>
  <si>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</si>
  <si>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94199</t>
  </si>
  <si>
    <t>AMPLIFIKACE METODOU PCR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</si>
  <si>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</si>
  <si>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</si>
  <si>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</si>
  <si>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</si>
  <si>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</si>
  <si>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</si>
  <si>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</si>
  <si>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>PCR ANALÝZA LIDSKÉ DNA</t>
  </si>
  <si>
    <t>91199</t>
  </si>
  <si>
    <t>STANOVENÍ IgA PROTI POTRAVINOVÝM ALERGENŮM ELISA</t>
  </si>
  <si>
    <t>91235</t>
  </si>
  <si>
    <t>STANOVENÍ SPECIFICKÉHO IgE PROTI JEDNOTLIVÝM ALERG</t>
  </si>
  <si>
    <t>94215</t>
  </si>
  <si>
    <t>DOT BLOTTING DNA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</si>
  <si>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</si>
  <si>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</si>
  <si>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</si>
  <si>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</si>
  <si>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</si>
  <si>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</si>
  <si>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</si>
  <si>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</si>
  <si>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86419</t>
  </si>
  <si>
    <t>ZMRAŽOVÁNÍ A UCHOVÁVÁNÍ LYMFOCYTŮ STUPŇOVITĚ</t>
  </si>
  <si>
    <t>91273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</si>
  <si>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</si>
  <si>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</si>
  <si>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</si>
  <si>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</si>
  <si>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</si>
  <si>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</si>
  <si>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</si>
  <si>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 RID</t>
  </si>
  <si>
    <t>91363</t>
  </si>
  <si>
    <t>STANOVENÍ AKTIVITY INHIBITORU C1 ESTERÁZY</t>
  </si>
  <si>
    <t>91579</t>
  </si>
  <si>
    <t>MOLEKULÁRNĚ GENETICKÁ TYPIZACE JEDNOHO HLA GENU (L</t>
  </si>
  <si>
    <t>91581</t>
  </si>
  <si>
    <t>MOLEKULÁRNE GENETICKÁ TYPIZACE JEDNOHO HLA GENU (L</t>
  </si>
  <si>
    <t>91197</t>
  </si>
  <si>
    <t>STANOVENÍ CYTOKINU ELISA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</si>
  <si>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</si>
  <si>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lékaře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</si>
  <si>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</si>
  <si>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</si>
  <si>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</si>
  <si>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</si>
  <si>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</si>
  <si>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</si>
  <si>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</si>
  <si>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</si>
  <si>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</si>
  <si>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</si>
  <si>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</si>
  <si>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</si>
  <si>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</si>
  <si>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</si>
  <si>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</si>
  <si>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</si>
  <si>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</si>
  <si>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</si>
  <si>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</si>
  <si>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</si>
  <si>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</si>
  <si>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</si>
  <si>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</si>
  <si>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</si>
  <si>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</si>
  <si>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</si>
  <si>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</si>
  <si>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</si>
  <si>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</si>
  <si>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</si>
  <si>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14</t>
  </si>
  <si>
    <t>16</t>
  </si>
  <si>
    <t>17</t>
  </si>
  <si>
    <t>20</t>
  </si>
  <si>
    <t>21</t>
  </si>
  <si>
    <t>30</t>
  </si>
  <si>
    <t>31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</si>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</sst>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0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5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4" fillId="8" borderId="74" xfId="0" applyNumberFormat="1" applyFont="1" applyFill="1" applyBorder="1"/>
    <xf numFmtId="3" fontId="54" fillId="8" borderId="73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7" xfId="0" applyNumberFormat="1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3" fontId="56" fillId="2" borderId="80" xfId="0" applyNumberFormat="1" applyFont="1" applyFill="1" applyBorder="1" applyAlignment="1">
      <alignment horizontal="center" vertical="center" wrapText="1"/>
    </xf>
    <xf numFmtId="0" fontId="56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6" fillId="2" borderId="98" xfId="0" applyNumberFormat="1" applyFont="1" applyFill="1" applyBorder="1" applyAlignment="1">
      <alignment horizontal="center" vertical="center" wrapText="1"/>
    </xf>
    <xf numFmtId="173" fontId="40" fillId="4" borderId="84" xfId="0" applyNumberFormat="1" applyFont="1" applyFill="1" applyBorder="1" applyAlignment="1"/>
    <xf numFmtId="173" fontId="40" fillId="4" borderId="77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6" xfId="0" applyNumberFormat="1" applyFont="1" applyBorder="1"/>
    <xf numFmtId="173" fontId="33" fillId="0" borderId="90" xfId="0" applyNumberFormat="1" applyFont="1" applyBorder="1"/>
    <xf numFmtId="173" fontId="33" fillId="0" borderId="88" xfId="0" applyNumberFormat="1" applyFont="1" applyBorder="1"/>
    <xf numFmtId="173" fontId="33" fillId="0" borderId="89" xfId="0" applyNumberFormat="1" applyFont="1" applyBorder="1"/>
    <xf numFmtId="173" fontId="40" fillId="0" borderId="97" xfId="0" applyNumberFormat="1" applyFont="1" applyBorder="1"/>
    <xf numFmtId="173" fontId="33" fillId="0" borderId="98" xfId="0" applyNumberFormat="1" applyFont="1" applyBorder="1"/>
    <xf numFmtId="173" fontId="33" fillId="0" borderId="81" xfId="0" applyNumberFormat="1" applyFont="1" applyBorder="1"/>
    <xf numFmtId="173" fontId="33" fillId="0" borderId="82" xfId="0" applyNumberFormat="1" applyFont="1" applyBorder="1"/>
    <xf numFmtId="173" fontId="40" fillId="2" borderId="99" xfId="0" applyNumberFormat="1" applyFont="1" applyFill="1" applyBorder="1" applyAlignment="1"/>
    <xf numFmtId="173" fontId="40" fillId="2" borderId="77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2" xfId="0" applyNumberFormat="1" applyFont="1" applyBorder="1"/>
    <xf numFmtId="173" fontId="33" fillId="0" borderId="93" xfId="0" applyNumberFormat="1" applyFont="1" applyBorder="1"/>
    <xf numFmtId="173" fontId="33" fillId="0" borderId="94" xfId="0" applyNumberFormat="1" applyFont="1" applyBorder="1"/>
    <xf numFmtId="173" fontId="40" fillId="0" borderId="84" xfId="0" applyNumberFormat="1" applyFont="1" applyBorder="1"/>
    <xf numFmtId="173" fontId="33" fillId="0" borderId="100" xfId="0" applyNumberFormat="1" applyFont="1" applyBorder="1"/>
    <xf numFmtId="173" fontId="33" fillId="0" borderId="78" xfId="0" applyNumberFormat="1" applyFont="1" applyBorder="1"/>
    <xf numFmtId="174" fontId="40" fillId="2" borderId="84" xfId="0" applyNumberFormat="1" applyFont="1" applyFill="1" applyBorder="1" applyAlignment="1"/>
    <xf numFmtId="174" fontId="33" fillId="2" borderId="77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87" xfId="0" applyNumberFormat="1" applyFont="1" applyBorder="1"/>
    <xf numFmtId="174" fontId="33" fillId="0" borderId="88" xfId="0" applyNumberFormat="1" applyFont="1" applyBorder="1"/>
    <xf numFmtId="174" fontId="33" fillId="0" borderId="90" xfId="0" applyNumberFormat="1" applyFont="1" applyBorder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4" xfId="0" applyNumberFormat="1" applyFont="1" applyFill="1" applyBorder="1" applyAlignment="1">
      <alignment horizontal="center"/>
    </xf>
    <xf numFmtId="175" fontId="40" fillId="0" borderId="92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9" xfId="0" applyFont="1" applyFill="1" applyBorder="1"/>
    <xf numFmtId="0" fontId="33" fillId="0" borderId="90" xfId="0" applyFont="1" applyBorder="1" applyAlignment="1"/>
    <xf numFmtId="9" fontId="33" fillId="0" borderId="88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6" xfId="0" applyNumberFormat="1" applyFont="1" applyBorder="1"/>
    <xf numFmtId="9" fontId="33" fillId="0" borderId="90" xfId="0" applyNumberFormat="1" applyFont="1" applyBorder="1"/>
    <xf numFmtId="9" fontId="33" fillId="0" borderId="88" xfId="0" applyNumberFormat="1" applyFont="1" applyBorder="1"/>
    <xf numFmtId="9" fontId="33" fillId="0" borderId="89" xfId="0" applyNumberFormat="1" applyFont="1" applyBorder="1"/>
    <xf numFmtId="0" fontId="56" fillId="2" borderId="98" xfId="0" applyFont="1" applyFill="1" applyBorder="1" applyAlignment="1">
      <alignment horizontal="center" vertical="center" wrapText="1"/>
    </xf>
    <xf numFmtId="174" fontId="33" fillId="2" borderId="100" xfId="0" applyNumberFormat="1" applyFont="1" applyFill="1" applyBorder="1" applyAlignment="1"/>
    <xf numFmtId="173" fontId="40" fillId="4" borderId="100" xfId="0" applyNumberFormat="1" applyFont="1" applyFill="1" applyBorder="1" applyAlignment="1"/>
    <xf numFmtId="173" fontId="40" fillId="2" borderId="100" xfId="0" applyNumberFormat="1" applyFont="1" applyFill="1" applyBorder="1" applyAlignment="1"/>
    <xf numFmtId="49" fontId="38" fillId="2" borderId="88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7" xfId="0" applyFont="1" applyBorder="1"/>
    <xf numFmtId="0" fontId="32" fillId="2" borderId="75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2" borderId="78" xfId="0" applyNumberFormat="1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/>
    <xf numFmtId="9" fontId="3" fillId="2" borderId="110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1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3" fontId="34" fillId="9" borderId="112" xfId="0" applyNumberFormat="1" applyFont="1" applyFill="1" applyBorder="1" applyAlignment="1">
      <alignment horizontal="right" vertical="top"/>
    </xf>
    <xf numFmtId="3" fontId="34" fillId="9" borderId="113" xfId="0" applyNumberFormat="1" applyFont="1" applyFill="1" applyBorder="1" applyAlignment="1">
      <alignment horizontal="right" vertical="top"/>
    </xf>
    <xf numFmtId="176" fontId="34" fillId="9" borderId="114" xfId="0" applyNumberFormat="1" applyFont="1" applyFill="1" applyBorder="1" applyAlignment="1">
      <alignment horizontal="right" vertical="top"/>
    </xf>
    <xf numFmtId="3" fontId="34" fillId="0" borderId="112" xfId="0" applyNumberFormat="1" applyFont="1" applyBorder="1" applyAlignment="1">
      <alignment horizontal="right" vertical="top"/>
    </xf>
    <xf numFmtId="176" fontId="34" fillId="9" borderId="115" xfId="0" applyNumberFormat="1" applyFont="1" applyFill="1" applyBorder="1" applyAlignment="1">
      <alignment horizontal="right" vertical="top"/>
    </xf>
    <xf numFmtId="3" fontId="36" fillId="9" borderId="117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0" fontId="36" fillId="9" borderId="119" xfId="0" applyFont="1" applyFill="1" applyBorder="1" applyAlignment="1">
      <alignment horizontal="right" vertical="top"/>
    </xf>
    <xf numFmtId="3" fontId="36" fillId="0" borderId="117" xfId="0" applyNumberFormat="1" applyFont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0" fontId="34" fillId="9" borderId="114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176" fontId="36" fillId="9" borderId="119" xfId="0" applyNumberFormat="1" applyFont="1" applyFill="1" applyBorder="1" applyAlignment="1">
      <alignment horizontal="right" vertical="top"/>
    </xf>
    <xf numFmtId="176" fontId="36" fillId="9" borderId="120" xfId="0" applyNumberFormat="1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0" fontId="36" fillId="0" borderId="123" xfId="0" applyFont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0" fontId="38" fillId="10" borderId="111" xfId="0" applyFont="1" applyFill="1" applyBorder="1" applyAlignment="1">
      <alignment vertical="top"/>
    </xf>
    <xf numFmtId="0" fontId="38" fillId="10" borderId="111" xfId="0" applyFont="1" applyFill="1" applyBorder="1" applyAlignment="1">
      <alignment vertical="top" indent="2"/>
    </xf>
    <xf numFmtId="0" fontId="38" fillId="10" borderId="111" xfId="0" applyFont="1" applyFill="1" applyBorder="1" applyAlignment="1">
      <alignment vertical="top" indent="4"/>
    </xf>
    <xf numFmtId="0" fontId="39" fillId="10" borderId="116" xfId="0" applyFont="1" applyFill="1" applyBorder="1" applyAlignment="1">
      <alignment vertical="top" indent="6"/>
    </xf>
    <xf numFmtId="0" fontId="38" fillId="10" borderId="111" xfId="0" applyFont="1" applyFill="1" applyBorder="1" applyAlignment="1">
      <alignment vertical="top" indent="8"/>
    </xf>
    <xf numFmtId="0" fontId="39" fillId="10" borderId="116" xfId="0" applyFont="1" applyFill="1" applyBorder="1" applyAlignment="1">
      <alignment vertical="top" indent="2"/>
    </xf>
    <xf numFmtId="0" fontId="38" fillId="10" borderId="111" xfId="0" applyFont="1" applyFill="1" applyBorder="1" applyAlignment="1">
      <alignment vertical="top" indent="6"/>
    </xf>
    <xf numFmtId="0" fontId="39" fillId="10" borderId="116" xfId="0" applyFont="1" applyFill="1" applyBorder="1" applyAlignment="1">
      <alignment vertical="top" indent="4"/>
    </xf>
    <xf numFmtId="0" fontId="39" fillId="10" borderId="116" xfId="0" applyFont="1" applyFill="1" applyBorder="1" applyAlignment="1">
      <alignment vertical="top"/>
    </xf>
    <xf numFmtId="0" fontId="33" fillId="10" borderId="111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5" xfId="53" applyNumberFormat="1" applyFont="1" applyFill="1" applyBorder="1" applyAlignment="1">
      <alignment horizontal="left"/>
    </xf>
    <xf numFmtId="164" fontId="32" fillId="2" borderId="126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0" fontId="33" fillId="0" borderId="77" xfId="0" applyFont="1" applyFill="1" applyBorder="1"/>
    <xf numFmtId="0" fontId="33" fillId="0" borderId="78" xfId="0" applyFont="1" applyFill="1" applyBorder="1"/>
    <xf numFmtId="164" fontId="33" fillId="0" borderId="78" xfId="0" applyNumberFormat="1" applyFont="1" applyFill="1" applyBorder="1"/>
    <xf numFmtId="164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" fillId="2" borderId="125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40" fillId="0" borderId="107" xfId="0" applyFont="1" applyFill="1" applyBorder="1"/>
    <xf numFmtId="0" fontId="40" fillId="0" borderId="106" xfId="0" applyFont="1" applyFill="1" applyBorder="1" applyAlignment="1">
      <alignment horizontal="left" indent="1"/>
    </xf>
    <xf numFmtId="9" fontId="33" fillId="0" borderId="100" xfId="0" applyNumberFormat="1" applyFont="1" applyFill="1" applyBorder="1"/>
    <xf numFmtId="9" fontId="33" fillId="0" borderId="98" xfId="0" applyNumberFormat="1" applyFont="1" applyFill="1" applyBorder="1"/>
    <xf numFmtId="3" fontId="33" fillId="0" borderId="77" xfId="0" applyNumberFormat="1" applyFont="1" applyFill="1" applyBorder="1"/>
    <xf numFmtId="3" fontId="33" fillId="0" borderId="80" xfId="0" applyNumberFormat="1" applyFont="1" applyFill="1" applyBorder="1"/>
    <xf numFmtId="9" fontId="33" fillId="0" borderId="104" xfId="0" applyNumberFormat="1" applyFont="1" applyFill="1" applyBorder="1"/>
    <xf numFmtId="9" fontId="33" fillId="0" borderId="103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3" fillId="0" borderId="26" xfId="0" applyFont="1" applyFill="1" applyBorder="1"/>
    <xf numFmtId="0" fontId="33" fillId="0" borderId="19" xfId="0" applyFont="1" applyFill="1" applyBorder="1"/>
    <xf numFmtId="0" fontId="40" fillId="10" borderId="26" xfId="0" applyFont="1" applyFill="1" applyBorder="1"/>
    <xf numFmtId="0" fontId="3" fillId="2" borderId="94" xfId="80" applyFont="1" applyFill="1" applyBorder="1"/>
    <xf numFmtId="3" fontId="33" fillId="0" borderId="19" xfId="0" applyNumberFormat="1" applyFont="1" applyFill="1" applyBorder="1"/>
    <xf numFmtId="0" fontId="33" fillId="0" borderId="27" xfId="0" applyFont="1" applyFill="1" applyBorder="1"/>
    <xf numFmtId="3" fontId="33" fillId="0" borderId="27" xfId="0" applyNumberFormat="1" applyFont="1" applyFill="1" applyBorder="1"/>
    <xf numFmtId="3" fontId="33" fillId="0" borderId="53" xfId="0" applyNumberFormat="1" applyFont="1" applyFill="1" applyBorder="1"/>
    <xf numFmtId="3" fontId="33" fillId="0" borderId="28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7" xfId="0" applyFont="1" applyFill="1" applyBorder="1" applyAlignment="1">
      <alignment horizontal="right"/>
    </xf>
    <xf numFmtId="0" fontId="33" fillId="0" borderId="27" xfId="0" applyFont="1" applyFill="1" applyBorder="1" applyAlignment="1">
      <alignment horizontal="left"/>
    </xf>
    <xf numFmtId="164" fontId="33" fillId="0" borderId="27" xfId="0" applyNumberFormat="1" applyFont="1" applyFill="1" applyBorder="1"/>
    <xf numFmtId="165" fontId="33" fillId="0" borderId="27" xfId="0" applyNumberFormat="1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5" xfId="53" applyNumberFormat="1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164" fontId="33" fillId="0" borderId="29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3" fontId="33" fillId="0" borderId="25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164" fontId="33" fillId="0" borderId="132" xfId="0" applyNumberFormat="1" applyFont="1" applyFill="1" applyBorder="1"/>
    <xf numFmtId="164" fontId="33" fillId="0" borderId="132" xfId="0" applyNumberFormat="1" applyFont="1" applyFill="1" applyBorder="1" applyAlignment="1">
      <alignment horizontal="right"/>
    </xf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164" fontId="33" fillId="0" borderId="135" xfId="0" applyNumberFormat="1" applyFont="1" applyFill="1" applyBorder="1"/>
    <xf numFmtId="164" fontId="33" fillId="0" borderId="135" xfId="0" applyNumberFormat="1" applyFont="1" applyFill="1" applyBorder="1" applyAlignment="1">
      <alignment horizontal="right"/>
    </xf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0" fontId="0" fillId="0" borderId="138" xfId="0" applyBorder="1" applyAlignment="1">
      <alignment horizontal="center"/>
    </xf>
    <xf numFmtId="0" fontId="0" fillId="0" borderId="139" xfId="0" applyBorder="1" applyAlignment="1">
      <alignment horizontal="center"/>
    </xf>
    <xf numFmtId="173" fontId="40" fillId="4" borderId="139" xfId="0" applyNumberFormat="1" applyFont="1" applyFill="1" applyBorder="1" applyAlignment="1">
      <alignment horizontal="center"/>
    </xf>
    <xf numFmtId="0" fontId="0" fillId="0" borderId="139" xfId="0" applyBorder="1" applyAlignment="1"/>
    <xf numFmtId="0" fontId="0" fillId="0" borderId="140" xfId="0" applyBorder="1" applyAlignment="1">
      <alignment horizontal="right"/>
    </xf>
    <xf numFmtId="0" fontId="0" fillId="0" borderId="141" xfId="0" applyBorder="1" applyAlignment="1">
      <alignment horizontal="right"/>
    </xf>
    <xf numFmtId="173" fontId="33" fillId="0" borderId="141" xfId="0" applyNumberFormat="1" applyFont="1" applyBorder="1" applyAlignment="1">
      <alignment horizontal="right"/>
    </xf>
    <xf numFmtId="173" fontId="33" fillId="0" borderId="141" xfId="0" applyNumberFormat="1" applyFont="1" applyBorder="1" applyAlignment="1">
      <alignment horizontal="right" wrapText="1"/>
    </xf>
    <xf numFmtId="0" fontId="0" fillId="0" borderId="141" xfId="0" applyBorder="1" applyAlignment="1">
      <alignment horizontal="right" wrapText="1"/>
    </xf>
    <xf numFmtId="175" fontId="33" fillId="0" borderId="141" xfId="0" applyNumberFormat="1" applyFont="1" applyBorder="1" applyAlignment="1">
      <alignment horizontal="right"/>
    </xf>
    <xf numFmtId="0" fontId="0" fillId="0" borderId="142" xfId="0" applyBorder="1" applyAlignment="1">
      <alignment horizontal="right"/>
    </xf>
    <xf numFmtId="0" fontId="0" fillId="0" borderId="143" xfId="0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37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02" xfId="0" applyNumberFormat="1" applyFont="1" applyBorder="1"/>
    <xf numFmtId="174" fontId="33" fillId="0" borderId="145" xfId="0" applyNumberFormat="1" applyFont="1" applyBorder="1"/>
    <xf numFmtId="173" fontId="40" fillId="4" borderId="57" xfId="0" applyNumberFormat="1" applyFont="1" applyFill="1" applyBorder="1" applyAlignment="1"/>
    <xf numFmtId="173" fontId="33" fillId="0" borderId="102" xfId="0" applyNumberFormat="1" applyFont="1" applyBorder="1"/>
    <xf numFmtId="173" fontId="33" fillId="0" borderId="137" xfId="0" applyNumberFormat="1" applyFont="1" applyBorder="1"/>
    <xf numFmtId="173" fontId="40" fillId="2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57" xfId="0" applyNumberFormat="1" applyFont="1" applyBorder="1"/>
    <xf numFmtId="0" fontId="0" fillId="0" borderId="146" xfId="0" applyBorder="1" applyAlignment="1">
      <alignment horizontal="center"/>
    </xf>
    <xf numFmtId="0" fontId="0" fillId="0" borderId="147" xfId="0" applyBorder="1" applyAlignment="1">
      <alignment horizontal="right"/>
    </xf>
    <xf numFmtId="0" fontId="0" fillId="0" borderId="147" xfId="0" applyBorder="1" applyAlignment="1">
      <alignment horizontal="right" wrapText="1"/>
    </xf>
    <xf numFmtId="0" fontId="0" fillId="0" borderId="148" xfId="0" applyBorder="1" applyAlignment="1">
      <alignment horizontal="right"/>
    </xf>
    <xf numFmtId="0" fontId="0" fillId="0" borderId="144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5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4" xfId="0" applyFont="1" applyBorder="1" applyAlignment="1">
      <alignment horizontal="left" indent="1"/>
    </xf>
    <xf numFmtId="169" fontId="0" fillId="0" borderId="88" xfId="0" applyNumberFormat="1" applyBorder="1"/>
    <xf numFmtId="9" fontId="0" fillId="0" borderId="88" xfId="0" applyNumberFormat="1" applyBorder="1"/>
    <xf numFmtId="9" fontId="0" fillId="0" borderId="89" xfId="0" applyNumberFormat="1" applyBorder="1"/>
    <xf numFmtId="0" fontId="60" fillId="4" borderId="131" xfId="0" applyFont="1" applyFill="1" applyBorder="1" applyAlignment="1">
      <alignment horizontal="left"/>
    </xf>
    <xf numFmtId="169" fontId="60" fillId="4" borderId="88" xfId="0" applyNumberFormat="1" applyFont="1" applyFill="1" applyBorder="1"/>
    <xf numFmtId="9" fontId="60" fillId="4" borderId="88" xfId="0" applyNumberFormat="1" applyFont="1" applyFill="1" applyBorder="1"/>
    <xf numFmtId="9" fontId="60" fillId="4" borderId="89" xfId="0" applyNumberFormat="1" applyFont="1" applyFill="1" applyBorder="1"/>
    <xf numFmtId="0" fontId="60" fillId="0" borderId="131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7" xfId="0" applyNumberFormat="1" applyFont="1" applyFill="1" applyBorder="1"/>
    <xf numFmtId="169" fontId="33" fillId="0" borderId="20" xfId="0" applyNumberFormat="1" applyFont="1" applyFill="1" applyBorder="1"/>
    <xf numFmtId="0" fontId="40" fillId="0" borderId="19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9" fontId="33" fillId="0" borderId="29" xfId="0" applyNumberFormat="1" applyFont="1" applyFill="1" applyBorder="1"/>
    <xf numFmtId="9" fontId="33" fillId="0" borderId="88" xfId="0" applyNumberFormat="1" applyFont="1" applyFill="1" applyBorder="1"/>
    <xf numFmtId="9" fontId="33" fillId="0" borderId="135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88" xfId="0" applyNumberFormat="1" applyFont="1" applyFill="1" applyBorder="1"/>
    <xf numFmtId="9" fontId="33" fillId="0" borderId="89" xfId="0" applyNumberFormat="1" applyFont="1" applyFill="1" applyBorder="1"/>
    <xf numFmtId="16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0" borderId="24" xfId="0" applyFont="1" applyFill="1" applyBorder="1"/>
    <xf numFmtId="0" fontId="40" fillId="0" borderId="131" xfId="0" applyFont="1" applyFill="1" applyBorder="1"/>
    <xf numFmtId="0" fontId="40" fillId="0" borderId="134" xfId="0" applyFont="1" applyFill="1" applyBorder="1"/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1.7223096954048482</c:v>
                </c:pt>
                <c:pt idx="1">
                  <c:v>1.4305271782890754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24587456"/>
        <c:axId val="-7245847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0.56085422750686831</c:v>
                </c:pt>
                <c:pt idx="1">
                  <c:v>0.56085422750686831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4584192"/>
        <c:axId val="-724583648"/>
      </c:scatterChart>
      <c:catAx>
        <c:axId val="-72458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7245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24584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724587456"/>
        <c:crosses val="autoZero"/>
        <c:crossBetween val="between"/>
      </c:valAx>
      <c:valAx>
        <c:axId val="-7245841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724583648"/>
        <c:crosses val="max"/>
        <c:crossBetween val="midCat"/>
      </c:valAx>
      <c:valAx>
        <c:axId val="-7245836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7245841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7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118" bestFit="1" customWidth="1"/>
    <col min="2" max="2" width="102.21875" style="118" bestFit="1" customWidth="1"/>
    <col min="3" max="3" width="16.109375" style="42" hidden="1" customWidth="1"/>
    <col min="4" max="16384" width="8.88671875" style="118"/>
  </cols>
  <sheetData>
    <row r="1" spans="1:3" ht="18.600000000000001" customHeight="1" thickBot="1" x14ac:dyDescent="0.4">
      <c r="A1" s="335" t="s">
        <v>108</v>
      </c>
      <c r="B1" s="335"/>
    </row>
    <row r="2" spans="1:3" ht="14.4" customHeight="1" thickBot="1" x14ac:dyDescent="0.35">
      <c r="A2" s="224" t="s">
        <v>282</v>
      </c>
      <c r="B2" s="41"/>
    </row>
    <row r="3" spans="1:3" ht="14.4" customHeight="1" thickBot="1" x14ac:dyDescent="0.35">
      <c r="A3" s="331" t="s">
        <v>134</v>
      </c>
      <c r="B3" s="332"/>
    </row>
    <row r="4" spans="1:3" ht="14.4" customHeight="1" x14ac:dyDescent="0.3">
      <c r="A4" s="133" t="str">
        <f t="shared" ref="A4:A8" si="0">HYPERLINK("#'"&amp;C4&amp;"'!A1",C4)</f>
        <v>Motivace</v>
      </c>
      <c r="B4" s="78" t="s">
        <v>121</v>
      </c>
      <c r="C4" s="42" t="s">
        <v>122</v>
      </c>
    </row>
    <row r="5" spans="1:3" ht="14.4" customHeight="1" x14ac:dyDescent="0.3">
      <c r="A5" s="134" t="str">
        <f t="shared" si="0"/>
        <v>HI</v>
      </c>
      <c r="B5" s="79" t="s">
        <v>130</v>
      </c>
      <c r="C5" s="42" t="s">
        <v>111</v>
      </c>
    </row>
    <row r="6" spans="1:3" ht="14.4" customHeight="1" x14ac:dyDescent="0.3">
      <c r="A6" s="135" t="str">
        <f t="shared" si="0"/>
        <v>HI Graf</v>
      </c>
      <c r="B6" s="80" t="s">
        <v>104</v>
      </c>
      <c r="C6" s="42" t="s">
        <v>112</v>
      </c>
    </row>
    <row r="7" spans="1:3" ht="14.4" customHeight="1" x14ac:dyDescent="0.3">
      <c r="A7" s="135" t="str">
        <f t="shared" si="0"/>
        <v>Man Tab</v>
      </c>
      <c r="B7" s="80" t="s">
        <v>284</v>
      </c>
      <c r="C7" s="42" t="s">
        <v>113</v>
      </c>
    </row>
    <row r="8" spans="1:3" ht="14.4" customHeight="1" thickBot="1" x14ac:dyDescent="0.35">
      <c r="A8" s="136" t="str">
        <f t="shared" si="0"/>
        <v>HV</v>
      </c>
      <c r="B8" s="81" t="s">
        <v>61</v>
      </c>
      <c r="C8" s="42" t="s">
        <v>66</v>
      </c>
    </row>
    <row r="9" spans="1:3" ht="14.4" customHeight="1" thickBot="1" x14ac:dyDescent="0.35">
      <c r="A9" s="82"/>
      <c r="B9" s="82"/>
    </row>
    <row r="10" spans="1:3" ht="14.4" customHeight="1" thickBot="1" x14ac:dyDescent="0.35">
      <c r="A10" s="333" t="s">
        <v>109</v>
      </c>
      <c r="B10" s="332"/>
    </row>
    <row r="11" spans="1:3" ht="14.4" customHeight="1" x14ac:dyDescent="0.3">
      <c r="A11" s="137" t="str">
        <f t="shared" ref="A11" si="1">HYPERLINK("#'"&amp;C11&amp;"'!A1",C11)</f>
        <v>Léky Žádanky</v>
      </c>
      <c r="B11" s="79" t="s">
        <v>131</v>
      </c>
      <c r="C11" s="42" t="s">
        <v>114</v>
      </c>
    </row>
    <row r="12" spans="1:3" ht="14.4" customHeight="1" x14ac:dyDescent="0.3">
      <c r="A12" s="135" t="str">
        <f t="shared" ref="A12:A19" si="2">HYPERLINK("#'"&amp;C12&amp;"'!A1",C12)</f>
        <v>LŽ Detail</v>
      </c>
      <c r="B12" s="80" t="s">
        <v>152</v>
      </c>
      <c r="C12" s="42" t="s">
        <v>115</v>
      </c>
    </row>
    <row r="13" spans="1:3" ht="14.4" customHeight="1" x14ac:dyDescent="0.3">
      <c r="A13" s="135" t="str">
        <f t="shared" si="2"/>
        <v>LŽ Statim</v>
      </c>
      <c r="B13" s="300" t="s">
        <v>222</v>
      </c>
      <c r="C13" s="42" t="s">
        <v>232</v>
      </c>
    </row>
    <row r="14" spans="1:3" ht="14.4" customHeight="1" x14ac:dyDescent="0.3">
      <c r="A14" s="135" t="str">
        <f t="shared" si="2"/>
        <v>Léky Recepty</v>
      </c>
      <c r="B14" s="80" t="s">
        <v>132</v>
      </c>
      <c r="C14" s="42" t="s">
        <v>116</v>
      </c>
    </row>
    <row r="15" spans="1:3" ht="14.4" customHeight="1" x14ac:dyDescent="0.3">
      <c r="A15" s="135" t="str">
        <f t="shared" si="2"/>
        <v>LRp Lékaři</v>
      </c>
      <c r="B15" s="80" t="s">
        <v>138</v>
      </c>
      <c r="C15" s="42" t="s">
        <v>139</v>
      </c>
    </row>
    <row r="16" spans="1:3" ht="14.4" customHeight="1" x14ac:dyDescent="0.3">
      <c r="A16" s="135" t="str">
        <f t="shared" si="2"/>
        <v>LRp Detail</v>
      </c>
      <c r="B16" s="80" t="s">
        <v>493</v>
      </c>
      <c r="C16" s="42" t="s">
        <v>117</v>
      </c>
    </row>
    <row r="17" spans="1:3" ht="14.4" customHeight="1" x14ac:dyDescent="0.3">
      <c r="A17" s="137" t="str">
        <f t="shared" ref="A17" si="3">HYPERLINK("#'"&amp;C17&amp;"'!A1",C17)</f>
        <v>Materiál Žádanky</v>
      </c>
      <c r="B17" s="80" t="s">
        <v>133</v>
      </c>
      <c r="C17" s="42" t="s">
        <v>118</v>
      </c>
    </row>
    <row r="18" spans="1:3" ht="14.4" customHeight="1" x14ac:dyDescent="0.3">
      <c r="A18" s="135" t="str">
        <f t="shared" si="2"/>
        <v>MŽ Detail</v>
      </c>
      <c r="B18" s="80" t="s">
        <v>914</v>
      </c>
      <c r="C18" s="42" t="s">
        <v>119</v>
      </c>
    </row>
    <row r="19" spans="1:3" ht="14.4" customHeight="1" thickBot="1" x14ac:dyDescent="0.35">
      <c r="A19" s="137" t="str">
        <f t="shared" si="2"/>
        <v>Osobní náklady</v>
      </c>
      <c r="B19" s="80" t="s">
        <v>106</v>
      </c>
      <c r="C19" s="42" t="s">
        <v>120</v>
      </c>
    </row>
    <row r="20" spans="1:3" ht="14.4" customHeight="1" thickBot="1" x14ac:dyDescent="0.35">
      <c r="A20" s="83"/>
      <c r="B20" s="83"/>
    </row>
    <row r="21" spans="1:3" ht="14.4" customHeight="1" thickBot="1" x14ac:dyDescent="0.35">
      <c r="A21" s="334" t="s">
        <v>110</v>
      </c>
      <c r="B21" s="332"/>
    </row>
    <row r="22" spans="1:3" ht="14.4" customHeight="1" x14ac:dyDescent="0.3">
      <c r="A22" s="138" t="str">
        <f t="shared" ref="A22:A27" si="4">HYPERLINK("#'"&amp;C22&amp;"'!A1",C22)</f>
        <v>ZV Vykáz.-A</v>
      </c>
      <c r="B22" s="79" t="s">
        <v>918</v>
      </c>
      <c r="C22" s="42" t="s">
        <v>123</v>
      </c>
    </row>
    <row r="23" spans="1:3" ht="14.4" customHeight="1" x14ac:dyDescent="0.3">
      <c r="A23" s="135" t="str">
        <f t="shared" ref="A23" si="5">HYPERLINK("#'"&amp;C23&amp;"'!A1",C23)</f>
        <v>ZV Vykáz.-A Lékaři</v>
      </c>
      <c r="B23" s="80" t="s">
        <v>923</v>
      </c>
      <c r="C23" s="42" t="s">
        <v>235</v>
      </c>
    </row>
    <row r="24" spans="1:3" ht="14.4" customHeight="1" x14ac:dyDescent="0.3">
      <c r="A24" s="135" t="str">
        <f t="shared" si="4"/>
        <v>ZV Vykáz.-A Detail</v>
      </c>
      <c r="B24" s="80" t="s">
        <v>1080</v>
      </c>
      <c r="C24" s="42" t="s">
        <v>124</v>
      </c>
    </row>
    <row r="25" spans="1:3" ht="14.4" customHeight="1" x14ac:dyDescent="0.3">
      <c r="A25" s="321" t="str">
        <f>HYPERLINK("#'"&amp;C25&amp;"'!A1",C25)</f>
        <v>ZV Vykáz.-A Det.Lék.</v>
      </c>
      <c r="B25" s="80" t="s">
        <v>1081</v>
      </c>
      <c r="C25" s="42" t="s">
        <v>271</v>
      </c>
    </row>
    <row r="26" spans="1:3" ht="14.4" customHeight="1" x14ac:dyDescent="0.3">
      <c r="A26" s="135" t="str">
        <f t="shared" si="4"/>
        <v>ZV Vykáz.-H</v>
      </c>
      <c r="B26" s="80" t="s">
        <v>127</v>
      </c>
      <c r="C26" s="42" t="s">
        <v>125</v>
      </c>
    </row>
    <row r="27" spans="1:3" ht="14.4" customHeight="1" x14ac:dyDescent="0.3">
      <c r="A27" s="135" t="str">
        <f t="shared" si="4"/>
        <v>ZV Vykáz.-H Detail</v>
      </c>
      <c r="B27" s="80" t="s">
        <v>1121</v>
      </c>
      <c r="C27" s="42" t="s">
        <v>126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18" customWidth="1"/>
    <col min="2" max="2" width="34.21875" style="118" customWidth="1"/>
    <col min="3" max="3" width="11.109375" style="118" bestFit="1" customWidth="1"/>
    <col min="4" max="4" width="7.33203125" style="118" bestFit="1" customWidth="1"/>
    <col min="5" max="5" width="11.109375" style="118" bestFit="1" customWidth="1"/>
    <col min="6" max="6" width="5.33203125" style="118" customWidth="1"/>
    <col min="7" max="7" width="7.33203125" style="118" bestFit="1" customWidth="1"/>
    <col min="8" max="8" width="5.33203125" style="118" customWidth="1"/>
    <col min="9" max="9" width="11.109375" style="118" customWidth="1"/>
    <col min="10" max="10" width="5.33203125" style="118" customWidth="1"/>
    <col min="11" max="11" width="7.33203125" style="118" customWidth="1"/>
    <col min="12" max="12" width="5.33203125" style="118" customWidth="1"/>
    <col min="13" max="13" width="0" style="118" hidden="1" customWidth="1"/>
    <col min="14" max="16384" width="8.88671875" style="118"/>
  </cols>
  <sheetData>
    <row r="1" spans="1:14" ht="18.600000000000001" customHeight="1" thickBot="1" x14ac:dyDescent="0.4">
      <c r="A1" s="373" t="s">
        <v>132</v>
      </c>
      <c r="B1" s="373"/>
      <c r="C1" s="373"/>
      <c r="D1" s="373"/>
      <c r="E1" s="373"/>
      <c r="F1" s="373"/>
      <c r="G1" s="373"/>
      <c r="H1" s="373"/>
      <c r="I1" s="336"/>
      <c r="J1" s="336"/>
      <c r="K1" s="336"/>
      <c r="L1" s="336"/>
    </row>
    <row r="2" spans="1:14" ht="14.4" customHeight="1" thickBot="1" x14ac:dyDescent="0.35">
      <c r="A2" s="224" t="s">
        <v>282</v>
      </c>
      <c r="B2" s="195"/>
      <c r="C2" s="195"/>
      <c r="D2" s="195"/>
      <c r="E2" s="195"/>
      <c r="F2" s="195"/>
      <c r="G2" s="195"/>
      <c r="H2" s="195"/>
    </row>
    <row r="3" spans="1:14" ht="14.4" customHeight="1" thickBot="1" x14ac:dyDescent="0.35">
      <c r="A3" s="132"/>
      <c r="B3" s="132"/>
      <c r="C3" s="381" t="s">
        <v>15</v>
      </c>
      <c r="D3" s="380"/>
      <c r="E3" s="380" t="s">
        <v>16</v>
      </c>
      <c r="F3" s="380"/>
      <c r="G3" s="380"/>
      <c r="H3" s="380"/>
      <c r="I3" s="380" t="s">
        <v>137</v>
      </c>
      <c r="J3" s="380"/>
      <c r="K3" s="380"/>
      <c r="L3" s="382"/>
    </row>
    <row r="4" spans="1:14" ht="14.4" customHeight="1" thickBot="1" x14ac:dyDescent="0.3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" customHeight="1" x14ac:dyDescent="0.3">
      <c r="A5" s="448">
        <v>41</v>
      </c>
      <c r="B5" s="449" t="s">
        <v>452</v>
      </c>
      <c r="C5" s="452">
        <v>170.52</v>
      </c>
      <c r="D5" s="452">
        <v>1</v>
      </c>
      <c r="E5" s="452">
        <v>170.52</v>
      </c>
      <c r="F5" s="494">
        <v>1</v>
      </c>
      <c r="G5" s="452">
        <v>1</v>
      </c>
      <c r="H5" s="494">
        <v>1</v>
      </c>
      <c r="I5" s="452" t="s">
        <v>453</v>
      </c>
      <c r="J5" s="494">
        <v>0</v>
      </c>
      <c r="K5" s="452" t="s">
        <v>453</v>
      </c>
      <c r="L5" s="494">
        <v>0</v>
      </c>
      <c r="M5" s="452" t="s">
        <v>69</v>
      </c>
      <c r="N5" s="139"/>
    </row>
    <row r="6" spans="1:14" ht="14.4" customHeight="1" x14ac:dyDescent="0.3">
      <c r="A6" s="448">
        <v>41</v>
      </c>
      <c r="B6" s="449" t="s">
        <v>482</v>
      </c>
      <c r="C6" s="452">
        <v>170.52</v>
      </c>
      <c r="D6" s="452">
        <v>1</v>
      </c>
      <c r="E6" s="452">
        <v>170.52</v>
      </c>
      <c r="F6" s="494">
        <v>1</v>
      </c>
      <c r="G6" s="452">
        <v>1</v>
      </c>
      <c r="H6" s="494">
        <v>1</v>
      </c>
      <c r="I6" s="452" t="s">
        <v>453</v>
      </c>
      <c r="J6" s="494">
        <v>0</v>
      </c>
      <c r="K6" s="452" t="s">
        <v>453</v>
      </c>
      <c r="L6" s="494">
        <v>0</v>
      </c>
      <c r="M6" s="452" t="s">
        <v>1</v>
      </c>
      <c r="N6" s="139"/>
    </row>
    <row r="7" spans="1:14" ht="14.4" customHeight="1" x14ac:dyDescent="0.3">
      <c r="A7" s="448" t="s">
        <v>451</v>
      </c>
      <c r="B7" s="449" t="s">
        <v>3</v>
      </c>
      <c r="C7" s="452">
        <v>170.52</v>
      </c>
      <c r="D7" s="452">
        <v>1</v>
      </c>
      <c r="E7" s="452">
        <v>170.52</v>
      </c>
      <c r="F7" s="494">
        <v>1</v>
      </c>
      <c r="G7" s="452">
        <v>1</v>
      </c>
      <c r="H7" s="494">
        <v>1</v>
      </c>
      <c r="I7" s="452" t="s">
        <v>453</v>
      </c>
      <c r="J7" s="494">
        <v>0</v>
      </c>
      <c r="K7" s="452" t="s">
        <v>453</v>
      </c>
      <c r="L7" s="494">
        <v>0</v>
      </c>
      <c r="M7" s="452" t="s">
        <v>455</v>
      </c>
      <c r="N7" s="139"/>
    </row>
    <row r="9" spans="1:14" ht="14.4" customHeight="1" x14ac:dyDescent="0.3">
      <c r="A9" s="448">
        <v>41</v>
      </c>
      <c r="B9" s="449" t="s">
        <v>452</v>
      </c>
      <c r="C9" s="452" t="s">
        <v>453</v>
      </c>
      <c r="D9" s="452" t="s">
        <v>453</v>
      </c>
      <c r="E9" s="452" t="s">
        <v>453</v>
      </c>
      <c r="F9" s="494" t="s">
        <v>453</v>
      </c>
      <c r="G9" s="452" t="s">
        <v>453</v>
      </c>
      <c r="H9" s="494" t="s">
        <v>453</v>
      </c>
      <c r="I9" s="452" t="s">
        <v>453</v>
      </c>
      <c r="J9" s="494" t="s">
        <v>453</v>
      </c>
      <c r="K9" s="452" t="s">
        <v>453</v>
      </c>
      <c r="L9" s="494" t="s">
        <v>453</v>
      </c>
      <c r="M9" s="452" t="s">
        <v>69</v>
      </c>
      <c r="N9" s="139"/>
    </row>
    <row r="10" spans="1:14" ht="14.4" customHeight="1" x14ac:dyDescent="0.3">
      <c r="A10" s="448" t="s">
        <v>483</v>
      </c>
      <c r="B10" s="449" t="s">
        <v>482</v>
      </c>
      <c r="C10" s="452">
        <v>170.52</v>
      </c>
      <c r="D10" s="452">
        <v>1</v>
      </c>
      <c r="E10" s="452">
        <v>170.52</v>
      </c>
      <c r="F10" s="494">
        <v>1</v>
      </c>
      <c r="G10" s="452">
        <v>1</v>
      </c>
      <c r="H10" s="494">
        <v>1</v>
      </c>
      <c r="I10" s="452" t="s">
        <v>453</v>
      </c>
      <c r="J10" s="494">
        <v>0</v>
      </c>
      <c r="K10" s="452" t="s">
        <v>453</v>
      </c>
      <c r="L10" s="494">
        <v>0</v>
      </c>
      <c r="M10" s="452" t="s">
        <v>1</v>
      </c>
      <c r="N10" s="139"/>
    </row>
    <row r="11" spans="1:14" ht="14.4" customHeight="1" x14ac:dyDescent="0.3">
      <c r="A11" s="448" t="s">
        <v>483</v>
      </c>
      <c r="B11" s="449" t="s">
        <v>484</v>
      </c>
      <c r="C11" s="452">
        <v>170.52</v>
      </c>
      <c r="D11" s="452">
        <v>1</v>
      </c>
      <c r="E11" s="452">
        <v>170.52</v>
      </c>
      <c r="F11" s="494">
        <v>1</v>
      </c>
      <c r="G11" s="452">
        <v>1</v>
      </c>
      <c r="H11" s="494">
        <v>1</v>
      </c>
      <c r="I11" s="452" t="s">
        <v>453</v>
      </c>
      <c r="J11" s="494">
        <v>0</v>
      </c>
      <c r="K11" s="452" t="s">
        <v>453</v>
      </c>
      <c r="L11" s="494">
        <v>0</v>
      </c>
      <c r="M11" s="452" t="s">
        <v>459</v>
      </c>
      <c r="N11" s="139"/>
    </row>
    <row r="12" spans="1:14" ht="14.4" customHeight="1" x14ac:dyDescent="0.3">
      <c r="A12" s="448" t="s">
        <v>453</v>
      </c>
      <c r="B12" s="449" t="s">
        <v>453</v>
      </c>
      <c r="C12" s="452" t="s">
        <v>453</v>
      </c>
      <c r="D12" s="452" t="s">
        <v>453</v>
      </c>
      <c r="E12" s="452" t="s">
        <v>453</v>
      </c>
      <c r="F12" s="494" t="s">
        <v>453</v>
      </c>
      <c r="G12" s="452" t="s">
        <v>453</v>
      </c>
      <c r="H12" s="494" t="s">
        <v>453</v>
      </c>
      <c r="I12" s="452" t="s">
        <v>453</v>
      </c>
      <c r="J12" s="494" t="s">
        <v>453</v>
      </c>
      <c r="K12" s="452" t="s">
        <v>453</v>
      </c>
      <c r="L12" s="494" t="s">
        <v>453</v>
      </c>
      <c r="M12" s="452" t="s">
        <v>460</v>
      </c>
      <c r="N12" s="139"/>
    </row>
    <row r="13" spans="1:14" ht="14.4" customHeight="1" x14ac:dyDescent="0.3">
      <c r="A13" s="448" t="s">
        <v>451</v>
      </c>
      <c r="B13" s="449" t="s">
        <v>454</v>
      </c>
      <c r="C13" s="452">
        <v>170.52</v>
      </c>
      <c r="D13" s="452">
        <v>1</v>
      </c>
      <c r="E13" s="452">
        <v>170.52</v>
      </c>
      <c r="F13" s="494">
        <v>1</v>
      </c>
      <c r="G13" s="452">
        <v>1</v>
      </c>
      <c r="H13" s="494">
        <v>1</v>
      </c>
      <c r="I13" s="452" t="s">
        <v>453</v>
      </c>
      <c r="J13" s="494">
        <v>0</v>
      </c>
      <c r="K13" s="452" t="s">
        <v>453</v>
      </c>
      <c r="L13" s="494">
        <v>0</v>
      </c>
      <c r="M13" s="452" t="s">
        <v>455</v>
      </c>
      <c r="N13" s="139"/>
    </row>
    <row r="14" spans="1:14" ht="14.4" customHeight="1" x14ac:dyDescent="0.3">
      <c r="A14" s="495" t="s">
        <v>485</v>
      </c>
    </row>
    <row r="15" spans="1:14" ht="14.4" customHeight="1" x14ac:dyDescent="0.3">
      <c r="A15" s="496" t="s">
        <v>486</v>
      </c>
    </row>
    <row r="16" spans="1:14" ht="14.4" customHeight="1" x14ac:dyDescent="0.3">
      <c r="A16" s="495" t="s">
        <v>487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0" priority="15" stopIfTrue="1" operator="lessThan">
      <formula>0.6</formula>
    </cfRule>
  </conditionalFormatting>
  <conditionalFormatting sqref="B5:B7">
    <cfRule type="expression" dxfId="39" priority="10">
      <formula>AND(LEFT(M5,6)&lt;&gt;"mezera",M5&lt;&gt;"")</formula>
    </cfRule>
  </conditionalFormatting>
  <conditionalFormatting sqref="A5:A7">
    <cfRule type="expression" dxfId="38" priority="8">
      <formula>AND(M5&lt;&gt;"",M5&lt;&gt;"mezeraKL")</formula>
    </cfRule>
  </conditionalFormatting>
  <conditionalFormatting sqref="F5:F7">
    <cfRule type="cellIs" dxfId="37" priority="7" operator="lessThan">
      <formula>0.6</formula>
    </cfRule>
  </conditionalFormatting>
  <conditionalFormatting sqref="B5:L7">
    <cfRule type="expression" dxfId="36" priority="9">
      <formula>OR($M5="KL",$M5="SumaKL")</formula>
    </cfRule>
    <cfRule type="expression" dxfId="35" priority="11">
      <formula>$M5="SumaNS"</formula>
    </cfRule>
  </conditionalFormatting>
  <conditionalFormatting sqref="A5:L7">
    <cfRule type="expression" dxfId="34" priority="12">
      <formula>$M5&lt;&gt;""</formula>
    </cfRule>
  </conditionalFormatting>
  <conditionalFormatting sqref="B9:B13">
    <cfRule type="expression" dxfId="33" priority="4">
      <formula>AND(LEFT(M9,6)&lt;&gt;"mezera",M9&lt;&gt;"")</formula>
    </cfRule>
  </conditionalFormatting>
  <conditionalFormatting sqref="A9:A13">
    <cfRule type="expression" dxfId="32" priority="2">
      <formula>AND(M9&lt;&gt;"",M9&lt;&gt;"mezeraKL")</formula>
    </cfRule>
  </conditionalFormatting>
  <conditionalFormatting sqref="F9:F13">
    <cfRule type="cellIs" dxfId="31" priority="1" operator="lessThan">
      <formula>0.6</formula>
    </cfRule>
  </conditionalFormatting>
  <conditionalFormatting sqref="B9:L13">
    <cfRule type="expression" dxfId="30" priority="3">
      <formula>OR($M9="KL",$M9="SumaKL")</formula>
    </cfRule>
    <cfRule type="expression" dxfId="29" priority="5">
      <formula>$M9="SumaNS"</formula>
    </cfRule>
  </conditionalFormatting>
  <conditionalFormatting sqref="A9:L13">
    <cfRule type="expression" dxfId="28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18" customWidth="1"/>
    <col min="2" max="2" width="11.109375" style="196" bestFit="1" customWidth="1"/>
    <col min="3" max="3" width="11.109375" style="118" hidden="1" customWidth="1"/>
    <col min="4" max="4" width="7.33203125" style="196" bestFit="1" customWidth="1"/>
    <col min="5" max="5" width="7.33203125" style="118" hidden="1" customWidth="1"/>
    <col min="6" max="6" width="11.109375" style="196" bestFit="1" customWidth="1"/>
    <col min="7" max="7" width="5.33203125" style="199" customWidth="1"/>
    <col min="8" max="8" width="7.33203125" style="196" bestFit="1" customWidth="1"/>
    <col min="9" max="9" width="5.33203125" style="199" customWidth="1"/>
    <col min="10" max="10" width="11.109375" style="196" customWidth="1"/>
    <col min="11" max="11" width="5.33203125" style="199" customWidth="1"/>
    <col min="12" max="12" width="7.33203125" style="196" customWidth="1"/>
    <col min="13" max="13" width="5.33203125" style="199" customWidth="1"/>
    <col min="14" max="14" width="0" style="118" hidden="1" customWidth="1"/>
    <col min="15" max="16384" width="8.88671875" style="118"/>
  </cols>
  <sheetData>
    <row r="1" spans="1:13" ht="18.600000000000001" customHeight="1" thickBot="1" x14ac:dyDescent="0.4">
      <c r="A1" s="373" t="s">
        <v>138</v>
      </c>
      <c r="B1" s="373"/>
      <c r="C1" s="373"/>
      <c r="D1" s="373"/>
      <c r="E1" s="373"/>
      <c r="F1" s="373"/>
      <c r="G1" s="373"/>
      <c r="H1" s="373"/>
      <c r="I1" s="373"/>
      <c r="J1" s="336"/>
      <c r="K1" s="336"/>
      <c r="L1" s="336"/>
      <c r="M1" s="336"/>
    </row>
    <row r="2" spans="1:13" ht="14.4" customHeight="1" thickBot="1" x14ac:dyDescent="0.35">
      <c r="A2" s="224" t="s">
        <v>282</v>
      </c>
      <c r="B2" s="203"/>
      <c r="C2" s="195"/>
      <c r="D2" s="203"/>
      <c r="E2" s="195"/>
      <c r="F2" s="203"/>
      <c r="G2" s="204"/>
      <c r="H2" s="203"/>
      <c r="I2" s="204"/>
    </row>
    <row r="3" spans="1:13" ht="14.4" customHeight="1" thickBot="1" x14ac:dyDescent="0.35">
      <c r="A3" s="132"/>
      <c r="B3" s="381" t="s">
        <v>15</v>
      </c>
      <c r="C3" s="383"/>
      <c r="D3" s="380"/>
      <c r="E3" s="131"/>
      <c r="F3" s="380" t="s">
        <v>16</v>
      </c>
      <c r="G3" s="380"/>
      <c r="H3" s="380"/>
      <c r="I3" s="380"/>
      <c r="J3" s="380" t="s">
        <v>137</v>
      </c>
      <c r="K3" s="380"/>
      <c r="L3" s="380"/>
      <c r="M3" s="382"/>
    </row>
    <row r="4" spans="1:13" ht="14.4" customHeight="1" thickBot="1" x14ac:dyDescent="0.35">
      <c r="A4" s="476" t="s">
        <v>129</v>
      </c>
      <c r="B4" s="477" t="s">
        <v>19</v>
      </c>
      <c r="C4" s="500"/>
      <c r="D4" s="477" t="s">
        <v>20</v>
      </c>
      <c r="E4" s="500"/>
      <c r="F4" s="477" t="s">
        <v>19</v>
      </c>
      <c r="G4" s="480" t="s">
        <v>2</v>
      </c>
      <c r="H4" s="477" t="s">
        <v>20</v>
      </c>
      <c r="I4" s="480" t="s">
        <v>2</v>
      </c>
      <c r="J4" s="477" t="s">
        <v>19</v>
      </c>
      <c r="K4" s="480" t="s">
        <v>2</v>
      </c>
      <c r="L4" s="477" t="s">
        <v>20</v>
      </c>
      <c r="M4" s="481" t="s">
        <v>2</v>
      </c>
    </row>
    <row r="5" spans="1:13" ht="14.4" customHeight="1" thickBot="1" x14ac:dyDescent="0.35">
      <c r="A5" s="499" t="s">
        <v>488</v>
      </c>
      <c r="B5" s="501">
        <v>170.52</v>
      </c>
      <c r="C5" s="502">
        <v>1</v>
      </c>
      <c r="D5" s="504">
        <v>1</v>
      </c>
      <c r="E5" s="497" t="s">
        <v>488</v>
      </c>
      <c r="F5" s="501">
        <v>170.52</v>
      </c>
      <c r="G5" s="294">
        <v>1</v>
      </c>
      <c r="H5" s="503">
        <v>1</v>
      </c>
      <c r="I5" s="295">
        <v>1</v>
      </c>
      <c r="J5" s="505"/>
      <c r="K5" s="294">
        <v>0</v>
      </c>
      <c r="L5" s="503"/>
      <c r="M5" s="295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7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18" hidden="1" customWidth="1" outlineLevel="1"/>
    <col min="2" max="2" width="28.33203125" style="118" hidden="1" customWidth="1" outlineLevel="1"/>
    <col min="3" max="3" width="9" style="118" customWidth="1" collapsed="1"/>
    <col min="4" max="4" width="18.77734375" style="207" customWidth="1"/>
    <col min="5" max="5" width="13.5546875" style="197" customWidth="1"/>
    <col min="6" max="6" width="6" style="118" bestFit="1" customWidth="1"/>
    <col min="7" max="7" width="8.77734375" style="118" customWidth="1"/>
    <col min="8" max="8" width="5" style="118" bestFit="1" customWidth="1"/>
    <col min="9" max="9" width="8.5546875" style="118" hidden="1" customWidth="1" outlineLevel="1"/>
    <col min="10" max="10" width="25.77734375" style="118" customWidth="1" collapsed="1"/>
    <col min="11" max="11" width="8.77734375" style="118" customWidth="1"/>
    <col min="12" max="12" width="7.77734375" style="198" customWidth="1"/>
    <col min="13" max="13" width="11.109375" style="198" customWidth="1"/>
    <col min="14" max="14" width="7.77734375" style="118" customWidth="1"/>
    <col min="15" max="15" width="7.77734375" style="208" customWidth="1"/>
    <col min="16" max="16" width="11.109375" style="198" customWidth="1"/>
    <col min="17" max="17" width="5.44140625" style="199" bestFit="1" customWidth="1"/>
    <col min="18" max="18" width="7.77734375" style="118" customWidth="1"/>
    <col min="19" max="19" width="5.44140625" style="199" bestFit="1" customWidth="1"/>
    <col min="20" max="20" width="7.77734375" style="208" customWidth="1"/>
    <col min="21" max="21" width="5.44140625" style="199" bestFit="1" customWidth="1"/>
    <col min="22" max="16384" width="8.88671875" style="118"/>
  </cols>
  <sheetData>
    <row r="1" spans="1:21" ht="18.600000000000001" customHeight="1" thickBot="1" x14ac:dyDescent="0.4">
      <c r="A1" s="365" t="s">
        <v>493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</row>
    <row r="2" spans="1:21" ht="14.4" customHeight="1" thickBot="1" x14ac:dyDescent="0.35">
      <c r="A2" s="224" t="s">
        <v>282</v>
      </c>
      <c r="B2" s="205"/>
      <c r="C2" s="195"/>
      <c r="D2" s="195"/>
      <c r="E2" s="2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ht="14.4" customHeight="1" thickBot="1" x14ac:dyDescent="0.35">
      <c r="A3" s="387"/>
      <c r="B3" s="388"/>
      <c r="C3" s="388"/>
      <c r="D3" s="388"/>
      <c r="E3" s="388"/>
      <c r="F3" s="388"/>
      <c r="G3" s="388"/>
      <c r="H3" s="388"/>
      <c r="I3" s="388"/>
      <c r="J3" s="388"/>
      <c r="K3" s="389" t="s">
        <v>128</v>
      </c>
      <c r="L3" s="390"/>
      <c r="M3" s="58">
        <f>SUBTOTAL(9,M7:M1048576)</f>
        <v>170.52</v>
      </c>
      <c r="N3" s="58">
        <f>SUBTOTAL(9,N7:N1048576)</f>
        <v>1</v>
      </c>
      <c r="O3" s="58">
        <f>SUBTOTAL(9,O7:O1048576)</f>
        <v>1</v>
      </c>
      <c r="P3" s="58">
        <f>SUBTOTAL(9,P7:P1048576)</f>
        <v>170.52</v>
      </c>
      <c r="Q3" s="59">
        <f>IF(M3=0,0,P3/M3)</f>
        <v>1</v>
      </c>
      <c r="R3" s="58">
        <f>SUBTOTAL(9,R7:R1048576)</f>
        <v>1</v>
      </c>
      <c r="S3" s="59">
        <f>IF(N3=0,0,R3/N3)</f>
        <v>1</v>
      </c>
      <c r="T3" s="58">
        <f>SUBTOTAL(9,T7:T1048576)</f>
        <v>1</v>
      </c>
      <c r="U3" s="60">
        <f>IF(O3=0,0,T3/O3)</f>
        <v>1</v>
      </c>
    </row>
    <row r="4" spans="1:21" ht="14.4" customHeight="1" x14ac:dyDescent="0.3">
      <c r="A4" s="61"/>
      <c r="B4" s="62"/>
      <c r="C4" s="62"/>
      <c r="D4" s="63"/>
      <c r="E4" s="132"/>
      <c r="F4" s="62"/>
      <c r="G4" s="62"/>
      <c r="H4" s="62"/>
      <c r="I4" s="62"/>
      <c r="J4" s="62"/>
      <c r="K4" s="62"/>
      <c r="L4" s="62"/>
      <c r="M4" s="391" t="s">
        <v>15</v>
      </c>
      <c r="N4" s="392"/>
      <c r="O4" s="392"/>
      <c r="P4" s="393" t="s">
        <v>21</v>
      </c>
      <c r="Q4" s="392"/>
      <c r="R4" s="392"/>
      <c r="S4" s="392"/>
      <c r="T4" s="392"/>
      <c r="U4" s="394"/>
    </row>
    <row r="5" spans="1:21" ht="14.4" customHeight="1" thickBot="1" x14ac:dyDescent="0.35">
      <c r="A5" s="64"/>
      <c r="B5" s="65"/>
      <c r="C5" s="62"/>
      <c r="D5" s="63"/>
      <c r="E5" s="132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84" t="s">
        <v>22</v>
      </c>
      <c r="Q5" s="385"/>
      <c r="R5" s="384" t="s">
        <v>13</v>
      </c>
      <c r="S5" s="385"/>
      <c r="T5" s="384" t="s">
        <v>20</v>
      </c>
      <c r="U5" s="386"/>
    </row>
    <row r="6" spans="1:21" s="197" customFormat="1" ht="14.4" customHeight="1" thickBot="1" x14ac:dyDescent="0.35">
      <c r="A6" s="506" t="s">
        <v>23</v>
      </c>
      <c r="B6" s="507" t="s">
        <v>5</v>
      </c>
      <c r="C6" s="506" t="s">
        <v>24</v>
      </c>
      <c r="D6" s="507" t="s">
        <v>6</v>
      </c>
      <c r="E6" s="507" t="s">
        <v>140</v>
      </c>
      <c r="F6" s="507" t="s">
        <v>25</v>
      </c>
      <c r="G6" s="507" t="s">
        <v>26</v>
      </c>
      <c r="H6" s="507" t="s">
        <v>8</v>
      </c>
      <c r="I6" s="507" t="s">
        <v>10</v>
      </c>
      <c r="J6" s="507" t="s">
        <v>11</v>
      </c>
      <c r="K6" s="507" t="s">
        <v>12</v>
      </c>
      <c r="L6" s="507" t="s">
        <v>27</v>
      </c>
      <c r="M6" s="508" t="s">
        <v>14</v>
      </c>
      <c r="N6" s="509" t="s">
        <v>28</v>
      </c>
      <c r="O6" s="509" t="s">
        <v>28</v>
      </c>
      <c r="P6" s="509" t="s">
        <v>14</v>
      </c>
      <c r="Q6" s="509" t="s">
        <v>2</v>
      </c>
      <c r="R6" s="509" t="s">
        <v>28</v>
      </c>
      <c r="S6" s="509" t="s">
        <v>2</v>
      </c>
      <c r="T6" s="509" t="s">
        <v>28</v>
      </c>
      <c r="U6" s="510" t="s">
        <v>2</v>
      </c>
    </row>
    <row r="7" spans="1:21" ht="14.4" customHeight="1" thickBot="1" x14ac:dyDescent="0.35">
      <c r="A7" s="498">
        <v>41</v>
      </c>
      <c r="B7" s="502" t="s">
        <v>452</v>
      </c>
      <c r="C7" s="502" t="s">
        <v>483</v>
      </c>
      <c r="D7" s="511" t="s">
        <v>453</v>
      </c>
      <c r="E7" s="512" t="s">
        <v>488</v>
      </c>
      <c r="F7" s="502" t="s">
        <v>482</v>
      </c>
      <c r="G7" s="502" t="s">
        <v>489</v>
      </c>
      <c r="H7" s="502" t="s">
        <v>453</v>
      </c>
      <c r="I7" s="502" t="s">
        <v>490</v>
      </c>
      <c r="J7" s="502" t="s">
        <v>491</v>
      </c>
      <c r="K7" s="502" t="s">
        <v>492</v>
      </c>
      <c r="L7" s="513">
        <v>170.52</v>
      </c>
      <c r="M7" s="513">
        <v>170.52</v>
      </c>
      <c r="N7" s="502">
        <v>1</v>
      </c>
      <c r="O7" s="514">
        <v>1</v>
      </c>
      <c r="P7" s="513">
        <v>170.52</v>
      </c>
      <c r="Q7" s="294">
        <v>1</v>
      </c>
      <c r="R7" s="502">
        <v>1</v>
      </c>
      <c r="S7" s="294">
        <v>1</v>
      </c>
      <c r="T7" s="514">
        <v>1</v>
      </c>
      <c r="U7" s="295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7" customWidth="1"/>
    <col min="2" max="2" width="61.109375" style="197" customWidth="1"/>
    <col min="3" max="3" width="9.5546875" style="118" hidden="1" customWidth="1" outlineLevel="1"/>
    <col min="4" max="4" width="9.5546875" style="198" customWidth="1" collapsed="1"/>
    <col min="5" max="5" width="2.21875" style="198" customWidth="1"/>
    <col min="6" max="6" width="9.5546875" style="199" customWidth="1"/>
    <col min="7" max="7" width="9.5546875" style="196" customWidth="1"/>
    <col min="8" max="9" width="9.5546875" style="118" customWidth="1"/>
    <col min="10" max="10" width="0" style="118" hidden="1" customWidth="1"/>
    <col min="11" max="16384" width="8.88671875" style="118"/>
  </cols>
  <sheetData>
    <row r="1" spans="1:10" ht="18.600000000000001" customHeight="1" thickBot="1" x14ac:dyDescent="0.4">
      <c r="A1" s="365" t="s">
        <v>133</v>
      </c>
      <c r="B1" s="366"/>
      <c r="C1" s="366"/>
      <c r="D1" s="366"/>
      <c r="E1" s="366"/>
      <c r="F1" s="366"/>
      <c r="G1" s="336"/>
      <c r="H1" s="367"/>
      <c r="I1" s="367"/>
    </row>
    <row r="2" spans="1:10" ht="14.4" customHeight="1" thickBot="1" x14ac:dyDescent="0.35">
      <c r="A2" s="224" t="s">
        <v>282</v>
      </c>
      <c r="B2" s="195"/>
      <c r="C2" s="195"/>
      <c r="D2" s="195"/>
      <c r="E2" s="195"/>
      <c r="F2" s="195"/>
    </row>
    <row r="3" spans="1:10" ht="14.4" customHeight="1" thickBot="1" x14ac:dyDescent="0.35">
      <c r="A3" s="224"/>
      <c r="B3" s="328"/>
      <c r="C3" s="284">
        <v>2015</v>
      </c>
      <c r="D3" s="285">
        <v>2016</v>
      </c>
      <c r="E3" s="7"/>
      <c r="F3" s="344">
        <v>2017</v>
      </c>
      <c r="G3" s="362"/>
      <c r="H3" s="362"/>
      <c r="I3" s="345"/>
    </row>
    <row r="4" spans="1:10" ht="14.4" customHeight="1" thickBot="1" x14ac:dyDescent="0.35">
      <c r="A4" s="289" t="s">
        <v>0</v>
      </c>
      <c r="B4" s="290" t="s">
        <v>221</v>
      </c>
      <c r="C4" s="363" t="s">
        <v>73</v>
      </c>
      <c r="D4" s="364"/>
      <c r="E4" s="291"/>
      <c r="F4" s="286" t="s">
        <v>73</v>
      </c>
      <c r="G4" s="287" t="s">
        <v>74</v>
      </c>
      <c r="H4" s="287" t="s">
        <v>68</v>
      </c>
      <c r="I4" s="288" t="s">
        <v>75</v>
      </c>
    </row>
    <row r="5" spans="1:10" ht="14.4" customHeight="1" x14ac:dyDescent="0.3">
      <c r="A5" s="448" t="s">
        <v>451</v>
      </c>
      <c r="B5" s="449" t="s">
        <v>452</v>
      </c>
      <c r="C5" s="450" t="s">
        <v>453</v>
      </c>
      <c r="D5" s="450" t="s">
        <v>453</v>
      </c>
      <c r="E5" s="450"/>
      <c r="F5" s="450" t="s">
        <v>453</v>
      </c>
      <c r="G5" s="450" t="s">
        <v>453</v>
      </c>
      <c r="H5" s="450" t="s">
        <v>453</v>
      </c>
      <c r="I5" s="451" t="s">
        <v>453</v>
      </c>
      <c r="J5" s="452" t="s">
        <v>69</v>
      </c>
    </row>
    <row r="6" spans="1:10" ht="14.4" customHeight="1" x14ac:dyDescent="0.3">
      <c r="A6" s="448" t="s">
        <v>451</v>
      </c>
      <c r="B6" s="449" t="s">
        <v>295</v>
      </c>
      <c r="C6" s="450">
        <v>3608.1822500000098</v>
      </c>
      <c r="D6" s="450">
        <v>3598.78386</v>
      </c>
      <c r="E6" s="450"/>
      <c r="F6" s="450">
        <v>3748.5603000000001</v>
      </c>
      <c r="G6" s="450">
        <v>4153.6032543384999</v>
      </c>
      <c r="H6" s="450">
        <v>-405.04295433849984</v>
      </c>
      <c r="I6" s="451">
        <v>0.90248395681137183</v>
      </c>
      <c r="J6" s="452" t="s">
        <v>1</v>
      </c>
    </row>
    <row r="7" spans="1:10" ht="14.4" customHeight="1" x14ac:dyDescent="0.3">
      <c r="A7" s="448" t="s">
        <v>451</v>
      </c>
      <c r="B7" s="449" t="s">
        <v>296</v>
      </c>
      <c r="C7" s="450">
        <v>39.85163</v>
      </c>
      <c r="D7" s="450">
        <v>23.979400000000002</v>
      </c>
      <c r="E7" s="450"/>
      <c r="F7" s="450">
        <v>48.465670000000003</v>
      </c>
      <c r="G7" s="450">
        <v>60.039833048397007</v>
      </c>
      <c r="H7" s="450">
        <v>-11.574163048397004</v>
      </c>
      <c r="I7" s="451">
        <v>0.80722526261744787</v>
      </c>
      <c r="J7" s="452" t="s">
        <v>1</v>
      </c>
    </row>
    <row r="8" spans="1:10" ht="14.4" customHeight="1" x14ac:dyDescent="0.3">
      <c r="A8" s="448" t="s">
        <v>451</v>
      </c>
      <c r="B8" s="449" t="s">
        <v>297</v>
      </c>
      <c r="C8" s="450">
        <v>1.3916299999999999</v>
      </c>
      <c r="D8" s="450">
        <v>2.9558400000000002</v>
      </c>
      <c r="E8" s="450"/>
      <c r="F8" s="450">
        <v>3.25658</v>
      </c>
      <c r="G8" s="450">
        <v>3.3333333333333335</v>
      </c>
      <c r="H8" s="450">
        <v>-7.6753333333333451E-2</v>
      </c>
      <c r="I8" s="451">
        <v>0.97697400000000001</v>
      </c>
      <c r="J8" s="452" t="s">
        <v>1</v>
      </c>
    </row>
    <row r="9" spans="1:10" ht="14.4" customHeight="1" x14ac:dyDescent="0.3">
      <c r="A9" s="448" t="s">
        <v>451</v>
      </c>
      <c r="B9" s="449" t="s">
        <v>298</v>
      </c>
      <c r="C9" s="450">
        <v>34.95093</v>
      </c>
      <c r="D9" s="450">
        <v>49.544840000000001</v>
      </c>
      <c r="E9" s="450"/>
      <c r="F9" s="450">
        <v>19.138100000000001</v>
      </c>
      <c r="G9" s="450">
        <v>46.746230884059997</v>
      </c>
      <c r="H9" s="450">
        <v>-27.608130884059996</v>
      </c>
      <c r="I9" s="451">
        <v>0.40940413030231931</v>
      </c>
      <c r="J9" s="452" t="s">
        <v>1</v>
      </c>
    </row>
    <row r="10" spans="1:10" ht="14.4" customHeight="1" x14ac:dyDescent="0.3">
      <c r="A10" s="448" t="s">
        <v>451</v>
      </c>
      <c r="B10" s="449" t="s">
        <v>299</v>
      </c>
      <c r="C10" s="450">
        <v>6.8000000000000005E-2</v>
      </c>
      <c r="D10" s="450">
        <v>0</v>
      </c>
      <c r="E10" s="450"/>
      <c r="F10" s="450">
        <v>0.54</v>
      </c>
      <c r="G10" s="450">
        <v>0.83333333333333337</v>
      </c>
      <c r="H10" s="450">
        <v>-0.29333333333333333</v>
      </c>
      <c r="I10" s="451">
        <v>0.64800000000000002</v>
      </c>
      <c r="J10" s="452" t="s">
        <v>1</v>
      </c>
    </row>
    <row r="11" spans="1:10" ht="14.4" customHeight="1" x14ac:dyDescent="0.3">
      <c r="A11" s="448" t="s">
        <v>451</v>
      </c>
      <c r="B11" s="449" t="s">
        <v>300</v>
      </c>
      <c r="C11" s="450">
        <v>4.1180000000000003</v>
      </c>
      <c r="D11" s="450">
        <v>4.97</v>
      </c>
      <c r="E11" s="450"/>
      <c r="F11" s="450">
        <v>4.1399999999999997</v>
      </c>
      <c r="G11" s="450">
        <v>5</v>
      </c>
      <c r="H11" s="450">
        <v>-0.86000000000000032</v>
      </c>
      <c r="I11" s="451">
        <v>0.82799999999999996</v>
      </c>
      <c r="J11" s="452" t="s">
        <v>1</v>
      </c>
    </row>
    <row r="12" spans="1:10" ht="14.4" customHeight="1" x14ac:dyDescent="0.3">
      <c r="A12" s="448" t="s">
        <v>451</v>
      </c>
      <c r="B12" s="449" t="s">
        <v>454</v>
      </c>
      <c r="C12" s="450">
        <v>3688.5624400000102</v>
      </c>
      <c r="D12" s="450">
        <v>3680.2339400000001</v>
      </c>
      <c r="E12" s="450"/>
      <c r="F12" s="450">
        <v>3824.1006500000003</v>
      </c>
      <c r="G12" s="450">
        <v>4269.5559849376232</v>
      </c>
      <c r="H12" s="450">
        <v>-445.45533493762287</v>
      </c>
      <c r="I12" s="451">
        <v>0.89566705846951655</v>
      </c>
      <c r="J12" s="452" t="s">
        <v>455</v>
      </c>
    </row>
    <row r="14" spans="1:10" ht="14.4" customHeight="1" x14ac:dyDescent="0.3">
      <c r="A14" s="448" t="s">
        <v>451</v>
      </c>
      <c r="B14" s="449" t="s">
        <v>452</v>
      </c>
      <c r="C14" s="450" t="s">
        <v>453</v>
      </c>
      <c r="D14" s="450" t="s">
        <v>453</v>
      </c>
      <c r="E14" s="450"/>
      <c r="F14" s="450" t="s">
        <v>453</v>
      </c>
      <c r="G14" s="450" t="s">
        <v>453</v>
      </c>
      <c r="H14" s="450" t="s">
        <v>453</v>
      </c>
      <c r="I14" s="451" t="s">
        <v>453</v>
      </c>
      <c r="J14" s="452" t="s">
        <v>69</v>
      </c>
    </row>
    <row r="15" spans="1:10" ht="14.4" customHeight="1" x14ac:dyDescent="0.3">
      <c r="A15" s="448" t="s">
        <v>456</v>
      </c>
      <c r="B15" s="449" t="s">
        <v>457</v>
      </c>
      <c r="C15" s="450" t="s">
        <v>453</v>
      </c>
      <c r="D15" s="450" t="s">
        <v>453</v>
      </c>
      <c r="E15" s="450"/>
      <c r="F15" s="450" t="s">
        <v>453</v>
      </c>
      <c r="G15" s="450" t="s">
        <v>453</v>
      </c>
      <c r="H15" s="450" t="s">
        <v>453</v>
      </c>
      <c r="I15" s="451" t="s">
        <v>453</v>
      </c>
      <c r="J15" s="452" t="s">
        <v>0</v>
      </c>
    </row>
    <row r="16" spans="1:10" ht="14.4" customHeight="1" x14ac:dyDescent="0.3">
      <c r="A16" s="448" t="s">
        <v>456</v>
      </c>
      <c r="B16" s="449" t="s">
        <v>295</v>
      </c>
      <c r="C16" s="450">
        <v>3608.1822500000098</v>
      </c>
      <c r="D16" s="450">
        <v>3598.78386</v>
      </c>
      <c r="E16" s="450"/>
      <c r="F16" s="450">
        <v>3748.5603000000001</v>
      </c>
      <c r="G16" s="450">
        <v>4153.6032543384999</v>
      </c>
      <c r="H16" s="450">
        <v>-405.04295433849984</v>
      </c>
      <c r="I16" s="451">
        <v>0.90248395681137183</v>
      </c>
      <c r="J16" s="452" t="s">
        <v>1</v>
      </c>
    </row>
    <row r="17" spans="1:10" ht="14.4" customHeight="1" x14ac:dyDescent="0.3">
      <c r="A17" s="448" t="s">
        <v>456</v>
      </c>
      <c r="B17" s="449" t="s">
        <v>296</v>
      </c>
      <c r="C17" s="450">
        <v>39.85163</v>
      </c>
      <c r="D17" s="450">
        <v>23.979400000000002</v>
      </c>
      <c r="E17" s="450"/>
      <c r="F17" s="450">
        <v>48.465670000000003</v>
      </c>
      <c r="G17" s="450">
        <v>60.039833048397007</v>
      </c>
      <c r="H17" s="450">
        <v>-11.574163048397004</v>
      </c>
      <c r="I17" s="451">
        <v>0.80722526261744787</v>
      </c>
      <c r="J17" s="452" t="s">
        <v>1</v>
      </c>
    </row>
    <row r="18" spans="1:10" ht="14.4" customHeight="1" x14ac:dyDescent="0.3">
      <c r="A18" s="448" t="s">
        <v>456</v>
      </c>
      <c r="B18" s="449" t="s">
        <v>297</v>
      </c>
      <c r="C18" s="450">
        <v>1.3916299999999999</v>
      </c>
      <c r="D18" s="450">
        <v>2.9558400000000002</v>
      </c>
      <c r="E18" s="450"/>
      <c r="F18" s="450">
        <v>3.25658</v>
      </c>
      <c r="G18" s="450">
        <v>3.3333333333333335</v>
      </c>
      <c r="H18" s="450">
        <v>-7.6753333333333451E-2</v>
      </c>
      <c r="I18" s="451">
        <v>0.97697400000000001</v>
      </c>
      <c r="J18" s="452" t="s">
        <v>1</v>
      </c>
    </row>
    <row r="19" spans="1:10" ht="14.4" customHeight="1" x14ac:dyDescent="0.3">
      <c r="A19" s="448" t="s">
        <v>456</v>
      </c>
      <c r="B19" s="449" t="s">
        <v>298</v>
      </c>
      <c r="C19" s="450">
        <v>34.95093</v>
      </c>
      <c r="D19" s="450">
        <v>49.544840000000001</v>
      </c>
      <c r="E19" s="450"/>
      <c r="F19" s="450">
        <v>19.138100000000001</v>
      </c>
      <c r="G19" s="450">
        <v>46.746230884059997</v>
      </c>
      <c r="H19" s="450">
        <v>-27.608130884059996</v>
      </c>
      <c r="I19" s="451">
        <v>0.40940413030231931</v>
      </c>
      <c r="J19" s="452" t="s">
        <v>1</v>
      </c>
    </row>
    <row r="20" spans="1:10" ht="14.4" customHeight="1" x14ac:dyDescent="0.3">
      <c r="A20" s="448" t="s">
        <v>456</v>
      </c>
      <c r="B20" s="449" t="s">
        <v>299</v>
      </c>
      <c r="C20" s="450">
        <v>6.8000000000000005E-2</v>
      </c>
      <c r="D20" s="450">
        <v>0</v>
      </c>
      <c r="E20" s="450"/>
      <c r="F20" s="450">
        <v>0.54</v>
      </c>
      <c r="G20" s="450">
        <v>0.83333333333333337</v>
      </c>
      <c r="H20" s="450">
        <v>-0.29333333333333333</v>
      </c>
      <c r="I20" s="451">
        <v>0.64800000000000002</v>
      </c>
      <c r="J20" s="452" t="s">
        <v>1</v>
      </c>
    </row>
    <row r="21" spans="1:10" ht="14.4" customHeight="1" x14ac:dyDescent="0.3">
      <c r="A21" s="448" t="s">
        <v>456</v>
      </c>
      <c r="B21" s="449" t="s">
        <v>300</v>
      </c>
      <c r="C21" s="450">
        <v>4.1180000000000003</v>
      </c>
      <c r="D21" s="450">
        <v>4.97</v>
      </c>
      <c r="E21" s="450"/>
      <c r="F21" s="450">
        <v>4.1399999999999997</v>
      </c>
      <c r="G21" s="450">
        <v>5</v>
      </c>
      <c r="H21" s="450">
        <v>-0.86000000000000032</v>
      </c>
      <c r="I21" s="451">
        <v>0.82799999999999996</v>
      </c>
      <c r="J21" s="452" t="s">
        <v>1</v>
      </c>
    </row>
    <row r="22" spans="1:10" ht="14.4" customHeight="1" x14ac:dyDescent="0.3">
      <c r="A22" s="448" t="s">
        <v>456</v>
      </c>
      <c r="B22" s="449" t="s">
        <v>458</v>
      </c>
      <c r="C22" s="450">
        <v>3688.5624400000102</v>
      </c>
      <c r="D22" s="450">
        <v>3680.2339400000001</v>
      </c>
      <c r="E22" s="450"/>
      <c r="F22" s="450">
        <v>3824.1006500000003</v>
      </c>
      <c r="G22" s="450">
        <v>4269.5559849376232</v>
      </c>
      <c r="H22" s="450">
        <v>-445.45533493762287</v>
      </c>
      <c r="I22" s="451">
        <v>0.89566705846951655</v>
      </c>
      <c r="J22" s="452" t="s">
        <v>459</v>
      </c>
    </row>
    <row r="23" spans="1:10" ht="14.4" customHeight="1" x14ac:dyDescent="0.3">
      <c r="A23" s="448" t="s">
        <v>453</v>
      </c>
      <c r="B23" s="449" t="s">
        <v>453</v>
      </c>
      <c r="C23" s="450" t="s">
        <v>453</v>
      </c>
      <c r="D23" s="450" t="s">
        <v>453</v>
      </c>
      <c r="E23" s="450"/>
      <c r="F23" s="450" t="s">
        <v>453</v>
      </c>
      <c r="G23" s="450" t="s">
        <v>453</v>
      </c>
      <c r="H23" s="450" t="s">
        <v>453</v>
      </c>
      <c r="I23" s="451" t="s">
        <v>453</v>
      </c>
      <c r="J23" s="452" t="s">
        <v>460</v>
      </c>
    </row>
    <row r="24" spans="1:10" ht="14.4" customHeight="1" x14ac:dyDescent="0.3">
      <c r="A24" s="448" t="s">
        <v>451</v>
      </c>
      <c r="B24" s="449" t="s">
        <v>454</v>
      </c>
      <c r="C24" s="450">
        <v>3688.5624400000102</v>
      </c>
      <c r="D24" s="450">
        <v>3680.2339400000001</v>
      </c>
      <c r="E24" s="450"/>
      <c r="F24" s="450">
        <v>3824.1006500000003</v>
      </c>
      <c r="G24" s="450">
        <v>4269.5559849376232</v>
      </c>
      <c r="H24" s="450">
        <v>-445.45533493762287</v>
      </c>
      <c r="I24" s="451">
        <v>0.89566705846951655</v>
      </c>
      <c r="J24" s="452" t="s">
        <v>455</v>
      </c>
    </row>
  </sheetData>
  <mergeCells count="3">
    <mergeCell ref="A1:I1"/>
    <mergeCell ref="F3:I3"/>
    <mergeCell ref="C4:D4"/>
  </mergeCells>
  <conditionalFormatting sqref="F13 F25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24">
    <cfRule type="expression" dxfId="17" priority="5">
      <formula>$H14&gt;0</formula>
    </cfRule>
  </conditionalFormatting>
  <conditionalFormatting sqref="A14:A24">
    <cfRule type="expression" dxfId="16" priority="2">
      <formula>AND($J14&lt;&gt;"mezeraKL",$J14&lt;&gt;"")</formula>
    </cfRule>
  </conditionalFormatting>
  <conditionalFormatting sqref="I14:I24">
    <cfRule type="expression" dxfId="15" priority="6">
      <formula>$I14&gt;1</formula>
    </cfRule>
  </conditionalFormatting>
  <conditionalFormatting sqref="B14:B24">
    <cfRule type="expression" dxfId="14" priority="1">
      <formula>OR($J14="NS",$J14="SumaNS",$J14="Účet")</formula>
    </cfRule>
  </conditionalFormatting>
  <conditionalFormatting sqref="A14:D24 F14:I24">
    <cfRule type="expression" dxfId="13" priority="8">
      <formula>AND($J14&lt;&gt;"",$J14&lt;&gt;"mezeraKL")</formula>
    </cfRule>
  </conditionalFormatting>
  <conditionalFormatting sqref="B14:D24 F14:I24">
    <cfRule type="expression" dxfId="12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11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0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8" hidden="1" customWidth="1" outlineLevel="1"/>
    <col min="2" max="2" width="28.33203125" style="118" hidden="1" customWidth="1" outlineLevel="1"/>
    <col min="3" max="3" width="5.33203125" style="198" bestFit="1" customWidth="1" collapsed="1"/>
    <col min="4" max="4" width="18.77734375" style="202" customWidth="1"/>
    <col min="5" max="5" width="9" style="198" bestFit="1" customWidth="1"/>
    <col min="6" max="6" width="18.77734375" style="202" customWidth="1"/>
    <col min="7" max="7" width="12.44140625" style="198" hidden="1" customWidth="1" outlineLevel="1"/>
    <col min="8" max="8" width="25.77734375" style="198" customWidth="1" collapsed="1"/>
    <col min="9" max="9" width="7.77734375" style="196" customWidth="1"/>
    <col min="10" max="10" width="10" style="196" customWidth="1"/>
    <col min="11" max="11" width="11.109375" style="196" customWidth="1"/>
    <col min="12" max="16384" width="8.88671875" style="118"/>
  </cols>
  <sheetData>
    <row r="1" spans="1:11" ht="18.600000000000001" customHeight="1" thickBot="1" x14ac:dyDescent="0.4">
      <c r="A1" s="372" t="s">
        <v>914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14.4" customHeight="1" thickBot="1" x14ac:dyDescent="0.35">
      <c r="A2" s="224" t="s">
        <v>282</v>
      </c>
      <c r="B2" s="57"/>
      <c r="C2" s="200"/>
      <c r="D2" s="200"/>
      <c r="E2" s="200"/>
      <c r="F2" s="200"/>
      <c r="G2" s="200"/>
      <c r="H2" s="200"/>
      <c r="I2" s="201"/>
      <c r="J2" s="201"/>
      <c r="K2" s="201"/>
    </row>
    <row r="3" spans="1:11" ht="14.4" customHeight="1" thickBot="1" x14ac:dyDescent="0.35">
      <c r="A3" s="57"/>
      <c r="B3" s="57"/>
      <c r="C3" s="368"/>
      <c r="D3" s="369"/>
      <c r="E3" s="369"/>
      <c r="F3" s="369"/>
      <c r="G3" s="369"/>
      <c r="H3" s="130" t="s">
        <v>128</v>
      </c>
      <c r="I3" s="88">
        <f>IF(J3&lt;&gt;0,K3/J3,0)</f>
        <v>47.551166282938233</v>
      </c>
      <c r="J3" s="88">
        <f>SUBTOTAL(9,J5:J1048576)</f>
        <v>80496</v>
      </c>
      <c r="K3" s="89">
        <f>SUBTOTAL(9,K5:K1048576)</f>
        <v>3827678.6811113958</v>
      </c>
    </row>
    <row r="4" spans="1:11" s="197" customFormat="1" ht="14.4" customHeight="1" thickBot="1" x14ac:dyDescent="0.35">
      <c r="A4" s="515" t="s">
        <v>4</v>
      </c>
      <c r="B4" s="516" t="s">
        <v>5</v>
      </c>
      <c r="C4" s="516" t="s">
        <v>0</v>
      </c>
      <c r="D4" s="516" t="s">
        <v>6</v>
      </c>
      <c r="E4" s="516" t="s">
        <v>7</v>
      </c>
      <c r="F4" s="516" t="s">
        <v>1</v>
      </c>
      <c r="G4" s="516" t="s">
        <v>71</v>
      </c>
      <c r="H4" s="455" t="s">
        <v>11</v>
      </c>
      <c r="I4" s="456" t="s">
        <v>136</v>
      </c>
      <c r="J4" s="456" t="s">
        <v>13</v>
      </c>
      <c r="K4" s="457" t="s">
        <v>148</v>
      </c>
    </row>
    <row r="5" spans="1:11" ht="14.4" customHeight="1" x14ac:dyDescent="0.3">
      <c r="A5" s="517" t="s">
        <v>451</v>
      </c>
      <c r="B5" s="518" t="s">
        <v>452</v>
      </c>
      <c r="C5" s="519" t="s">
        <v>456</v>
      </c>
      <c r="D5" s="520" t="s">
        <v>477</v>
      </c>
      <c r="E5" s="519" t="s">
        <v>902</v>
      </c>
      <c r="F5" s="520" t="s">
        <v>903</v>
      </c>
      <c r="G5" s="519" t="s">
        <v>494</v>
      </c>
      <c r="H5" s="519" t="s">
        <v>495</v>
      </c>
      <c r="I5" s="105">
        <v>42.44</v>
      </c>
      <c r="J5" s="105">
        <v>15</v>
      </c>
      <c r="K5" s="521">
        <v>636.6</v>
      </c>
    </row>
    <row r="6" spans="1:11" ht="14.4" customHeight="1" x14ac:dyDescent="0.3">
      <c r="A6" s="522" t="s">
        <v>451</v>
      </c>
      <c r="B6" s="523" t="s">
        <v>452</v>
      </c>
      <c r="C6" s="524" t="s">
        <v>456</v>
      </c>
      <c r="D6" s="525" t="s">
        <v>477</v>
      </c>
      <c r="E6" s="524" t="s">
        <v>902</v>
      </c>
      <c r="F6" s="525" t="s">
        <v>903</v>
      </c>
      <c r="G6" s="524" t="s">
        <v>496</v>
      </c>
      <c r="H6" s="524" t="s">
        <v>497</v>
      </c>
      <c r="I6" s="526">
        <v>0.51</v>
      </c>
      <c r="J6" s="526">
        <v>1000</v>
      </c>
      <c r="K6" s="527">
        <v>510</v>
      </c>
    </row>
    <row r="7" spans="1:11" ht="14.4" customHeight="1" x14ac:dyDescent="0.3">
      <c r="A7" s="522" t="s">
        <v>451</v>
      </c>
      <c r="B7" s="523" t="s">
        <v>452</v>
      </c>
      <c r="C7" s="524" t="s">
        <v>456</v>
      </c>
      <c r="D7" s="525" t="s">
        <v>477</v>
      </c>
      <c r="E7" s="524" t="s">
        <v>902</v>
      </c>
      <c r="F7" s="525" t="s">
        <v>903</v>
      </c>
      <c r="G7" s="524" t="s">
        <v>498</v>
      </c>
      <c r="H7" s="524" t="s">
        <v>499</v>
      </c>
      <c r="I7" s="526">
        <v>0.42</v>
      </c>
      <c r="J7" s="526">
        <v>500</v>
      </c>
      <c r="K7" s="527">
        <v>210</v>
      </c>
    </row>
    <row r="8" spans="1:11" ht="14.4" customHeight="1" x14ac:dyDescent="0.3">
      <c r="A8" s="522" t="s">
        <v>451</v>
      </c>
      <c r="B8" s="523" t="s">
        <v>452</v>
      </c>
      <c r="C8" s="524" t="s">
        <v>456</v>
      </c>
      <c r="D8" s="525" t="s">
        <v>477</v>
      </c>
      <c r="E8" s="524" t="s">
        <v>902</v>
      </c>
      <c r="F8" s="525" t="s">
        <v>903</v>
      </c>
      <c r="G8" s="524" t="s">
        <v>500</v>
      </c>
      <c r="H8" s="524" t="s">
        <v>501</v>
      </c>
      <c r="I8" s="526">
        <v>28.74</v>
      </c>
      <c r="J8" s="526">
        <v>48</v>
      </c>
      <c r="K8" s="527">
        <v>1379.52</v>
      </c>
    </row>
    <row r="9" spans="1:11" ht="14.4" customHeight="1" x14ac:dyDescent="0.3">
      <c r="A9" s="522" t="s">
        <v>451</v>
      </c>
      <c r="B9" s="523" t="s">
        <v>452</v>
      </c>
      <c r="C9" s="524" t="s">
        <v>456</v>
      </c>
      <c r="D9" s="525" t="s">
        <v>477</v>
      </c>
      <c r="E9" s="524" t="s">
        <v>902</v>
      </c>
      <c r="F9" s="525" t="s">
        <v>903</v>
      </c>
      <c r="G9" s="524" t="s">
        <v>502</v>
      </c>
      <c r="H9" s="524" t="s">
        <v>503</v>
      </c>
      <c r="I9" s="526">
        <v>26.37</v>
      </c>
      <c r="J9" s="526">
        <v>12</v>
      </c>
      <c r="K9" s="527">
        <v>316.44</v>
      </c>
    </row>
    <row r="10" spans="1:11" ht="14.4" customHeight="1" x14ac:dyDescent="0.3">
      <c r="A10" s="522" t="s">
        <v>451</v>
      </c>
      <c r="B10" s="523" t="s">
        <v>452</v>
      </c>
      <c r="C10" s="524" t="s">
        <v>456</v>
      </c>
      <c r="D10" s="525" t="s">
        <v>477</v>
      </c>
      <c r="E10" s="524" t="s">
        <v>902</v>
      </c>
      <c r="F10" s="525" t="s">
        <v>903</v>
      </c>
      <c r="G10" s="524" t="s">
        <v>504</v>
      </c>
      <c r="H10" s="524" t="s">
        <v>505</v>
      </c>
      <c r="I10" s="526">
        <v>7.51</v>
      </c>
      <c r="J10" s="526">
        <v>12</v>
      </c>
      <c r="K10" s="527">
        <v>90.12</v>
      </c>
    </row>
    <row r="11" spans="1:11" ht="14.4" customHeight="1" x14ac:dyDescent="0.3">
      <c r="A11" s="522" t="s">
        <v>451</v>
      </c>
      <c r="B11" s="523" t="s">
        <v>452</v>
      </c>
      <c r="C11" s="524" t="s">
        <v>456</v>
      </c>
      <c r="D11" s="525" t="s">
        <v>477</v>
      </c>
      <c r="E11" s="524" t="s">
        <v>902</v>
      </c>
      <c r="F11" s="525" t="s">
        <v>903</v>
      </c>
      <c r="G11" s="524" t="s">
        <v>506</v>
      </c>
      <c r="H11" s="524" t="s">
        <v>507</v>
      </c>
      <c r="I11" s="526">
        <v>0.38</v>
      </c>
      <c r="J11" s="526">
        <v>100</v>
      </c>
      <c r="K11" s="527">
        <v>38</v>
      </c>
    </row>
    <row r="12" spans="1:11" ht="14.4" customHeight="1" x14ac:dyDescent="0.3">
      <c r="A12" s="522" t="s">
        <v>451</v>
      </c>
      <c r="B12" s="523" t="s">
        <v>452</v>
      </c>
      <c r="C12" s="524" t="s">
        <v>456</v>
      </c>
      <c r="D12" s="525" t="s">
        <v>477</v>
      </c>
      <c r="E12" s="524" t="s">
        <v>902</v>
      </c>
      <c r="F12" s="525" t="s">
        <v>903</v>
      </c>
      <c r="G12" s="524" t="s">
        <v>508</v>
      </c>
      <c r="H12" s="524" t="s">
        <v>509</v>
      </c>
      <c r="I12" s="526">
        <v>7.59</v>
      </c>
      <c r="J12" s="526">
        <v>10</v>
      </c>
      <c r="K12" s="527">
        <v>75.900000000000006</v>
      </c>
    </row>
    <row r="13" spans="1:11" ht="14.4" customHeight="1" x14ac:dyDescent="0.3">
      <c r="A13" s="522" t="s">
        <v>451</v>
      </c>
      <c r="B13" s="523" t="s">
        <v>452</v>
      </c>
      <c r="C13" s="524" t="s">
        <v>456</v>
      </c>
      <c r="D13" s="525" t="s">
        <v>477</v>
      </c>
      <c r="E13" s="524" t="s">
        <v>904</v>
      </c>
      <c r="F13" s="525" t="s">
        <v>905</v>
      </c>
      <c r="G13" s="524" t="s">
        <v>510</v>
      </c>
      <c r="H13" s="524" t="s">
        <v>511</v>
      </c>
      <c r="I13" s="526">
        <v>2.0333333333333332</v>
      </c>
      <c r="J13" s="526">
        <v>200</v>
      </c>
      <c r="K13" s="527">
        <v>407</v>
      </c>
    </row>
    <row r="14" spans="1:11" ht="14.4" customHeight="1" x14ac:dyDescent="0.3">
      <c r="A14" s="522" t="s">
        <v>451</v>
      </c>
      <c r="B14" s="523" t="s">
        <v>452</v>
      </c>
      <c r="C14" s="524" t="s">
        <v>456</v>
      </c>
      <c r="D14" s="525" t="s">
        <v>477</v>
      </c>
      <c r="E14" s="524" t="s">
        <v>904</v>
      </c>
      <c r="F14" s="525" t="s">
        <v>905</v>
      </c>
      <c r="G14" s="524" t="s">
        <v>512</v>
      </c>
      <c r="H14" s="524" t="s">
        <v>513</v>
      </c>
      <c r="I14" s="526">
        <v>1.92</v>
      </c>
      <c r="J14" s="526">
        <v>50</v>
      </c>
      <c r="K14" s="527">
        <v>96</v>
      </c>
    </row>
    <row r="15" spans="1:11" ht="14.4" customHeight="1" x14ac:dyDescent="0.3">
      <c r="A15" s="522" t="s">
        <v>451</v>
      </c>
      <c r="B15" s="523" t="s">
        <v>452</v>
      </c>
      <c r="C15" s="524" t="s">
        <v>456</v>
      </c>
      <c r="D15" s="525" t="s">
        <v>477</v>
      </c>
      <c r="E15" s="524" t="s">
        <v>904</v>
      </c>
      <c r="F15" s="525" t="s">
        <v>905</v>
      </c>
      <c r="G15" s="524" t="s">
        <v>514</v>
      </c>
      <c r="H15" s="524" t="s">
        <v>515</v>
      </c>
      <c r="I15" s="526">
        <v>1.4999999999999999E-2</v>
      </c>
      <c r="J15" s="526">
        <v>600</v>
      </c>
      <c r="K15" s="527">
        <v>10</v>
      </c>
    </row>
    <row r="16" spans="1:11" ht="14.4" customHeight="1" x14ac:dyDescent="0.3">
      <c r="A16" s="522" t="s">
        <v>451</v>
      </c>
      <c r="B16" s="523" t="s">
        <v>452</v>
      </c>
      <c r="C16" s="524" t="s">
        <v>456</v>
      </c>
      <c r="D16" s="525" t="s">
        <v>477</v>
      </c>
      <c r="E16" s="524" t="s">
        <v>904</v>
      </c>
      <c r="F16" s="525" t="s">
        <v>905</v>
      </c>
      <c r="G16" s="524" t="s">
        <v>516</v>
      </c>
      <c r="H16" s="524" t="s">
        <v>517</v>
      </c>
      <c r="I16" s="526">
        <v>2.06</v>
      </c>
      <c r="J16" s="526">
        <v>869</v>
      </c>
      <c r="K16" s="527">
        <v>1787.81</v>
      </c>
    </row>
    <row r="17" spans="1:11" ht="14.4" customHeight="1" x14ac:dyDescent="0.3">
      <c r="A17" s="522" t="s">
        <v>451</v>
      </c>
      <c r="B17" s="523" t="s">
        <v>452</v>
      </c>
      <c r="C17" s="524" t="s">
        <v>456</v>
      </c>
      <c r="D17" s="525" t="s">
        <v>477</v>
      </c>
      <c r="E17" s="524" t="s">
        <v>904</v>
      </c>
      <c r="F17" s="525" t="s">
        <v>905</v>
      </c>
      <c r="G17" s="524" t="s">
        <v>518</v>
      </c>
      <c r="H17" s="524" t="s">
        <v>519</v>
      </c>
      <c r="I17" s="526">
        <v>0.31</v>
      </c>
      <c r="J17" s="526">
        <v>9000</v>
      </c>
      <c r="K17" s="527">
        <v>2808.66</v>
      </c>
    </row>
    <row r="18" spans="1:11" ht="14.4" customHeight="1" x14ac:dyDescent="0.3">
      <c r="A18" s="522" t="s">
        <v>451</v>
      </c>
      <c r="B18" s="523" t="s">
        <v>452</v>
      </c>
      <c r="C18" s="524" t="s">
        <v>456</v>
      </c>
      <c r="D18" s="525" t="s">
        <v>477</v>
      </c>
      <c r="E18" s="524" t="s">
        <v>904</v>
      </c>
      <c r="F18" s="525" t="s">
        <v>905</v>
      </c>
      <c r="G18" s="524" t="s">
        <v>520</v>
      </c>
      <c r="H18" s="524" t="s">
        <v>521</v>
      </c>
      <c r="I18" s="526">
        <v>11.74</v>
      </c>
      <c r="J18" s="526">
        <v>100</v>
      </c>
      <c r="K18" s="527">
        <v>1174</v>
      </c>
    </row>
    <row r="19" spans="1:11" ht="14.4" customHeight="1" x14ac:dyDescent="0.3">
      <c r="A19" s="522" t="s">
        <v>451</v>
      </c>
      <c r="B19" s="523" t="s">
        <v>452</v>
      </c>
      <c r="C19" s="524" t="s">
        <v>456</v>
      </c>
      <c r="D19" s="525" t="s">
        <v>477</v>
      </c>
      <c r="E19" s="524" t="s">
        <v>904</v>
      </c>
      <c r="F19" s="525" t="s">
        <v>905</v>
      </c>
      <c r="G19" s="524" t="s">
        <v>522</v>
      </c>
      <c r="H19" s="524" t="s">
        <v>523</v>
      </c>
      <c r="I19" s="526">
        <v>25.53</v>
      </c>
      <c r="J19" s="526">
        <v>20</v>
      </c>
      <c r="K19" s="527">
        <v>510.6</v>
      </c>
    </row>
    <row r="20" spans="1:11" ht="14.4" customHeight="1" x14ac:dyDescent="0.3">
      <c r="A20" s="522" t="s">
        <v>451</v>
      </c>
      <c r="B20" s="523" t="s">
        <v>452</v>
      </c>
      <c r="C20" s="524" t="s">
        <v>456</v>
      </c>
      <c r="D20" s="525" t="s">
        <v>477</v>
      </c>
      <c r="E20" s="524" t="s">
        <v>904</v>
      </c>
      <c r="F20" s="525" t="s">
        <v>905</v>
      </c>
      <c r="G20" s="524" t="s">
        <v>524</v>
      </c>
      <c r="H20" s="524" t="s">
        <v>525</v>
      </c>
      <c r="I20" s="526">
        <v>0.59</v>
      </c>
      <c r="J20" s="526">
        <v>9000</v>
      </c>
      <c r="K20" s="527">
        <v>5272.9400000000005</v>
      </c>
    </row>
    <row r="21" spans="1:11" ht="14.4" customHeight="1" x14ac:dyDescent="0.3">
      <c r="A21" s="522" t="s">
        <v>451</v>
      </c>
      <c r="B21" s="523" t="s">
        <v>452</v>
      </c>
      <c r="C21" s="524" t="s">
        <v>456</v>
      </c>
      <c r="D21" s="525" t="s">
        <v>477</v>
      </c>
      <c r="E21" s="524" t="s">
        <v>904</v>
      </c>
      <c r="F21" s="525" t="s">
        <v>905</v>
      </c>
      <c r="G21" s="524" t="s">
        <v>526</v>
      </c>
      <c r="H21" s="524" t="s">
        <v>527</v>
      </c>
      <c r="I21" s="526">
        <v>5.47</v>
      </c>
      <c r="J21" s="526">
        <v>600</v>
      </c>
      <c r="K21" s="527">
        <v>3282.97</v>
      </c>
    </row>
    <row r="22" spans="1:11" ht="14.4" customHeight="1" x14ac:dyDescent="0.3">
      <c r="A22" s="522" t="s">
        <v>451</v>
      </c>
      <c r="B22" s="523" t="s">
        <v>452</v>
      </c>
      <c r="C22" s="524" t="s">
        <v>456</v>
      </c>
      <c r="D22" s="525" t="s">
        <v>477</v>
      </c>
      <c r="E22" s="524" t="s">
        <v>904</v>
      </c>
      <c r="F22" s="525" t="s">
        <v>905</v>
      </c>
      <c r="G22" s="524" t="s">
        <v>528</v>
      </c>
      <c r="H22" s="524" t="s">
        <v>529</v>
      </c>
      <c r="I22" s="526">
        <v>0.61</v>
      </c>
      <c r="J22" s="526">
        <v>1000</v>
      </c>
      <c r="K22" s="527">
        <v>610.80999999999995</v>
      </c>
    </row>
    <row r="23" spans="1:11" ht="14.4" customHeight="1" x14ac:dyDescent="0.3">
      <c r="A23" s="522" t="s">
        <v>451</v>
      </c>
      <c r="B23" s="523" t="s">
        <v>452</v>
      </c>
      <c r="C23" s="524" t="s">
        <v>456</v>
      </c>
      <c r="D23" s="525" t="s">
        <v>477</v>
      </c>
      <c r="E23" s="524" t="s">
        <v>904</v>
      </c>
      <c r="F23" s="525" t="s">
        <v>905</v>
      </c>
      <c r="G23" s="524" t="s">
        <v>530</v>
      </c>
      <c r="H23" s="524" t="s">
        <v>531</v>
      </c>
      <c r="I23" s="526">
        <v>70.180000000000007</v>
      </c>
      <c r="J23" s="526">
        <v>20</v>
      </c>
      <c r="K23" s="527">
        <v>1403.6</v>
      </c>
    </row>
    <row r="24" spans="1:11" ht="14.4" customHeight="1" x14ac:dyDescent="0.3">
      <c r="A24" s="522" t="s">
        <v>451</v>
      </c>
      <c r="B24" s="523" t="s">
        <v>452</v>
      </c>
      <c r="C24" s="524" t="s">
        <v>456</v>
      </c>
      <c r="D24" s="525" t="s">
        <v>477</v>
      </c>
      <c r="E24" s="524" t="s">
        <v>904</v>
      </c>
      <c r="F24" s="525" t="s">
        <v>905</v>
      </c>
      <c r="G24" s="524" t="s">
        <v>532</v>
      </c>
      <c r="H24" s="524" t="s">
        <v>533</v>
      </c>
      <c r="I24" s="526">
        <v>0.5</v>
      </c>
      <c r="J24" s="526">
        <v>1000</v>
      </c>
      <c r="K24" s="527">
        <v>498.52</v>
      </c>
    </row>
    <row r="25" spans="1:11" ht="14.4" customHeight="1" x14ac:dyDescent="0.3">
      <c r="A25" s="522" t="s">
        <v>451</v>
      </c>
      <c r="B25" s="523" t="s">
        <v>452</v>
      </c>
      <c r="C25" s="524" t="s">
        <v>456</v>
      </c>
      <c r="D25" s="525" t="s">
        <v>477</v>
      </c>
      <c r="E25" s="524" t="s">
        <v>904</v>
      </c>
      <c r="F25" s="525" t="s">
        <v>905</v>
      </c>
      <c r="G25" s="524" t="s">
        <v>534</v>
      </c>
      <c r="H25" s="524" t="s">
        <v>535</v>
      </c>
      <c r="I25" s="526">
        <v>0.35</v>
      </c>
      <c r="J25" s="526">
        <v>1000</v>
      </c>
      <c r="K25" s="527">
        <v>350.9</v>
      </c>
    </row>
    <row r="26" spans="1:11" ht="14.4" customHeight="1" x14ac:dyDescent="0.3">
      <c r="A26" s="522" t="s">
        <v>451</v>
      </c>
      <c r="B26" s="523" t="s">
        <v>452</v>
      </c>
      <c r="C26" s="524" t="s">
        <v>456</v>
      </c>
      <c r="D26" s="525" t="s">
        <v>477</v>
      </c>
      <c r="E26" s="524" t="s">
        <v>904</v>
      </c>
      <c r="F26" s="525" t="s">
        <v>905</v>
      </c>
      <c r="G26" s="524" t="s">
        <v>536</v>
      </c>
      <c r="H26" s="524" t="s">
        <v>537</v>
      </c>
      <c r="I26" s="526">
        <v>4.7699999999999996</v>
      </c>
      <c r="J26" s="526">
        <v>150</v>
      </c>
      <c r="K26" s="527">
        <v>715.29</v>
      </c>
    </row>
    <row r="27" spans="1:11" ht="14.4" customHeight="1" x14ac:dyDescent="0.3">
      <c r="A27" s="522" t="s">
        <v>451</v>
      </c>
      <c r="B27" s="523" t="s">
        <v>452</v>
      </c>
      <c r="C27" s="524" t="s">
        <v>456</v>
      </c>
      <c r="D27" s="525" t="s">
        <v>477</v>
      </c>
      <c r="E27" s="524" t="s">
        <v>904</v>
      </c>
      <c r="F27" s="525" t="s">
        <v>905</v>
      </c>
      <c r="G27" s="524" t="s">
        <v>538</v>
      </c>
      <c r="H27" s="524" t="s">
        <v>539</v>
      </c>
      <c r="I27" s="526">
        <v>2.09</v>
      </c>
      <c r="J27" s="526">
        <v>100</v>
      </c>
      <c r="K27" s="527">
        <v>209</v>
      </c>
    </row>
    <row r="28" spans="1:11" ht="14.4" customHeight="1" x14ac:dyDescent="0.3">
      <c r="A28" s="522" t="s">
        <v>451</v>
      </c>
      <c r="B28" s="523" t="s">
        <v>452</v>
      </c>
      <c r="C28" s="524" t="s">
        <v>456</v>
      </c>
      <c r="D28" s="525" t="s">
        <v>477</v>
      </c>
      <c r="E28" s="524" t="s">
        <v>906</v>
      </c>
      <c r="F28" s="525" t="s">
        <v>907</v>
      </c>
      <c r="G28" s="524" t="s">
        <v>540</v>
      </c>
      <c r="H28" s="524" t="s">
        <v>541</v>
      </c>
      <c r="I28" s="526">
        <v>0.16</v>
      </c>
      <c r="J28" s="526">
        <v>10000</v>
      </c>
      <c r="K28" s="527">
        <v>1557.27</v>
      </c>
    </row>
    <row r="29" spans="1:11" ht="14.4" customHeight="1" x14ac:dyDescent="0.3">
      <c r="A29" s="522" t="s">
        <v>451</v>
      </c>
      <c r="B29" s="523" t="s">
        <v>452</v>
      </c>
      <c r="C29" s="524" t="s">
        <v>456</v>
      </c>
      <c r="D29" s="525" t="s">
        <v>477</v>
      </c>
      <c r="E29" s="524" t="s">
        <v>906</v>
      </c>
      <c r="F29" s="525" t="s">
        <v>907</v>
      </c>
      <c r="G29" s="524" t="s">
        <v>542</v>
      </c>
      <c r="H29" s="524" t="s">
        <v>543</v>
      </c>
      <c r="I29" s="526">
        <v>1.0900000000000001</v>
      </c>
      <c r="J29" s="526">
        <v>12000</v>
      </c>
      <c r="K29" s="527">
        <v>13111.560000000001</v>
      </c>
    </row>
    <row r="30" spans="1:11" ht="14.4" customHeight="1" x14ac:dyDescent="0.3">
      <c r="A30" s="522" t="s">
        <v>451</v>
      </c>
      <c r="B30" s="523" t="s">
        <v>452</v>
      </c>
      <c r="C30" s="524" t="s">
        <v>456</v>
      </c>
      <c r="D30" s="525" t="s">
        <v>477</v>
      </c>
      <c r="E30" s="524" t="s">
        <v>906</v>
      </c>
      <c r="F30" s="525" t="s">
        <v>907</v>
      </c>
      <c r="G30" s="524" t="s">
        <v>544</v>
      </c>
      <c r="H30" s="524" t="s">
        <v>545</v>
      </c>
      <c r="I30" s="526">
        <v>9.31</v>
      </c>
      <c r="J30" s="526">
        <v>360</v>
      </c>
      <c r="K30" s="527">
        <v>3352</v>
      </c>
    </row>
    <row r="31" spans="1:11" ht="14.4" customHeight="1" x14ac:dyDescent="0.3">
      <c r="A31" s="522" t="s">
        <v>451</v>
      </c>
      <c r="B31" s="523" t="s">
        <v>452</v>
      </c>
      <c r="C31" s="524" t="s">
        <v>456</v>
      </c>
      <c r="D31" s="525" t="s">
        <v>477</v>
      </c>
      <c r="E31" s="524" t="s">
        <v>906</v>
      </c>
      <c r="F31" s="525" t="s">
        <v>907</v>
      </c>
      <c r="G31" s="524" t="s">
        <v>546</v>
      </c>
      <c r="H31" s="524" t="s">
        <v>547</v>
      </c>
      <c r="I31" s="526">
        <v>0.43</v>
      </c>
      <c r="J31" s="526">
        <v>500</v>
      </c>
      <c r="K31" s="527">
        <v>214.17</v>
      </c>
    </row>
    <row r="32" spans="1:11" ht="14.4" customHeight="1" x14ac:dyDescent="0.3">
      <c r="A32" s="522" t="s">
        <v>451</v>
      </c>
      <c r="B32" s="523" t="s">
        <v>452</v>
      </c>
      <c r="C32" s="524" t="s">
        <v>456</v>
      </c>
      <c r="D32" s="525" t="s">
        <v>477</v>
      </c>
      <c r="E32" s="524" t="s">
        <v>906</v>
      </c>
      <c r="F32" s="525" t="s">
        <v>907</v>
      </c>
      <c r="G32" s="524" t="s">
        <v>548</v>
      </c>
      <c r="H32" s="524" t="s">
        <v>549</v>
      </c>
      <c r="I32" s="526">
        <v>0.25</v>
      </c>
      <c r="J32" s="526">
        <v>2000</v>
      </c>
      <c r="K32" s="527">
        <v>503.12</v>
      </c>
    </row>
    <row r="33" spans="1:11" ht="14.4" customHeight="1" x14ac:dyDescent="0.3">
      <c r="A33" s="522" t="s">
        <v>451</v>
      </c>
      <c r="B33" s="523" t="s">
        <v>452</v>
      </c>
      <c r="C33" s="524" t="s">
        <v>456</v>
      </c>
      <c r="D33" s="525" t="s">
        <v>477</v>
      </c>
      <c r="E33" s="524" t="s">
        <v>906</v>
      </c>
      <c r="F33" s="525" t="s">
        <v>907</v>
      </c>
      <c r="G33" s="524" t="s">
        <v>550</v>
      </c>
      <c r="H33" s="524" t="s">
        <v>551</v>
      </c>
      <c r="I33" s="526">
        <v>0.12</v>
      </c>
      <c r="J33" s="526">
        <v>4000</v>
      </c>
      <c r="K33" s="527">
        <v>498.51</v>
      </c>
    </row>
    <row r="34" spans="1:11" ht="14.4" customHeight="1" x14ac:dyDescent="0.3">
      <c r="A34" s="522" t="s">
        <v>451</v>
      </c>
      <c r="B34" s="523" t="s">
        <v>452</v>
      </c>
      <c r="C34" s="524" t="s">
        <v>456</v>
      </c>
      <c r="D34" s="525" t="s">
        <v>477</v>
      </c>
      <c r="E34" s="524" t="s">
        <v>906</v>
      </c>
      <c r="F34" s="525" t="s">
        <v>907</v>
      </c>
      <c r="G34" s="524" t="s">
        <v>552</v>
      </c>
      <c r="H34" s="524" t="s">
        <v>553</v>
      </c>
      <c r="I34" s="526">
        <v>0.125</v>
      </c>
      <c r="J34" s="526">
        <v>4000</v>
      </c>
      <c r="K34" s="527">
        <v>500</v>
      </c>
    </row>
    <row r="35" spans="1:11" ht="14.4" customHeight="1" x14ac:dyDescent="0.3">
      <c r="A35" s="522" t="s">
        <v>451</v>
      </c>
      <c r="B35" s="523" t="s">
        <v>452</v>
      </c>
      <c r="C35" s="524" t="s">
        <v>456</v>
      </c>
      <c r="D35" s="525" t="s">
        <v>477</v>
      </c>
      <c r="E35" s="524" t="s">
        <v>906</v>
      </c>
      <c r="F35" s="525" t="s">
        <v>907</v>
      </c>
      <c r="G35" s="524" t="s">
        <v>554</v>
      </c>
      <c r="H35" s="524" t="s">
        <v>555</v>
      </c>
      <c r="I35" s="526">
        <v>1.39</v>
      </c>
      <c r="J35" s="526">
        <v>2000</v>
      </c>
      <c r="K35" s="527">
        <v>2771.87</v>
      </c>
    </row>
    <row r="36" spans="1:11" ht="14.4" customHeight="1" x14ac:dyDescent="0.3">
      <c r="A36" s="522" t="s">
        <v>451</v>
      </c>
      <c r="B36" s="523" t="s">
        <v>452</v>
      </c>
      <c r="C36" s="524" t="s">
        <v>456</v>
      </c>
      <c r="D36" s="525" t="s">
        <v>477</v>
      </c>
      <c r="E36" s="524" t="s">
        <v>906</v>
      </c>
      <c r="F36" s="525" t="s">
        <v>907</v>
      </c>
      <c r="G36" s="524" t="s">
        <v>556</v>
      </c>
      <c r="H36" s="524" t="s">
        <v>557</v>
      </c>
      <c r="I36" s="526">
        <v>0.28000000000000003</v>
      </c>
      <c r="J36" s="526">
        <v>4000</v>
      </c>
      <c r="K36" s="527">
        <v>1113.2</v>
      </c>
    </row>
    <row r="37" spans="1:11" ht="14.4" customHeight="1" x14ac:dyDescent="0.3">
      <c r="A37" s="522" t="s">
        <v>451</v>
      </c>
      <c r="B37" s="523" t="s">
        <v>452</v>
      </c>
      <c r="C37" s="524" t="s">
        <v>456</v>
      </c>
      <c r="D37" s="525" t="s">
        <v>477</v>
      </c>
      <c r="E37" s="524" t="s">
        <v>906</v>
      </c>
      <c r="F37" s="525" t="s">
        <v>907</v>
      </c>
      <c r="G37" s="524" t="s">
        <v>558</v>
      </c>
      <c r="H37" s="524" t="s">
        <v>559</v>
      </c>
      <c r="I37" s="526">
        <v>2.7949999999999999</v>
      </c>
      <c r="J37" s="526">
        <v>1160</v>
      </c>
      <c r="K37" s="527">
        <v>3246.08</v>
      </c>
    </row>
    <row r="38" spans="1:11" ht="14.4" customHeight="1" x14ac:dyDescent="0.3">
      <c r="A38" s="522" t="s">
        <v>451</v>
      </c>
      <c r="B38" s="523" t="s">
        <v>452</v>
      </c>
      <c r="C38" s="524" t="s">
        <v>456</v>
      </c>
      <c r="D38" s="525" t="s">
        <v>477</v>
      </c>
      <c r="E38" s="524" t="s">
        <v>906</v>
      </c>
      <c r="F38" s="525" t="s">
        <v>907</v>
      </c>
      <c r="G38" s="524" t="s">
        <v>560</v>
      </c>
      <c r="H38" s="524" t="s">
        <v>561</v>
      </c>
      <c r="I38" s="526">
        <v>0.82</v>
      </c>
      <c r="J38" s="526">
        <v>2000</v>
      </c>
      <c r="K38" s="527">
        <v>1648.02</v>
      </c>
    </row>
    <row r="39" spans="1:11" ht="14.4" customHeight="1" x14ac:dyDescent="0.3">
      <c r="A39" s="522" t="s">
        <v>451</v>
      </c>
      <c r="B39" s="523" t="s">
        <v>452</v>
      </c>
      <c r="C39" s="524" t="s">
        <v>456</v>
      </c>
      <c r="D39" s="525" t="s">
        <v>477</v>
      </c>
      <c r="E39" s="524" t="s">
        <v>906</v>
      </c>
      <c r="F39" s="525" t="s">
        <v>907</v>
      </c>
      <c r="G39" s="524" t="s">
        <v>562</v>
      </c>
      <c r="H39" s="524" t="s">
        <v>563</v>
      </c>
      <c r="I39" s="526">
        <v>0.84</v>
      </c>
      <c r="J39" s="526">
        <v>2000</v>
      </c>
      <c r="K39" s="527">
        <v>1679.48</v>
      </c>
    </row>
    <row r="40" spans="1:11" ht="14.4" customHeight="1" x14ac:dyDescent="0.3">
      <c r="A40" s="522" t="s">
        <v>451</v>
      </c>
      <c r="B40" s="523" t="s">
        <v>452</v>
      </c>
      <c r="C40" s="524" t="s">
        <v>456</v>
      </c>
      <c r="D40" s="525" t="s">
        <v>477</v>
      </c>
      <c r="E40" s="524" t="s">
        <v>906</v>
      </c>
      <c r="F40" s="525" t="s">
        <v>907</v>
      </c>
      <c r="G40" s="524" t="s">
        <v>564</v>
      </c>
      <c r="H40" s="524" t="s">
        <v>565</v>
      </c>
      <c r="I40" s="526">
        <v>1.49</v>
      </c>
      <c r="J40" s="526">
        <v>2000</v>
      </c>
      <c r="K40" s="527">
        <v>2972.73</v>
      </c>
    </row>
    <row r="41" spans="1:11" ht="14.4" customHeight="1" x14ac:dyDescent="0.3">
      <c r="A41" s="522" t="s">
        <v>451</v>
      </c>
      <c r="B41" s="523" t="s">
        <v>452</v>
      </c>
      <c r="C41" s="524" t="s">
        <v>456</v>
      </c>
      <c r="D41" s="525" t="s">
        <v>477</v>
      </c>
      <c r="E41" s="524" t="s">
        <v>906</v>
      </c>
      <c r="F41" s="525" t="s">
        <v>907</v>
      </c>
      <c r="G41" s="524" t="s">
        <v>566</v>
      </c>
      <c r="H41" s="524" t="s">
        <v>567</v>
      </c>
      <c r="I41" s="526">
        <v>1.37</v>
      </c>
      <c r="J41" s="526">
        <v>1000</v>
      </c>
      <c r="K41" s="527">
        <v>1370</v>
      </c>
    </row>
    <row r="42" spans="1:11" ht="14.4" customHeight="1" x14ac:dyDescent="0.3">
      <c r="A42" s="522" t="s">
        <v>451</v>
      </c>
      <c r="B42" s="523" t="s">
        <v>452</v>
      </c>
      <c r="C42" s="524" t="s">
        <v>456</v>
      </c>
      <c r="D42" s="525" t="s">
        <v>477</v>
      </c>
      <c r="E42" s="524" t="s">
        <v>906</v>
      </c>
      <c r="F42" s="525" t="s">
        <v>907</v>
      </c>
      <c r="G42" s="524" t="s">
        <v>568</v>
      </c>
      <c r="H42" s="524" t="s">
        <v>569</v>
      </c>
      <c r="I42" s="526">
        <v>255.13</v>
      </c>
      <c r="J42" s="526">
        <v>40</v>
      </c>
      <c r="K42" s="527">
        <v>10205.14</v>
      </c>
    </row>
    <row r="43" spans="1:11" ht="14.4" customHeight="1" x14ac:dyDescent="0.3">
      <c r="A43" s="522" t="s">
        <v>451</v>
      </c>
      <c r="B43" s="523" t="s">
        <v>452</v>
      </c>
      <c r="C43" s="524" t="s">
        <v>456</v>
      </c>
      <c r="D43" s="525" t="s">
        <v>477</v>
      </c>
      <c r="E43" s="524" t="s">
        <v>906</v>
      </c>
      <c r="F43" s="525" t="s">
        <v>907</v>
      </c>
      <c r="G43" s="524" t="s">
        <v>570</v>
      </c>
      <c r="H43" s="524" t="s">
        <v>571</v>
      </c>
      <c r="I43" s="526">
        <v>23.66</v>
      </c>
      <c r="J43" s="526">
        <v>50</v>
      </c>
      <c r="K43" s="527">
        <v>1182.9000000000001</v>
      </c>
    </row>
    <row r="44" spans="1:11" ht="14.4" customHeight="1" x14ac:dyDescent="0.3">
      <c r="A44" s="522" t="s">
        <v>451</v>
      </c>
      <c r="B44" s="523" t="s">
        <v>452</v>
      </c>
      <c r="C44" s="524" t="s">
        <v>456</v>
      </c>
      <c r="D44" s="525" t="s">
        <v>477</v>
      </c>
      <c r="E44" s="524" t="s">
        <v>906</v>
      </c>
      <c r="F44" s="525" t="s">
        <v>907</v>
      </c>
      <c r="G44" s="524" t="s">
        <v>572</v>
      </c>
      <c r="H44" s="524" t="s">
        <v>573</v>
      </c>
      <c r="I44" s="526">
        <v>2.65</v>
      </c>
      <c r="J44" s="526">
        <v>960</v>
      </c>
      <c r="K44" s="527">
        <v>2539.62</v>
      </c>
    </row>
    <row r="45" spans="1:11" ht="14.4" customHeight="1" x14ac:dyDescent="0.3">
      <c r="A45" s="522" t="s">
        <v>451</v>
      </c>
      <c r="B45" s="523" t="s">
        <v>452</v>
      </c>
      <c r="C45" s="524" t="s">
        <v>456</v>
      </c>
      <c r="D45" s="525" t="s">
        <v>477</v>
      </c>
      <c r="E45" s="524" t="s">
        <v>908</v>
      </c>
      <c r="F45" s="525" t="s">
        <v>909</v>
      </c>
      <c r="G45" s="524" t="s">
        <v>574</v>
      </c>
      <c r="H45" s="524" t="s">
        <v>575</v>
      </c>
      <c r="I45" s="526">
        <v>1.8</v>
      </c>
      <c r="J45" s="526">
        <v>200</v>
      </c>
      <c r="K45" s="527">
        <v>360</v>
      </c>
    </row>
    <row r="46" spans="1:11" ht="14.4" customHeight="1" x14ac:dyDescent="0.3">
      <c r="A46" s="522" t="s">
        <v>451</v>
      </c>
      <c r="B46" s="523" t="s">
        <v>452</v>
      </c>
      <c r="C46" s="524" t="s">
        <v>456</v>
      </c>
      <c r="D46" s="525" t="s">
        <v>477</v>
      </c>
      <c r="E46" s="524" t="s">
        <v>908</v>
      </c>
      <c r="F46" s="525" t="s">
        <v>909</v>
      </c>
      <c r="G46" s="524" t="s">
        <v>576</v>
      </c>
      <c r="H46" s="524" t="s">
        <v>577</v>
      </c>
      <c r="I46" s="526">
        <v>1.8</v>
      </c>
      <c r="J46" s="526">
        <v>100</v>
      </c>
      <c r="K46" s="527">
        <v>180</v>
      </c>
    </row>
    <row r="47" spans="1:11" ht="14.4" customHeight="1" x14ac:dyDescent="0.3">
      <c r="A47" s="522" t="s">
        <v>451</v>
      </c>
      <c r="B47" s="523" t="s">
        <v>452</v>
      </c>
      <c r="C47" s="524" t="s">
        <v>456</v>
      </c>
      <c r="D47" s="525" t="s">
        <v>477</v>
      </c>
      <c r="E47" s="524" t="s">
        <v>910</v>
      </c>
      <c r="F47" s="525" t="s">
        <v>911</v>
      </c>
      <c r="G47" s="524" t="s">
        <v>578</v>
      </c>
      <c r="H47" s="524" t="s">
        <v>579</v>
      </c>
      <c r="I47" s="526">
        <v>0.69</v>
      </c>
      <c r="J47" s="526">
        <v>4000</v>
      </c>
      <c r="K47" s="527">
        <v>2760</v>
      </c>
    </row>
    <row r="48" spans="1:11" ht="14.4" customHeight="1" x14ac:dyDescent="0.3">
      <c r="A48" s="522" t="s">
        <v>451</v>
      </c>
      <c r="B48" s="523" t="s">
        <v>452</v>
      </c>
      <c r="C48" s="524" t="s">
        <v>456</v>
      </c>
      <c r="D48" s="525" t="s">
        <v>477</v>
      </c>
      <c r="E48" s="524" t="s">
        <v>910</v>
      </c>
      <c r="F48" s="525" t="s">
        <v>911</v>
      </c>
      <c r="G48" s="524" t="s">
        <v>580</v>
      </c>
      <c r="H48" s="524" t="s">
        <v>581</v>
      </c>
      <c r="I48" s="526">
        <v>0.69</v>
      </c>
      <c r="J48" s="526">
        <v>2000</v>
      </c>
      <c r="K48" s="527">
        <v>1380</v>
      </c>
    </row>
    <row r="49" spans="1:11" ht="14.4" customHeight="1" x14ac:dyDescent="0.3">
      <c r="A49" s="522" t="s">
        <v>451</v>
      </c>
      <c r="B49" s="523" t="s">
        <v>452</v>
      </c>
      <c r="C49" s="524" t="s">
        <v>456</v>
      </c>
      <c r="D49" s="525" t="s">
        <v>477</v>
      </c>
      <c r="E49" s="524" t="s">
        <v>912</v>
      </c>
      <c r="F49" s="525" t="s">
        <v>913</v>
      </c>
      <c r="G49" s="524" t="s">
        <v>582</v>
      </c>
      <c r="H49" s="524" t="s">
        <v>583</v>
      </c>
      <c r="I49" s="526">
        <v>65.854541207060109</v>
      </c>
      <c r="J49" s="526">
        <v>50</v>
      </c>
      <c r="K49" s="527">
        <v>3292.7270603530055</v>
      </c>
    </row>
    <row r="50" spans="1:11" ht="14.4" customHeight="1" x14ac:dyDescent="0.3">
      <c r="A50" s="522" t="s">
        <v>451</v>
      </c>
      <c r="B50" s="523" t="s">
        <v>452</v>
      </c>
      <c r="C50" s="524" t="s">
        <v>456</v>
      </c>
      <c r="D50" s="525" t="s">
        <v>477</v>
      </c>
      <c r="E50" s="524" t="s">
        <v>912</v>
      </c>
      <c r="F50" s="525" t="s">
        <v>913</v>
      </c>
      <c r="G50" s="524" t="s">
        <v>584</v>
      </c>
      <c r="H50" s="524" t="s">
        <v>585</v>
      </c>
      <c r="I50" s="526">
        <v>295.28886695531679</v>
      </c>
      <c r="J50" s="526">
        <v>5</v>
      </c>
      <c r="K50" s="527">
        <v>1475.914051040349</v>
      </c>
    </row>
    <row r="51" spans="1:11" ht="14.4" customHeight="1" x14ac:dyDescent="0.3">
      <c r="A51" s="522" t="s">
        <v>451</v>
      </c>
      <c r="B51" s="523" t="s">
        <v>452</v>
      </c>
      <c r="C51" s="524" t="s">
        <v>456</v>
      </c>
      <c r="D51" s="525" t="s">
        <v>477</v>
      </c>
      <c r="E51" s="524" t="s">
        <v>912</v>
      </c>
      <c r="F51" s="525" t="s">
        <v>913</v>
      </c>
      <c r="G51" s="524" t="s">
        <v>586</v>
      </c>
      <c r="H51" s="524" t="s">
        <v>587</v>
      </c>
      <c r="I51" s="526">
        <v>815.8</v>
      </c>
      <c r="J51" s="526">
        <v>1</v>
      </c>
      <c r="K51" s="527">
        <v>815.8</v>
      </c>
    </row>
    <row r="52" spans="1:11" ht="14.4" customHeight="1" x14ac:dyDescent="0.3">
      <c r="A52" s="522" t="s">
        <v>451</v>
      </c>
      <c r="B52" s="523" t="s">
        <v>452</v>
      </c>
      <c r="C52" s="524" t="s">
        <v>456</v>
      </c>
      <c r="D52" s="525" t="s">
        <v>477</v>
      </c>
      <c r="E52" s="524" t="s">
        <v>912</v>
      </c>
      <c r="F52" s="525" t="s">
        <v>913</v>
      </c>
      <c r="G52" s="524" t="s">
        <v>588</v>
      </c>
      <c r="H52" s="524" t="s">
        <v>589</v>
      </c>
      <c r="I52" s="526">
        <v>1146.27</v>
      </c>
      <c r="J52" s="526">
        <v>5</v>
      </c>
      <c r="K52" s="527">
        <v>5731.35</v>
      </c>
    </row>
    <row r="53" spans="1:11" ht="14.4" customHeight="1" x14ac:dyDescent="0.3">
      <c r="A53" s="522" t="s">
        <v>451</v>
      </c>
      <c r="B53" s="523" t="s">
        <v>452</v>
      </c>
      <c r="C53" s="524" t="s">
        <v>456</v>
      </c>
      <c r="D53" s="525" t="s">
        <v>477</v>
      </c>
      <c r="E53" s="524" t="s">
        <v>912</v>
      </c>
      <c r="F53" s="525" t="s">
        <v>913</v>
      </c>
      <c r="G53" s="524" t="s">
        <v>590</v>
      </c>
      <c r="H53" s="524" t="s">
        <v>591</v>
      </c>
      <c r="I53" s="526">
        <v>519.09</v>
      </c>
      <c r="J53" s="526">
        <v>4</v>
      </c>
      <c r="K53" s="527">
        <v>2076.36</v>
      </c>
    </row>
    <row r="54" spans="1:11" ht="14.4" customHeight="1" x14ac:dyDescent="0.3">
      <c r="A54" s="522" t="s">
        <v>451</v>
      </c>
      <c r="B54" s="523" t="s">
        <v>452</v>
      </c>
      <c r="C54" s="524" t="s">
        <v>456</v>
      </c>
      <c r="D54" s="525" t="s">
        <v>477</v>
      </c>
      <c r="E54" s="524" t="s">
        <v>912</v>
      </c>
      <c r="F54" s="525" t="s">
        <v>913</v>
      </c>
      <c r="G54" s="524" t="s">
        <v>592</v>
      </c>
      <c r="H54" s="524" t="s">
        <v>593</v>
      </c>
      <c r="I54" s="526">
        <v>6171</v>
      </c>
      <c r="J54" s="526">
        <v>11</v>
      </c>
      <c r="K54" s="527">
        <v>67881</v>
      </c>
    </row>
    <row r="55" spans="1:11" ht="14.4" customHeight="1" x14ac:dyDescent="0.3">
      <c r="A55" s="522" t="s">
        <v>451</v>
      </c>
      <c r="B55" s="523" t="s">
        <v>452</v>
      </c>
      <c r="C55" s="524" t="s">
        <v>456</v>
      </c>
      <c r="D55" s="525" t="s">
        <v>477</v>
      </c>
      <c r="E55" s="524" t="s">
        <v>912</v>
      </c>
      <c r="F55" s="525" t="s">
        <v>913</v>
      </c>
      <c r="G55" s="524" t="s">
        <v>594</v>
      </c>
      <c r="H55" s="524" t="s">
        <v>595</v>
      </c>
      <c r="I55" s="526">
        <v>2546.7199999999998</v>
      </c>
      <c r="J55" s="526">
        <v>6</v>
      </c>
      <c r="K55" s="527">
        <v>15280.34</v>
      </c>
    </row>
    <row r="56" spans="1:11" ht="14.4" customHeight="1" x14ac:dyDescent="0.3">
      <c r="A56" s="522" t="s">
        <v>451</v>
      </c>
      <c r="B56" s="523" t="s">
        <v>452</v>
      </c>
      <c r="C56" s="524" t="s">
        <v>456</v>
      </c>
      <c r="D56" s="525" t="s">
        <v>477</v>
      </c>
      <c r="E56" s="524" t="s">
        <v>912</v>
      </c>
      <c r="F56" s="525" t="s">
        <v>913</v>
      </c>
      <c r="G56" s="524" t="s">
        <v>596</v>
      </c>
      <c r="H56" s="524" t="s">
        <v>597</v>
      </c>
      <c r="I56" s="526">
        <v>1452</v>
      </c>
      <c r="J56" s="526">
        <v>5</v>
      </c>
      <c r="K56" s="527">
        <v>7260</v>
      </c>
    </row>
    <row r="57" spans="1:11" ht="14.4" customHeight="1" x14ac:dyDescent="0.3">
      <c r="A57" s="522" t="s">
        <v>451</v>
      </c>
      <c r="B57" s="523" t="s">
        <v>452</v>
      </c>
      <c r="C57" s="524" t="s">
        <v>456</v>
      </c>
      <c r="D57" s="525" t="s">
        <v>477</v>
      </c>
      <c r="E57" s="524" t="s">
        <v>912</v>
      </c>
      <c r="F57" s="525" t="s">
        <v>913</v>
      </c>
      <c r="G57" s="524" t="s">
        <v>598</v>
      </c>
      <c r="H57" s="524" t="s">
        <v>599</v>
      </c>
      <c r="I57" s="526">
        <v>6455.25</v>
      </c>
      <c r="J57" s="526">
        <v>8</v>
      </c>
      <c r="K57" s="527">
        <v>51642.02</v>
      </c>
    </row>
    <row r="58" spans="1:11" ht="14.4" customHeight="1" x14ac:dyDescent="0.3">
      <c r="A58" s="522" t="s">
        <v>451</v>
      </c>
      <c r="B58" s="523" t="s">
        <v>452</v>
      </c>
      <c r="C58" s="524" t="s">
        <v>456</v>
      </c>
      <c r="D58" s="525" t="s">
        <v>477</v>
      </c>
      <c r="E58" s="524" t="s">
        <v>912</v>
      </c>
      <c r="F58" s="525" t="s">
        <v>913</v>
      </c>
      <c r="G58" s="524" t="s">
        <v>600</v>
      </c>
      <c r="H58" s="524" t="s">
        <v>601</v>
      </c>
      <c r="I58" s="526">
        <v>2546.7199999999998</v>
      </c>
      <c r="J58" s="526">
        <v>10</v>
      </c>
      <c r="K58" s="527">
        <v>25467.24</v>
      </c>
    </row>
    <row r="59" spans="1:11" ht="14.4" customHeight="1" x14ac:dyDescent="0.3">
      <c r="A59" s="522" t="s">
        <v>451</v>
      </c>
      <c r="B59" s="523" t="s">
        <v>452</v>
      </c>
      <c r="C59" s="524" t="s">
        <v>456</v>
      </c>
      <c r="D59" s="525" t="s">
        <v>477</v>
      </c>
      <c r="E59" s="524" t="s">
        <v>912</v>
      </c>
      <c r="F59" s="525" t="s">
        <v>913</v>
      </c>
      <c r="G59" s="524" t="s">
        <v>602</v>
      </c>
      <c r="H59" s="524" t="s">
        <v>603</v>
      </c>
      <c r="I59" s="526">
        <v>6927.25</v>
      </c>
      <c r="J59" s="526">
        <v>5</v>
      </c>
      <c r="K59" s="527">
        <v>34636.25</v>
      </c>
    </row>
    <row r="60" spans="1:11" ht="14.4" customHeight="1" x14ac:dyDescent="0.3">
      <c r="A60" s="522" t="s">
        <v>451</v>
      </c>
      <c r="B60" s="523" t="s">
        <v>452</v>
      </c>
      <c r="C60" s="524" t="s">
        <v>456</v>
      </c>
      <c r="D60" s="525" t="s">
        <v>477</v>
      </c>
      <c r="E60" s="524" t="s">
        <v>912</v>
      </c>
      <c r="F60" s="525" t="s">
        <v>913</v>
      </c>
      <c r="G60" s="524" t="s">
        <v>604</v>
      </c>
      <c r="H60" s="524" t="s">
        <v>605</v>
      </c>
      <c r="I60" s="526">
        <v>5434.33</v>
      </c>
      <c r="J60" s="526">
        <v>3</v>
      </c>
      <c r="K60" s="527">
        <v>16303</v>
      </c>
    </row>
    <row r="61" spans="1:11" ht="14.4" customHeight="1" x14ac:dyDescent="0.3">
      <c r="A61" s="522" t="s">
        <v>451</v>
      </c>
      <c r="B61" s="523" t="s">
        <v>452</v>
      </c>
      <c r="C61" s="524" t="s">
        <v>456</v>
      </c>
      <c r="D61" s="525" t="s">
        <v>477</v>
      </c>
      <c r="E61" s="524" t="s">
        <v>912</v>
      </c>
      <c r="F61" s="525" t="s">
        <v>913</v>
      </c>
      <c r="G61" s="524" t="s">
        <v>606</v>
      </c>
      <c r="H61" s="524" t="s">
        <v>607</v>
      </c>
      <c r="I61" s="526">
        <v>7986</v>
      </c>
      <c r="J61" s="526">
        <v>8</v>
      </c>
      <c r="K61" s="527">
        <v>63888</v>
      </c>
    </row>
    <row r="62" spans="1:11" ht="14.4" customHeight="1" x14ac:dyDescent="0.3">
      <c r="A62" s="522" t="s">
        <v>451</v>
      </c>
      <c r="B62" s="523" t="s">
        <v>452</v>
      </c>
      <c r="C62" s="524" t="s">
        <v>456</v>
      </c>
      <c r="D62" s="525" t="s">
        <v>477</v>
      </c>
      <c r="E62" s="524" t="s">
        <v>912</v>
      </c>
      <c r="F62" s="525" t="s">
        <v>913</v>
      </c>
      <c r="G62" s="524" t="s">
        <v>608</v>
      </c>
      <c r="H62" s="524" t="s">
        <v>609</v>
      </c>
      <c r="I62" s="526">
        <v>7986</v>
      </c>
      <c r="J62" s="526">
        <v>8</v>
      </c>
      <c r="K62" s="527">
        <v>63888</v>
      </c>
    </row>
    <row r="63" spans="1:11" ht="14.4" customHeight="1" x14ac:dyDescent="0.3">
      <c r="A63" s="522" t="s">
        <v>451</v>
      </c>
      <c r="B63" s="523" t="s">
        <v>452</v>
      </c>
      <c r="C63" s="524" t="s">
        <v>456</v>
      </c>
      <c r="D63" s="525" t="s">
        <v>477</v>
      </c>
      <c r="E63" s="524" t="s">
        <v>912</v>
      </c>
      <c r="F63" s="525" t="s">
        <v>913</v>
      </c>
      <c r="G63" s="524" t="s">
        <v>610</v>
      </c>
      <c r="H63" s="524" t="s">
        <v>611</v>
      </c>
      <c r="I63" s="526">
        <v>5161.8599999999997</v>
      </c>
      <c r="J63" s="526">
        <v>4</v>
      </c>
      <c r="K63" s="527">
        <v>20647.439999999999</v>
      </c>
    </row>
    <row r="64" spans="1:11" ht="14.4" customHeight="1" x14ac:dyDescent="0.3">
      <c r="A64" s="522" t="s">
        <v>451</v>
      </c>
      <c r="B64" s="523" t="s">
        <v>452</v>
      </c>
      <c r="C64" s="524" t="s">
        <v>456</v>
      </c>
      <c r="D64" s="525" t="s">
        <v>477</v>
      </c>
      <c r="E64" s="524" t="s">
        <v>912</v>
      </c>
      <c r="F64" s="525" t="s">
        <v>913</v>
      </c>
      <c r="G64" s="524" t="s">
        <v>612</v>
      </c>
      <c r="H64" s="524" t="s">
        <v>613</v>
      </c>
      <c r="I64" s="526">
        <v>8627.2999999999993</v>
      </c>
      <c r="J64" s="526">
        <v>5</v>
      </c>
      <c r="K64" s="527">
        <v>43136.5</v>
      </c>
    </row>
    <row r="65" spans="1:11" ht="14.4" customHeight="1" x14ac:dyDescent="0.3">
      <c r="A65" s="522" t="s">
        <v>451</v>
      </c>
      <c r="B65" s="523" t="s">
        <v>452</v>
      </c>
      <c r="C65" s="524" t="s">
        <v>456</v>
      </c>
      <c r="D65" s="525" t="s">
        <v>477</v>
      </c>
      <c r="E65" s="524" t="s">
        <v>912</v>
      </c>
      <c r="F65" s="525" t="s">
        <v>913</v>
      </c>
      <c r="G65" s="524" t="s">
        <v>614</v>
      </c>
      <c r="H65" s="524" t="s">
        <v>615</v>
      </c>
      <c r="I65" s="526">
        <v>2546.7199999999998</v>
      </c>
      <c r="J65" s="526">
        <v>13</v>
      </c>
      <c r="K65" s="527">
        <v>33107.410000000003</v>
      </c>
    </row>
    <row r="66" spans="1:11" ht="14.4" customHeight="1" x14ac:dyDescent="0.3">
      <c r="A66" s="522" t="s">
        <v>451</v>
      </c>
      <c r="B66" s="523" t="s">
        <v>452</v>
      </c>
      <c r="C66" s="524" t="s">
        <v>456</v>
      </c>
      <c r="D66" s="525" t="s">
        <v>477</v>
      </c>
      <c r="E66" s="524" t="s">
        <v>912</v>
      </c>
      <c r="F66" s="525" t="s">
        <v>913</v>
      </c>
      <c r="G66" s="524" t="s">
        <v>616</v>
      </c>
      <c r="H66" s="524" t="s">
        <v>617</v>
      </c>
      <c r="I66" s="526">
        <v>3872</v>
      </c>
      <c r="J66" s="526">
        <v>4</v>
      </c>
      <c r="K66" s="527">
        <v>15488</v>
      </c>
    </row>
    <row r="67" spans="1:11" ht="14.4" customHeight="1" x14ac:dyDescent="0.3">
      <c r="A67" s="522" t="s">
        <v>451</v>
      </c>
      <c r="B67" s="523" t="s">
        <v>452</v>
      </c>
      <c r="C67" s="524" t="s">
        <v>456</v>
      </c>
      <c r="D67" s="525" t="s">
        <v>477</v>
      </c>
      <c r="E67" s="524" t="s">
        <v>912</v>
      </c>
      <c r="F67" s="525" t="s">
        <v>913</v>
      </c>
      <c r="G67" s="524" t="s">
        <v>618</v>
      </c>
      <c r="H67" s="524" t="s">
        <v>619</v>
      </c>
      <c r="I67" s="526">
        <v>14016.25</v>
      </c>
      <c r="J67" s="526">
        <v>4</v>
      </c>
      <c r="K67" s="527">
        <v>56065</v>
      </c>
    </row>
    <row r="68" spans="1:11" ht="14.4" customHeight="1" x14ac:dyDescent="0.3">
      <c r="A68" s="522" t="s">
        <v>451</v>
      </c>
      <c r="B68" s="523" t="s">
        <v>452</v>
      </c>
      <c r="C68" s="524" t="s">
        <v>456</v>
      </c>
      <c r="D68" s="525" t="s">
        <v>477</v>
      </c>
      <c r="E68" s="524" t="s">
        <v>912</v>
      </c>
      <c r="F68" s="525" t="s">
        <v>913</v>
      </c>
      <c r="G68" s="524" t="s">
        <v>620</v>
      </c>
      <c r="H68" s="524" t="s">
        <v>621</v>
      </c>
      <c r="I68" s="526">
        <v>2546.7199999999998</v>
      </c>
      <c r="J68" s="526">
        <v>17</v>
      </c>
      <c r="K68" s="527">
        <v>43294.3</v>
      </c>
    </row>
    <row r="69" spans="1:11" ht="14.4" customHeight="1" x14ac:dyDescent="0.3">
      <c r="A69" s="522" t="s">
        <v>451</v>
      </c>
      <c r="B69" s="523" t="s">
        <v>452</v>
      </c>
      <c r="C69" s="524" t="s">
        <v>456</v>
      </c>
      <c r="D69" s="525" t="s">
        <v>477</v>
      </c>
      <c r="E69" s="524" t="s">
        <v>912</v>
      </c>
      <c r="F69" s="525" t="s">
        <v>913</v>
      </c>
      <c r="G69" s="524" t="s">
        <v>622</v>
      </c>
      <c r="H69" s="524" t="s">
        <v>623</v>
      </c>
      <c r="I69" s="526">
        <v>2546.7199999999998</v>
      </c>
      <c r="J69" s="526">
        <v>11</v>
      </c>
      <c r="K69" s="527">
        <v>28013.96</v>
      </c>
    </row>
    <row r="70" spans="1:11" ht="14.4" customHeight="1" x14ac:dyDescent="0.3">
      <c r="A70" s="522" t="s">
        <v>451</v>
      </c>
      <c r="B70" s="523" t="s">
        <v>452</v>
      </c>
      <c r="C70" s="524" t="s">
        <v>456</v>
      </c>
      <c r="D70" s="525" t="s">
        <v>477</v>
      </c>
      <c r="E70" s="524" t="s">
        <v>912</v>
      </c>
      <c r="F70" s="525" t="s">
        <v>913</v>
      </c>
      <c r="G70" s="524" t="s">
        <v>624</v>
      </c>
      <c r="H70" s="524" t="s">
        <v>625</v>
      </c>
      <c r="I70" s="526">
        <v>92236.56</v>
      </c>
      <c r="J70" s="526">
        <v>3</v>
      </c>
      <c r="K70" s="527">
        <v>276709.68</v>
      </c>
    </row>
    <row r="71" spans="1:11" ht="14.4" customHeight="1" x14ac:dyDescent="0.3">
      <c r="A71" s="522" t="s">
        <v>451</v>
      </c>
      <c r="B71" s="523" t="s">
        <v>452</v>
      </c>
      <c r="C71" s="524" t="s">
        <v>456</v>
      </c>
      <c r="D71" s="525" t="s">
        <v>477</v>
      </c>
      <c r="E71" s="524" t="s">
        <v>912</v>
      </c>
      <c r="F71" s="525" t="s">
        <v>913</v>
      </c>
      <c r="G71" s="524" t="s">
        <v>626</v>
      </c>
      <c r="H71" s="524" t="s">
        <v>627</v>
      </c>
      <c r="I71" s="526">
        <v>4625.2</v>
      </c>
      <c r="J71" s="526">
        <v>5</v>
      </c>
      <c r="K71" s="527">
        <v>23126</v>
      </c>
    </row>
    <row r="72" spans="1:11" ht="14.4" customHeight="1" x14ac:dyDescent="0.3">
      <c r="A72" s="522" t="s">
        <v>451</v>
      </c>
      <c r="B72" s="523" t="s">
        <v>452</v>
      </c>
      <c r="C72" s="524" t="s">
        <v>456</v>
      </c>
      <c r="D72" s="525" t="s">
        <v>477</v>
      </c>
      <c r="E72" s="524" t="s">
        <v>912</v>
      </c>
      <c r="F72" s="525" t="s">
        <v>913</v>
      </c>
      <c r="G72" s="524" t="s">
        <v>628</v>
      </c>
      <c r="H72" s="524" t="s">
        <v>629</v>
      </c>
      <c r="I72" s="526">
        <v>2546.7199999999998</v>
      </c>
      <c r="J72" s="526">
        <v>3</v>
      </c>
      <c r="K72" s="527">
        <v>7640.17</v>
      </c>
    </row>
    <row r="73" spans="1:11" ht="14.4" customHeight="1" x14ac:dyDescent="0.3">
      <c r="A73" s="522" t="s">
        <v>451</v>
      </c>
      <c r="B73" s="523" t="s">
        <v>452</v>
      </c>
      <c r="C73" s="524" t="s">
        <v>456</v>
      </c>
      <c r="D73" s="525" t="s">
        <v>477</v>
      </c>
      <c r="E73" s="524" t="s">
        <v>912</v>
      </c>
      <c r="F73" s="525" t="s">
        <v>913</v>
      </c>
      <c r="G73" s="524" t="s">
        <v>630</v>
      </c>
      <c r="H73" s="524" t="s">
        <v>631</v>
      </c>
      <c r="I73" s="526">
        <v>4110.54</v>
      </c>
      <c r="J73" s="526">
        <v>3</v>
      </c>
      <c r="K73" s="527">
        <v>12331.619999999999</v>
      </c>
    </row>
    <row r="74" spans="1:11" ht="14.4" customHeight="1" x14ac:dyDescent="0.3">
      <c r="A74" s="522" t="s">
        <v>451</v>
      </c>
      <c r="B74" s="523" t="s">
        <v>452</v>
      </c>
      <c r="C74" s="524" t="s">
        <v>456</v>
      </c>
      <c r="D74" s="525" t="s">
        <v>477</v>
      </c>
      <c r="E74" s="524" t="s">
        <v>912</v>
      </c>
      <c r="F74" s="525" t="s">
        <v>913</v>
      </c>
      <c r="G74" s="524" t="s">
        <v>632</v>
      </c>
      <c r="H74" s="524" t="s">
        <v>633</v>
      </c>
      <c r="I74" s="526">
        <v>2546.7199999999998</v>
      </c>
      <c r="J74" s="526">
        <v>6</v>
      </c>
      <c r="K74" s="527">
        <v>15280.34</v>
      </c>
    </row>
    <row r="75" spans="1:11" ht="14.4" customHeight="1" x14ac:dyDescent="0.3">
      <c r="A75" s="522" t="s">
        <v>451</v>
      </c>
      <c r="B75" s="523" t="s">
        <v>452</v>
      </c>
      <c r="C75" s="524" t="s">
        <v>456</v>
      </c>
      <c r="D75" s="525" t="s">
        <v>477</v>
      </c>
      <c r="E75" s="524" t="s">
        <v>912</v>
      </c>
      <c r="F75" s="525" t="s">
        <v>913</v>
      </c>
      <c r="G75" s="524" t="s">
        <v>634</v>
      </c>
      <c r="H75" s="524" t="s">
        <v>635</v>
      </c>
      <c r="I75" s="526">
        <v>2546.7199999999998</v>
      </c>
      <c r="J75" s="526">
        <v>3</v>
      </c>
      <c r="K75" s="527">
        <v>7640.17</v>
      </c>
    </row>
    <row r="76" spans="1:11" ht="14.4" customHeight="1" x14ac:dyDescent="0.3">
      <c r="A76" s="522" t="s">
        <v>451</v>
      </c>
      <c r="B76" s="523" t="s">
        <v>452</v>
      </c>
      <c r="C76" s="524" t="s">
        <v>456</v>
      </c>
      <c r="D76" s="525" t="s">
        <v>477</v>
      </c>
      <c r="E76" s="524" t="s">
        <v>912</v>
      </c>
      <c r="F76" s="525" t="s">
        <v>913</v>
      </c>
      <c r="G76" s="524" t="s">
        <v>636</v>
      </c>
      <c r="H76" s="524" t="s">
        <v>637</v>
      </c>
      <c r="I76" s="526">
        <v>4227.51</v>
      </c>
      <c r="J76" s="526">
        <v>11</v>
      </c>
      <c r="K76" s="527">
        <v>46502.61</v>
      </c>
    </row>
    <row r="77" spans="1:11" ht="14.4" customHeight="1" x14ac:dyDescent="0.3">
      <c r="A77" s="522" t="s">
        <v>451</v>
      </c>
      <c r="B77" s="523" t="s">
        <v>452</v>
      </c>
      <c r="C77" s="524" t="s">
        <v>456</v>
      </c>
      <c r="D77" s="525" t="s">
        <v>477</v>
      </c>
      <c r="E77" s="524" t="s">
        <v>912</v>
      </c>
      <c r="F77" s="525" t="s">
        <v>913</v>
      </c>
      <c r="G77" s="524" t="s">
        <v>638</v>
      </c>
      <c r="H77" s="524" t="s">
        <v>639</v>
      </c>
      <c r="I77" s="526">
        <v>3024.35</v>
      </c>
      <c r="J77" s="526">
        <v>8</v>
      </c>
      <c r="K77" s="527">
        <v>23239.57</v>
      </c>
    </row>
    <row r="78" spans="1:11" ht="14.4" customHeight="1" x14ac:dyDescent="0.3">
      <c r="A78" s="522" t="s">
        <v>451</v>
      </c>
      <c r="B78" s="523" t="s">
        <v>452</v>
      </c>
      <c r="C78" s="524" t="s">
        <v>456</v>
      </c>
      <c r="D78" s="525" t="s">
        <v>477</v>
      </c>
      <c r="E78" s="524" t="s">
        <v>912</v>
      </c>
      <c r="F78" s="525" t="s">
        <v>913</v>
      </c>
      <c r="G78" s="524" t="s">
        <v>640</v>
      </c>
      <c r="H78" s="524" t="s">
        <v>641</v>
      </c>
      <c r="I78" s="526">
        <v>3037.79</v>
      </c>
      <c r="J78" s="526">
        <v>30</v>
      </c>
      <c r="K78" s="527">
        <v>91133.7</v>
      </c>
    </row>
    <row r="79" spans="1:11" ht="14.4" customHeight="1" x14ac:dyDescent="0.3">
      <c r="A79" s="522" t="s">
        <v>451</v>
      </c>
      <c r="B79" s="523" t="s">
        <v>452</v>
      </c>
      <c r="C79" s="524" t="s">
        <v>456</v>
      </c>
      <c r="D79" s="525" t="s">
        <v>477</v>
      </c>
      <c r="E79" s="524" t="s">
        <v>912</v>
      </c>
      <c r="F79" s="525" t="s">
        <v>913</v>
      </c>
      <c r="G79" s="524" t="s">
        <v>642</v>
      </c>
      <c r="H79" s="524" t="s">
        <v>643</v>
      </c>
      <c r="I79" s="526">
        <v>2546.7199999999998</v>
      </c>
      <c r="J79" s="526">
        <v>13</v>
      </c>
      <c r="K79" s="527">
        <v>33107.410000000003</v>
      </c>
    </row>
    <row r="80" spans="1:11" ht="14.4" customHeight="1" x14ac:dyDescent="0.3">
      <c r="A80" s="522" t="s">
        <v>451</v>
      </c>
      <c r="B80" s="523" t="s">
        <v>452</v>
      </c>
      <c r="C80" s="524" t="s">
        <v>456</v>
      </c>
      <c r="D80" s="525" t="s">
        <v>477</v>
      </c>
      <c r="E80" s="524" t="s">
        <v>912</v>
      </c>
      <c r="F80" s="525" t="s">
        <v>913</v>
      </c>
      <c r="G80" s="524" t="s">
        <v>644</v>
      </c>
      <c r="H80" s="524" t="s">
        <v>645</v>
      </c>
      <c r="I80" s="526">
        <v>2546.7199999999998</v>
      </c>
      <c r="J80" s="526">
        <v>11</v>
      </c>
      <c r="K80" s="527">
        <v>28013.96</v>
      </c>
    </row>
    <row r="81" spans="1:11" ht="14.4" customHeight="1" x14ac:dyDescent="0.3">
      <c r="A81" s="522" t="s">
        <v>451</v>
      </c>
      <c r="B81" s="523" t="s">
        <v>452</v>
      </c>
      <c r="C81" s="524" t="s">
        <v>456</v>
      </c>
      <c r="D81" s="525" t="s">
        <v>477</v>
      </c>
      <c r="E81" s="524" t="s">
        <v>912</v>
      </c>
      <c r="F81" s="525" t="s">
        <v>913</v>
      </c>
      <c r="G81" s="524" t="s">
        <v>646</v>
      </c>
      <c r="H81" s="524" t="s">
        <v>647</v>
      </c>
      <c r="I81" s="526">
        <v>2546.7199999999998</v>
      </c>
      <c r="J81" s="526">
        <v>2</v>
      </c>
      <c r="K81" s="527">
        <v>5093.45</v>
      </c>
    </row>
    <row r="82" spans="1:11" ht="14.4" customHeight="1" x14ac:dyDescent="0.3">
      <c r="A82" s="522" t="s">
        <v>451</v>
      </c>
      <c r="B82" s="523" t="s">
        <v>452</v>
      </c>
      <c r="C82" s="524" t="s">
        <v>456</v>
      </c>
      <c r="D82" s="525" t="s">
        <v>477</v>
      </c>
      <c r="E82" s="524" t="s">
        <v>912</v>
      </c>
      <c r="F82" s="525" t="s">
        <v>913</v>
      </c>
      <c r="G82" s="524" t="s">
        <v>648</v>
      </c>
      <c r="H82" s="524" t="s">
        <v>649</v>
      </c>
      <c r="I82" s="526">
        <v>2546.7199999999998</v>
      </c>
      <c r="J82" s="526">
        <v>4</v>
      </c>
      <c r="K82" s="527">
        <v>10186.89</v>
      </c>
    </row>
    <row r="83" spans="1:11" ht="14.4" customHeight="1" x14ac:dyDescent="0.3">
      <c r="A83" s="522" t="s">
        <v>451</v>
      </c>
      <c r="B83" s="523" t="s">
        <v>452</v>
      </c>
      <c r="C83" s="524" t="s">
        <v>456</v>
      </c>
      <c r="D83" s="525" t="s">
        <v>477</v>
      </c>
      <c r="E83" s="524" t="s">
        <v>912</v>
      </c>
      <c r="F83" s="525" t="s">
        <v>913</v>
      </c>
      <c r="G83" s="524" t="s">
        <v>650</v>
      </c>
      <c r="H83" s="524" t="s">
        <v>651</v>
      </c>
      <c r="I83" s="526">
        <v>2546.7199999999998</v>
      </c>
      <c r="J83" s="526">
        <v>4</v>
      </c>
      <c r="K83" s="527">
        <v>10186.89</v>
      </c>
    </row>
    <row r="84" spans="1:11" ht="14.4" customHeight="1" x14ac:dyDescent="0.3">
      <c r="A84" s="522" t="s">
        <v>451</v>
      </c>
      <c r="B84" s="523" t="s">
        <v>452</v>
      </c>
      <c r="C84" s="524" t="s">
        <v>456</v>
      </c>
      <c r="D84" s="525" t="s">
        <v>477</v>
      </c>
      <c r="E84" s="524" t="s">
        <v>912</v>
      </c>
      <c r="F84" s="525" t="s">
        <v>913</v>
      </c>
      <c r="G84" s="524" t="s">
        <v>652</v>
      </c>
      <c r="H84" s="524" t="s">
        <v>653</v>
      </c>
      <c r="I84" s="526">
        <v>1718.2</v>
      </c>
      <c r="J84" s="526">
        <v>3</v>
      </c>
      <c r="K84" s="527">
        <v>5154.6000000000004</v>
      </c>
    </row>
    <row r="85" spans="1:11" ht="14.4" customHeight="1" x14ac:dyDescent="0.3">
      <c r="A85" s="522" t="s">
        <v>451</v>
      </c>
      <c r="B85" s="523" t="s">
        <v>452</v>
      </c>
      <c r="C85" s="524" t="s">
        <v>456</v>
      </c>
      <c r="D85" s="525" t="s">
        <v>477</v>
      </c>
      <c r="E85" s="524" t="s">
        <v>912</v>
      </c>
      <c r="F85" s="525" t="s">
        <v>913</v>
      </c>
      <c r="G85" s="524" t="s">
        <v>654</v>
      </c>
      <c r="H85" s="524" t="s">
        <v>655</v>
      </c>
      <c r="I85" s="526">
        <v>2546.7199999999998</v>
      </c>
      <c r="J85" s="526">
        <v>13</v>
      </c>
      <c r="K85" s="527">
        <v>33107.410000000003</v>
      </c>
    </row>
    <row r="86" spans="1:11" ht="14.4" customHeight="1" x14ac:dyDescent="0.3">
      <c r="A86" s="522" t="s">
        <v>451</v>
      </c>
      <c r="B86" s="523" t="s">
        <v>452</v>
      </c>
      <c r="C86" s="524" t="s">
        <v>456</v>
      </c>
      <c r="D86" s="525" t="s">
        <v>477</v>
      </c>
      <c r="E86" s="524" t="s">
        <v>912</v>
      </c>
      <c r="F86" s="525" t="s">
        <v>913</v>
      </c>
      <c r="G86" s="524" t="s">
        <v>656</v>
      </c>
      <c r="H86" s="524" t="s">
        <v>657</v>
      </c>
      <c r="I86" s="526">
        <v>5951.93</v>
      </c>
      <c r="J86" s="526">
        <v>8</v>
      </c>
      <c r="K86" s="527">
        <v>47615.44</v>
      </c>
    </row>
    <row r="87" spans="1:11" ht="14.4" customHeight="1" x14ac:dyDescent="0.3">
      <c r="A87" s="522" t="s">
        <v>451</v>
      </c>
      <c r="B87" s="523" t="s">
        <v>452</v>
      </c>
      <c r="C87" s="524" t="s">
        <v>456</v>
      </c>
      <c r="D87" s="525" t="s">
        <v>477</v>
      </c>
      <c r="E87" s="524" t="s">
        <v>912</v>
      </c>
      <c r="F87" s="525" t="s">
        <v>913</v>
      </c>
      <c r="G87" s="524" t="s">
        <v>658</v>
      </c>
      <c r="H87" s="524" t="s">
        <v>659</v>
      </c>
      <c r="I87" s="526">
        <v>7502</v>
      </c>
      <c r="J87" s="526">
        <v>3</v>
      </c>
      <c r="K87" s="527">
        <v>22506</v>
      </c>
    </row>
    <row r="88" spans="1:11" ht="14.4" customHeight="1" x14ac:dyDescent="0.3">
      <c r="A88" s="522" t="s">
        <v>451</v>
      </c>
      <c r="B88" s="523" t="s">
        <v>452</v>
      </c>
      <c r="C88" s="524" t="s">
        <v>456</v>
      </c>
      <c r="D88" s="525" t="s">
        <v>477</v>
      </c>
      <c r="E88" s="524" t="s">
        <v>912</v>
      </c>
      <c r="F88" s="525" t="s">
        <v>913</v>
      </c>
      <c r="G88" s="524" t="s">
        <v>660</v>
      </c>
      <c r="H88" s="524" t="s">
        <v>661</v>
      </c>
      <c r="I88" s="526">
        <v>7014.37</v>
      </c>
      <c r="J88" s="526">
        <v>1</v>
      </c>
      <c r="K88" s="527">
        <v>7014.37</v>
      </c>
    </row>
    <row r="89" spans="1:11" ht="14.4" customHeight="1" x14ac:dyDescent="0.3">
      <c r="A89" s="522" t="s">
        <v>451</v>
      </c>
      <c r="B89" s="523" t="s">
        <v>452</v>
      </c>
      <c r="C89" s="524" t="s">
        <v>456</v>
      </c>
      <c r="D89" s="525" t="s">
        <v>477</v>
      </c>
      <c r="E89" s="524" t="s">
        <v>912</v>
      </c>
      <c r="F89" s="525" t="s">
        <v>913</v>
      </c>
      <c r="G89" s="524" t="s">
        <v>662</v>
      </c>
      <c r="H89" s="524" t="s">
        <v>663</v>
      </c>
      <c r="I89" s="526">
        <v>4227.51</v>
      </c>
      <c r="J89" s="526">
        <v>5</v>
      </c>
      <c r="K89" s="527">
        <v>21137.55</v>
      </c>
    </row>
    <row r="90" spans="1:11" ht="14.4" customHeight="1" x14ac:dyDescent="0.3">
      <c r="A90" s="522" t="s">
        <v>451</v>
      </c>
      <c r="B90" s="523" t="s">
        <v>452</v>
      </c>
      <c r="C90" s="524" t="s">
        <v>456</v>
      </c>
      <c r="D90" s="525" t="s">
        <v>477</v>
      </c>
      <c r="E90" s="524" t="s">
        <v>912</v>
      </c>
      <c r="F90" s="525" t="s">
        <v>913</v>
      </c>
      <c r="G90" s="524" t="s">
        <v>664</v>
      </c>
      <c r="H90" s="524" t="s">
        <v>665</v>
      </c>
      <c r="I90" s="526">
        <v>2546.7199999999998</v>
      </c>
      <c r="J90" s="526">
        <v>4</v>
      </c>
      <c r="K90" s="527">
        <v>10186.89</v>
      </c>
    </row>
    <row r="91" spans="1:11" ht="14.4" customHeight="1" x14ac:dyDescent="0.3">
      <c r="A91" s="522" t="s">
        <v>451</v>
      </c>
      <c r="B91" s="523" t="s">
        <v>452</v>
      </c>
      <c r="C91" s="524" t="s">
        <v>456</v>
      </c>
      <c r="D91" s="525" t="s">
        <v>477</v>
      </c>
      <c r="E91" s="524" t="s">
        <v>912</v>
      </c>
      <c r="F91" s="525" t="s">
        <v>913</v>
      </c>
      <c r="G91" s="524" t="s">
        <v>666</v>
      </c>
      <c r="H91" s="524" t="s">
        <v>667</v>
      </c>
      <c r="I91" s="526">
        <v>2065.3000000000002</v>
      </c>
      <c r="J91" s="526">
        <v>2</v>
      </c>
      <c r="K91" s="527">
        <v>4130.6000000000004</v>
      </c>
    </row>
    <row r="92" spans="1:11" ht="14.4" customHeight="1" x14ac:dyDescent="0.3">
      <c r="A92" s="522" t="s">
        <v>451</v>
      </c>
      <c r="B92" s="523" t="s">
        <v>452</v>
      </c>
      <c r="C92" s="524" t="s">
        <v>456</v>
      </c>
      <c r="D92" s="525" t="s">
        <v>477</v>
      </c>
      <c r="E92" s="524" t="s">
        <v>912</v>
      </c>
      <c r="F92" s="525" t="s">
        <v>913</v>
      </c>
      <c r="G92" s="524" t="s">
        <v>668</v>
      </c>
      <c r="H92" s="524" t="s">
        <v>669</v>
      </c>
      <c r="I92" s="526">
        <v>7014.37</v>
      </c>
      <c r="J92" s="526">
        <v>2</v>
      </c>
      <c r="K92" s="527">
        <v>14028.74</v>
      </c>
    </row>
    <row r="93" spans="1:11" ht="14.4" customHeight="1" x14ac:dyDescent="0.3">
      <c r="A93" s="522" t="s">
        <v>451</v>
      </c>
      <c r="B93" s="523" t="s">
        <v>452</v>
      </c>
      <c r="C93" s="524" t="s">
        <v>456</v>
      </c>
      <c r="D93" s="525" t="s">
        <v>477</v>
      </c>
      <c r="E93" s="524" t="s">
        <v>912</v>
      </c>
      <c r="F93" s="525" t="s">
        <v>913</v>
      </c>
      <c r="G93" s="524" t="s">
        <v>670</v>
      </c>
      <c r="H93" s="524" t="s">
        <v>671</v>
      </c>
      <c r="I93" s="526">
        <v>1166.32</v>
      </c>
      <c r="J93" s="526">
        <v>6</v>
      </c>
      <c r="K93" s="527">
        <v>6997.91</v>
      </c>
    </row>
    <row r="94" spans="1:11" ht="14.4" customHeight="1" x14ac:dyDescent="0.3">
      <c r="A94" s="522" t="s">
        <v>451</v>
      </c>
      <c r="B94" s="523" t="s">
        <v>452</v>
      </c>
      <c r="C94" s="524" t="s">
        <v>456</v>
      </c>
      <c r="D94" s="525" t="s">
        <v>477</v>
      </c>
      <c r="E94" s="524" t="s">
        <v>912</v>
      </c>
      <c r="F94" s="525" t="s">
        <v>913</v>
      </c>
      <c r="G94" s="524" t="s">
        <v>672</v>
      </c>
      <c r="H94" s="524" t="s">
        <v>673</v>
      </c>
      <c r="I94" s="526">
        <v>2546.7199999999998</v>
      </c>
      <c r="J94" s="526">
        <v>13</v>
      </c>
      <c r="K94" s="527">
        <v>33107.410000000003</v>
      </c>
    </row>
    <row r="95" spans="1:11" ht="14.4" customHeight="1" x14ac:dyDescent="0.3">
      <c r="A95" s="522" t="s">
        <v>451</v>
      </c>
      <c r="B95" s="523" t="s">
        <v>452</v>
      </c>
      <c r="C95" s="524" t="s">
        <v>456</v>
      </c>
      <c r="D95" s="525" t="s">
        <v>477</v>
      </c>
      <c r="E95" s="524" t="s">
        <v>912</v>
      </c>
      <c r="F95" s="525" t="s">
        <v>913</v>
      </c>
      <c r="G95" s="524" t="s">
        <v>674</v>
      </c>
      <c r="H95" s="524" t="s">
        <v>675</v>
      </c>
      <c r="I95" s="526">
        <v>2865.14</v>
      </c>
      <c r="J95" s="526">
        <v>12</v>
      </c>
      <c r="K95" s="527">
        <v>32471.200000000004</v>
      </c>
    </row>
    <row r="96" spans="1:11" ht="14.4" customHeight="1" x14ac:dyDescent="0.3">
      <c r="A96" s="522" t="s">
        <v>451</v>
      </c>
      <c r="B96" s="523" t="s">
        <v>452</v>
      </c>
      <c r="C96" s="524" t="s">
        <v>456</v>
      </c>
      <c r="D96" s="525" t="s">
        <v>477</v>
      </c>
      <c r="E96" s="524" t="s">
        <v>912</v>
      </c>
      <c r="F96" s="525" t="s">
        <v>913</v>
      </c>
      <c r="G96" s="524" t="s">
        <v>676</v>
      </c>
      <c r="H96" s="524" t="s">
        <v>677</v>
      </c>
      <c r="I96" s="526">
        <v>404.9</v>
      </c>
      <c r="J96" s="526">
        <v>22</v>
      </c>
      <c r="K96" s="527">
        <v>8907.7800000000007</v>
      </c>
    </row>
    <row r="97" spans="1:11" ht="14.4" customHeight="1" x14ac:dyDescent="0.3">
      <c r="A97" s="522" t="s">
        <v>451</v>
      </c>
      <c r="B97" s="523" t="s">
        <v>452</v>
      </c>
      <c r="C97" s="524" t="s">
        <v>456</v>
      </c>
      <c r="D97" s="525" t="s">
        <v>477</v>
      </c>
      <c r="E97" s="524" t="s">
        <v>912</v>
      </c>
      <c r="F97" s="525" t="s">
        <v>913</v>
      </c>
      <c r="G97" s="524" t="s">
        <v>678</v>
      </c>
      <c r="H97" s="524" t="s">
        <v>679</v>
      </c>
      <c r="I97" s="526">
        <v>6455.5</v>
      </c>
      <c r="J97" s="526">
        <v>8</v>
      </c>
      <c r="K97" s="527">
        <v>51643.98</v>
      </c>
    </row>
    <row r="98" spans="1:11" ht="14.4" customHeight="1" x14ac:dyDescent="0.3">
      <c r="A98" s="522" t="s">
        <v>451</v>
      </c>
      <c r="B98" s="523" t="s">
        <v>452</v>
      </c>
      <c r="C98" s="524" t="s">
        <v>456</v>
      </c>
      <c r="D98" s="525" t="s">
        <v>477</v>
      </c>
      <c r="E98" s="524" t="s">
        <v>912</v>
      </c>
      <c r="F98" s="525" t="s">
        <v>913</v>
      </c>
      <c r="G98" s="524" t="s">
        <v>680</v>
      </c>
      <c r="H98" s="524" t="s">
        <v>681</v>
      </c>
      <c r="I98" s="526">
        <v>5929</v>
      </c>
      <c r="J98" s="526">
        <v>2</v>
      </c>
      <c r="K98" s="527">
        <v>11858</v>
      </c>
    </row>
    <row r="99" spans="1:11" ht="14.4" customHeight="1" x14ac:dyDescent="0.3">
      <c r="A99" s="522" t="s">
        <v>451</v>
      </c>
      <c r="B99" s="523" t="s">
        <v>452</v>
      </c>
      <c r="C99" s="524" t="s">
        <v>456</v>
      </c>
      <c r="D99" s="525" t="s">
        <v>477</v>
      </c>
      <c r="E99" s="524" t="s">
        <v>912</v>
      </c>
      <c r="F99" s="525" t="s">
        <v>913</v>
      </c>
      <c r="G99" s="524" t="s">
        <v>682</v>
      </c>
      <c r="H99" s="524" t="s">
        <v>683</v>
      </c>
      <c r="I99" s="526">
        <v>1850.09</v>
      </c>
      <c r="J99" s="526">
        <v>10</v>
      </c>
      <c r="K99" s="527">
        <v>18500.900000000001</v>
      </c>
    </row>
    <row r="100" spans="1:11" ht="14.4" customHeight="1" x14ac:dyDescent="0.3">
      <c r="A100" s="522" t="s">
        <v>451</v>
      </c>
      <c r="B100" s="523" t="s">
        <v>452</v>
      </c>
      <c r="C100" s="524" t="s">
        <v>456</v>
      </c>
      <c r="D100" s="525" t="s">
        <v>477</v>
      </c>
      <c r="E100" s="524" t="s">
        <v>912</v>
      </c>
      <c r="F100" s="525" t="s">
        <v>913</v>
      </c>
      <c r="G100" s="524" t="s">
        <v>684</v>
      </c>
      <c r="H100" s="524" t="s">
        <v>685</v>
      </c>
      <c r="I100" s="526">
        <v>6382.75</v>
      </c>
      <c r="J100" s="526">
        <v>10</v>
      </c>
      <c r="K100" s="527">
        <v>63827.5</v>
      </c>
    </row>
    <row r="101" spans="1:11" ht="14.4" customHeight="1" x14ac:dyDescent="0.3">
      <c r="A101" s="522" t="s">
        <v>451</v>
      </c>
      <c r="B101" s="523" t="s">
        <v>452</v>
      </c>
      <c r="C101" s="524" t="s">
        <v>456</v>
      </c>
      <c r="D101" s="525" t="s">
        <v>477</v>
      </c>
      <c r="E101" s="524" t="s">
        <v>912</v>
      </c>
      <c r="F101" s="525" t="s">
        <v>913</v>
      </c>
      <c r="G101" s="524" t="s">
        <v>686</v>
      </c>
      <c r="H101" s="524" t="s">
        <v>687</v>
      </c>
      <c r="I101" s="526">
        <v>2546.7199999999998</v>
      </c>
      <c r="J101" s="526">
        <v>4</v>
      </c>
      <c r="K101" s="527">
        <v>10186.89</v>
      </c>
    </row>
    <row r="102" spans="1:11" ht="14.4" customHeight="1" x14ac:dyDescent="0.3">
      <c r="A102" s="522" t="s">
        <v>451</v>
      </c>
      <c r="B102" s="523" t="s">
        <v>452</v>
      </c>
      <c r="C102" s="524" t="s">
        <v>456</v>
      </c>
      <c r="D102" s="525" t="s">
        <v>477</v>
      </c>
      <c r="E102" s="524" t="s">
        <v>912</v>
      </c>
      <c r="F102" s="525" t="s">
        <v>913</v>
      </c>
      <c r="G102" s="524" t="s">
        <v>688</v>
      </c>
      <c r="H102" s="524" t="s">
        <v>689</v>
      </c>
      <c r="I102" s="526">
        <v>2546.7199999999998</v>
      </c>
      <c r="J102" s="526">
        <v>6</v>
      </c>
      <c r="K102" s="527">
        <v>15280.34</v>
      </c>
    </row>
    <row r="103" spans="1:11" ht="14.4" customHeight="1" x14ac:dyDescent="0.3">
      <c r="A103" s="522" t="s">
        <v>451</v>
      </c>
      <c r="B103" s="523" t="s">
        <v>452</v>
      </c>
      <c r="C103" s="524" t="s">
        <v>456</v>
      </c>
      <c r="D103" s="525" t="s">
        <v>477</v>
      </c>
      <c r="E103" s="524" t="s">
        <v>912</v>
      </c>
      <c r="F103" s="525" t="s">
        <v>913</v>
      </c>
      <c r="G103" s="524" t="s">
        <v>690</v>
      </c>
      <c r="H103" s="524" t="s">
        <v>691</v>
      </c>
      <c r="I103" s="526">
        <v>7502</v>
      </c>
      <c r="J103" s="526">
        <v>6</v>
      </c>
      <c r="K103" s="527">
        <v>45012</v>
      </c>
    </row>
    <row r="104" spans="1:11" ht="14.4" customHeight="1" x14ac:dyDescent="0.3">
      <c r="A104" s="522" t="s">
        <v>451</v>
      </c>
      <c r="B104" s="523" t="s">
        <v>452</v>
      </c>
      <c r="C104" s="524" t="s">
        <v>456</v>
      </c>
      <c r="D104" s="525" t="s">
        <v>477</v>
      </c>
      <c r="E104" s="524" t="s">
        <v>912</v>
      </c>
      <c r="F104" s="525" t="s">
        <v>913</v>
      </c>
      <c r="G104" s="524" t="s">
        <v>692</v>
      </c>
      <c r="H104" s="524" t="s">
        <v>693</v>
      </c>
      <c r="I104" s="526">
        <v>2546.7199999999998</v>
      </c>
      <c r="J104" s="526">
        <v>8</v>
      </c>
      <c r="K104" s="527">
        <v>20373.78</v>
      </c>
    </row>
    <row r="105" spans="1:11" ht="14.4" customHeight="1" x14ac:dyDescent="0.3">
      <c r="A105" s="522" t="s">
        <v>451</v>
      </c>
      <c r="B105" s="523" t="s">
        <v>452</v>
      </c>
      <c r="C105" s="524" t="s">
        <v>456</v>
      </c>
      <c r="D105" s="525" t="s">
        <v>477</v>
      </c>
      <c r="E105" s="524" t="s">
        <v>912</v>
      </c>
      <c r="F105" s="525" t="s">
        <v>913</v>
      </c>
      <c r="G105" s="524" t="s">
        <v>694</v>
      </c>
      <c r="H105" s="524" t="s">
        <v>695</v>
      </c>
      <c r="I105" s="526">
        <v>4374.1499999999996</v>
      </c>
      <c r="J105" s="526">
        <v>2</v>
      </c>
      <c r="K105" s="527">
        <v>8748.2999999999993</v>
      </c>
    </row>
    <row r="106" spans="1:11" ht="14.4" customHeight="1" x14ac:dyDescent="0.3">
      <c r="A106" s="522" t="s">
        <v>451</v>
      </c>
      <c r="B106" s="523" t="s">
        <v>452</v>
      </c>
      <c r="C106" s="524" t="s">
        <v>456</v>
      </c>
      <c r="D106" s="525" t="s">
        <v>477</v>
      </c>
      <c r="E106" s="524" t="s">
        <v>912</v>
      </c>
      <c r="F106" s="525" t="s">
        <v>913</v>
      </c>
      <c r="G106" s="524" t="s">
        <v>696</v>
      </c>
      <c r="H106" s="524" t="s">
        <v>697</v>
      </c>
      <c r="I106" s="526">
        <v>4703.2866666666669</v>
      </c>
      <c r="J106" s="526">
        <v>7</v>
      </c>
      <c r="K106" s="527">
        <v>33187.980000000003</v>
      </c>
    </row>
    <row r="107" spans="1:11" ht="14.4" customHeight="1" x14ac:dyDescent="0.3">
      <c r="A107" s="522" t="s">
        <v>451</v>
      </c>
      <c r="B107" s="523" t="s">
        <v>452</v>
      </c>
      <c r="C107" s="524" t="s">
        <v>456</v>
      </c>
      <c r="D107" s="525" t="s">
        <v>477</v>
      </c>
      <c r="E107" s="524" t="s">
        <v>912</v>
      </c>
      <c r="F107" s="525" t="s">
        <v>913</v>
      </c>
      <c r="G107" s="524" t="s">
        <v>698</v>
      </c>
      <c r="H107" s="524" t="s">
        <v>699</v>
      </c>
      <c r="I107" s="526">
        <v>44932.604999999996</v>
      </c>
      <c r="J107" s="526">
        <v>2</v>
      </c>
      <c r="K107" s="527">
        <v>89865.209999999992</v>
      </c>
    </row>
    <row r="108" spans="1:11" ht="14.4" customHeight="1" x14ac:dyDescent="0.3">
      <c r="A108" s="522" t="s">
        <v>451</v>
      </c>
      <c r="B108" s="523" t="s">
        <v>452</v>
      </c>
      <c r="C108" s="524" t="s">
        <v>456</v>
      </c>
      <c r="D108" s="525" t="s">
        <v>477</v>
      </c>
      <c r="E108" s="524" t="s">
        <v>912</v>
      </c>
      <c r="F108" s="525" t="s">
        <v>913</v>
      </c>
      <c r="G108" s="524" t="s">
        <v>700</v>
      </c>
      <c r="H108" s="524" t="s">
        <v>701</v>
      </c>
      <c r="I108" s="526">
        <v>19900.87</v>
      </c>
      <c r="J108" s="526">
        <v>2</v>
      </c>
      <c r="K108" s="527">
        <v>39801.74</v>
      </c>
    </row>
    <row r="109" spans="1:11" ht="14.4" customHeight="1" x14ac:dyDescent="0.3">
      <c r="A109" s="522" t="s">
        <v>451</v>
      </c>
      <c r="B109" s="523" t="s">
        <v>452</v>
      </c>
      <c r="C109" s="524" t="s">
        <v>456</v>
      </c>
      <c r="D109" s="525" t="s">
        <v>477</v>
      </c>
      <c r="E109" s="524" t="s">
        <v>912</v>
      </c>
      <c r="F109" s="525" t="s">
        <v>913</v>
      </c>
      <c r="G109" s="524" t="s">
        <v>702</v>
      </c>
      <c r="H109" s="524" t="s">
        <v>703</v>
      </c>
      <c r="I109" s="526">
        <v>456.17</v>
      </c>
      <c r="J109" s="526">
        <v>4</v>
      </c>
      <c r="K109" s="527">
        <v>1824.68</v>
      </c>
    </row>
    <row r="110" spans="1:11" ht="14.4" customHeight="1" x14ac:dyDescent="0.3">
      <c r="A110" s="522" t="s">
        <v>451</v>
      </c>
      <c r="B110" s="523" t="s">
        <v>452</v>
      </c>
      <c r="C110" s="524" t="s">
        <v>456</v>
      </c>
      <c r="D110" s="525" t="s">
        <v>477</v>
      </c>
      <c r="E110" s="524" t="s">
        <v>912</v>
      </c>
      <c r="F110" s="525" t="s">
        <v>913</v>
      </c>
      <c r="G110" s="524" t="s">
        <v>704</v>
      </c>
      <c r="H110" s="524" t="s">
        <v>705</v>
      </c>
      <c r="I110" s="526">
        <v>2546.7199999999998</v>
      </c>
      <c r="J110" s="526">
        <v>2</v>
      </c>
      <c r="K110" s="527">
        <v>5093.45</v>
      </c>
    </row>
    <row r="111" spans="1:11" ht="14.4" customHeight="1" x14ac:dyDescent="0.3">
      <c r="A111" s="522" t="s">
        <v>451</v>
      </c>
      <c r="B111" s="523" t="s">
        <v>452</v>
      </c>
      <c r="C111" s="524" t="s">
        <v>456</v>
      </c>
      <c r="D111" s="525" t="s">
        <v>477</v>
      </c>
      <c r="E111" s="524" t="s">
        <v>912</v>
      </c>
      <c r="F111" s="525" t="s">
        <v>913</v>
      </c>
      <c r="G111" s="524" t="s">
        <v>706</v>
      </c>
      <c r="H111" s="524" t="s">
        <v>707</v>
      </c>
      <c r="I111" s="526">
        <v>1174.9100000000001</v>
      </c>
      <c r="J111" s="526">
        <v>1</v>
      </c>
      <c r="K111" s="527">
        <v>1174.9100000000001</v>
      </c>
    </row>
    <row r="112" spans="1:11" ht="14.4" customHeight="1" x14ac:dyDescent="0.3">
      <c r="A112" s="522" t="s">
        <v>451</v>
      </c>
      <c r="B112" s="523" t="s">
        <v>452</v>
      </c>
      <c r="C112" s="524" t="s">
        <v>456</v>
      </c>
      <c r="D112" s="525" t="s">
        <v>477</v>
      </c>
      <c r="E112" s="524" t="s">
        <v>912</v>
      </c>
      <c r="F112" s="525" t="s">
        <v>913</v>
      </c>
      <c r="G112" s="524" t="s">
        <v>708</v>
      </c>
      <c r="H112" s="524" t="s">
        <v>709</v>
      </c>
      <c r="I112" s="526">
        <v>6716.71</v>
      </c>
      <c r="J112" s="526">
        <v>2</v>
      </c>
      <c r="K112" s="527">
        <v>13433.42</v>
      </c>
    </row>
    <row r="113" spans="1:11" ht="14.4" customHeight="1" x14ac:dyDescent="0.3">
      <c r="A113" s="522" t="s">
        <v>451</v>
      </c>
      <c r="B113" s="523" t="s">
        <v>452</v>
      </c>
      <c r="C113" s="524" t="s">
        <v>456</v>
      </c>
      <c r="D113" s="525" t="s">
        <v>477</v>
      </c>
      <c r="E113" s="524" t="s">
        <v>912</v>
      </c>
      <c r="F113" s="525" t="s">
        <v>913</v>
      </c>
      <c r="G113" s="524" t="s">
        <v>710</v>
      </c>
      <c r="H113" s="524" t="s">
        <v>711</v>
      </c>
      <c r="I113" s="526">
        <v>6972</v>
      </c>
      <c r="J113" s="526">
        <v>1</v>
      </c>
      <c r="K113" s="527">
        <v>6972</v>
      </c>
    </row>
    <row r="114" spans="1:11" ht="14.4" customHeight="1" x14ac:dyDescent="0.3">
      <c r="A114" s="522" t="s">
        <v>451</v>
      </c>
      <c r="B114" s="523" t="s">
        <v>452</v>
      </c>
      <c r="C114" s="524" t="s">
        <v>456</v>
      </c>
      <c r="D114" s="525" t="s">
        <v>477</v>
      </c>
      <c r="E114" s="524" t="s">
        <v>912</v>
      </c>
      <c r="F114" s="525" t="s">
        <v>913</v>
      </c>
      <c r="G114" s="524" t="s">
        <v>712</v>
      </c>
      <c r="H114" s="524" t="s">
        <v>713</v>
      </c>
      <c r="I114" s="526">
        <v>4657.29</v>
      </c>
      <c r="J114" s="526">
        <v>7</v>
      </c>
      <c r="K114" s="527">
        <v>32601.03</v>
      </c>
    </row>
    <row r="115" spans="1:11" ht="14.4" customHeight="1" x14ac:dyDescent="0.3">
      <c r="A115" s="522" t="s">
        <v>451</v>
      </c>
      <c r="B115" s="523" t="s">
        <v>452</v>
      </c>
      <c r="C115" s="524" t="s">
        <v>456</v>
      </c>
      <c r="D115" s="525" t="s">
        <v>477</v>
      </c>
      <c r="E115" s="524" t="s">
        <v>912</v>
      </c>
      <c r="F115" s="525" t="s">
        <v>913</v>
      </c>
      <c r="G115" s="524" t="s">
        <v>714</v>
      </c>
      <c r="H115" s="524" t="s">
        <v>715</v>
      </c>
      <c r="I115" s="526">
        <v>630.07000000000005</v>
      </c>
      <c r="J115" s="526">
        <v>2</v>
      </c>
      <c r="K115" s="527">
        <v>1260.1400000000001</v>
      </c>
    </row>
    <row r="116" spans="1:11" ht="14.4" customHeight="1" x14ac:dyDescent="0.3">
      <c r="A116" s="522" t="s">
        <v>451</v>
      </c>
      <c r="B116" s="523" t="s">
        <v>452</v>
      </c>
      <c r="C116" s="524" t="s">
        <v>456</v>
      </c>
      <c r="D116" s="525" t="s">
        <v>477</v>
      </c>
      <c r="E116" s="524" t="s">
        <v>912</v>
      </c>
      <c r="F116" s="525" t="s">
        <v>913</v>
      </c>
      <c r="G116" s="524" t="s">
        <v>716</v>
      </c>
      <c r="H116" s="524" t="s">
        <v>717</v>
      </c>
      <c r="I116" s="526">
        <v>8931.5450000000001</v>
      </c>
      <c r="J116" s="526">
        <v>8</v>
      </c>
      <c r="K116" s="527">
        <v>71452.34</v>
      </c>
    </row>
    <row r="117" spans="1:11" ht="14.4" customHeight="1" x14ac:dyDescent="0.3">
      <c r="A117" s="522" t="s">
        <v>451</v>
      </c>
      <c r="B117" s="523" t="s">
        <v>452</v>
      </c>
      <c r="C117" s="524" t="s">
        <v>456</v>
      </c>
      <c r="D117" s="525" t="s">
        <v>477</v>
      </c>
      <c r="E117" s="524" t="s">
        <v>912</v>
      </c>
      <c r="F117" s="525" t="s">
        <v>913</v>
      </c>
      <c r="G117" s="524" t="s">
        <v>718</v>
      </c>
      <c r="H117" s="524" t="s">
        <v>719</v>
      </c>
      <c r="I117" s="526">
        <v>12663.86</v>
      </c>
      <c r="J117" s="526">
        <v>2</v>
      </c>
      <c r="K117" s="527">
        <v>25327.72</v>
      </c>
    </row>
    <row r="118" spans="1:11" ht="14.4" customHeight="1" x14ac:dyDescent="0.3">
      <c r="A118" s="522" t="s">
        <v>451</v>
      </c>
      <c r="B118" s="523" t="s">
        <v>452</v>
      </c>
      <c r="C118" s="524" t="s">
        <v>456</v>
      </c>
      <c r="D118" s="525" t="s">
        <v>477</v>
      </c>
      <c r="E118" s="524" t="s">
        <v>912</v>
      </c>
      <c r="F118" s="525" t="s">
        <v>913</v>
      </c>
      <c r="G118" s="524" t="s">
        <v>720</v>
      </c>
      <c r="H118" s="524" t="s">
        <v>721</v>
      </c>
      <c r="I118" s="526">
        <v>2546.7199999999998</v>
      </c>
      <c r="J118" s="526">
        <v>3</v>
      </c>
      <c r="K118" s="527">
        <v>7640.17</v>
      </c>
    </row>
    <row r="119" spans="1:11" ht="14.4" customHeight="1" x14ac:dyDescent="0.3">
      <c r="A119" s="522" t="s">
        <v>451</v>
      </c>
      <c r="B119" s="523" t="s">
        <v>452</v>
      </c>
      <c r="C119" s="524" t="s">
        <v>456</v>
      </c>
      <c r="D119" s="525" t="s">
        <v>477</v>
      </c>
      <c r="E119" s="524" t="s">
        <v>912</v>
      </c>
      <c r="F119" s="525" t="s">
        <v>913</v>
      </c>
      <c r="G119" s="524" t="s">
        <v>722</v>
      </c>
      <c r="H119" s="524" t="s">
        <v>723</v>
      </c>
      <c r="I119" s="526">
        <v>2546.7199999999998</v>
      </c>
      <c r="J119" s="526">
        <v>5</v>
      </c>
      <c r="K119" s="527">
        <v>12733.62</v>
      </c>
    </row>
    <row r="120" spans="1:11" ht="14.4" customHeight="1" x14ac:dyDescent="0.3">
      <c r="A120" s="522" t="s">
        <v>451</v>
      </c>
      <c r="B120" s="523" t="s">
        <v>452</v>
      </c>
      <c r="C120" s="524" t="s">
        <v>456</v>
      </c>
      <c r="D120" s="525" t="s">
        <v>477</v>
      </c>
      <c r="E120" s="524" t="s">
        <v>912</v>
      </c>
      <c r="F120" s="525" t="s">
        <v>913</v>
      </c>
      <c r="G120" s="524" t="s">
        <v>724</v>
      </c>
      <c r="H120" s="524" t="s">
        <v>725</v>
      </c>
      <c r="I120" s="526">
        <v>3993</v>
      </c>
      <c r="J120" s="526">
        <v>1</v>
      </c>
      <c r="K120" s="527">
        <v>3993</v>
      </c>
    </row>
    <row r="121" spans="1:11" ht="14.4" customHeight="1" x14ac:dyDescent="0.3">
      <c r="A121" s="522" t="s">
        <v>451</v>
      </c>
      <c r="B121" s="523" t="s">
        <v>452</v>
      </c>
      <c r="C121" s="524" t="s">
        <v>456</v>
      </c>
      <c r="D121" s="525" t="s">
        <v>477</v>
      </c>
      <c r="E121" s="524" t="s">
        <v>912</v>
      </c>
      <c r="F121" s="525" t="s">
        <v>913</v>
      </c>
      <c r="G121" s="524" t="s">
        <v>726</v>
      </c>
      <c r="H121" s="524" t="s">
        <v>727</v>
      </c>
      <c r="I121" s="526">
        <v>7056.72</v>
      </c>
      <c r="J121" s="526">
        <v>1</v>
      </c>
      <c r="K121" s="527">
        <v>7056.72</v>
      </c>
    </row>
    <row r="122" spans="1:11" ht="14.4" customHeight="1" x14ac:dyDescent="0.3">
      <c r="A122" s="522" t="s">
        <v>451</v>
      </c>
      <c r="B122" s="523" t="s">
        <v>452</v>
      </c>
      <c r="C122" s="524" t="s">
        <v>456</v>
      </c>
      <c r="D122" s="525" t="s">
        <v>477</v>
      </c>
      <c r="E122" s="524" t="s">
        <v>912</v>
      </c>
      <c r="F122" s="525" t="s">
        <v>913</v>
      </c>
      <c r="G122" s="524" t="s">
        <v>728</v>
      </c>
      <c r="H122" s="524" t="s">
        <v>729</v>
      </c>
      <c r="I122" s="526">
        <v>3993</v>
      </c>
      <c r="J122" s="526">
        <v>1</v>
      </c>
      <c r="K122" s="527">
        <v>3993</v>
      </c>
    </row>
    <row r="123" spans="1:11" ht="14.4" customHeight="1" x14ac:dyDescent="0.3">
      <c r="A123" s="522" t="s">
        <v>451</v>
      </c>
      <c r="B123" s="523" t="s">
        <v>452</v>
      </c>
      <c r="C123" s="524" t="s">
        <v>456</v>
      </c>
      <c r="D123" s="525" t="s">
        <v>477</v>
      </c>
      <c r="E123" s="524" t="s">
        <v>912</v>
      </c>
      <c r="F123" s="525" t="s">
        <v>913</v>
      </c>
      <c r="G123" s="524" t="s">
        <v>730</v>
      </c>
      <c r="H123" s="524" t="s">
        <v>731</v>
      </c>
      <c r="I123" s="526">
        <v>2546.7199999999998</v>
      </c>
      <c r="J123" s="526">
        <v>4</v>
      </c>
      <c r="K123" s="527">
        <v>10186.89</v>
      </c>
    </row>
    <row r="124" spans="1:11" ht="14.4" customHeight="1" x14ac:dyDescent="0.3">
      <c r="A124" s="522" t="s">
        <v>451</v>
      </c>
      <c r="B124" s="523" t="s">
        <v>452</v>
      </c>
      <c r="C124" s="524" t="s">
        <v>456</v>
      </c>
      <c r="D124" s="525" t="s">
        <v>477</v>
      </c>
      <c r="E124" s="524" t="s">
        <v>912</v>
      </c>
      <c r="F124" s="525" t="s">
        <v>913</v>
      </c>
      <c r="G124" s="524" t="s">
        <v>732</v>
      </c>
      <c r="H124" s="524" t="s">
        <v>733</v>
      </c>
      <c r="I124" s="526">
        <v>1339.48</v>
      </c>
      <c r="J124" s="526">
        <v>3</v>
      </c>
      <c r="K124" s="527">
        <v>4018.45</v>
      </c>
    </row>
    <row r="125" spans="1:11" ht="14.4" customHeight="1" x14ac:dyDescent="0.3">
      <c r="A125" s="522" t="s">
        <v>451</v>
      </c>
      <c r="B125" s="523" t="s">
        <v>452</v>
      </c>
      <c r="C125" s="524" t="s">
        <v>456</v>
      </c>
      <c r="D125" s="525" t="s">
        <v>477</v>
      </c>
      <c r="E125" s="524" t="s">
        <v>912</v>
      </c>
      <c r="F125" s="525" t="s">
        <v>913</v>
      </c>
      <c r="G125" s="524" t="s">
        <v>734</v>
      </c>
      <c r="H125" s="524" t="s">
        <v>735</v>
      </c>
      <c r="I125" s="526">
        <v>12157.305</v>
      </c>
      <c r="J125" s="526">
        <v>8</v>
      </c>
      <c r="K125" s="527">
        <v>97258.450000000012</v>
      </c>
    </row>
    <row r="126" spans="1:11" ht="14.4" customHeight="1" x14ac:dyDescent="0.3">
      <c r="A126" s="522" t="s">
        <v>451</v>
      </c>
      <c r="B126" s="523" t="s">
        <v>452</v>
      </c>
      <c r="C126" s="524" t="s">
        <v>456</v>
      </c>
      <c r="D126" s="525" t="s">
        <v>477</v>
      </c>
      <c r="E126" s="524" t="s">
        <v>912</v>
      </c>
      <c r="F126" s="525" t="s">
        <v>913</v>
      </c>
      <c r="G126" s="524" t="s">
        <v>736</v>
      </c>
      <c r="H126" s="524" t="s">
        <v>737</v>
      </c>
      <c r="I126" s="526">
        <v>2546.7199999999998</v>
      </c>
      <c r="J126" s="526">
        <v>2</v>
      </c>
      <c r="K126" s="527">
        <v>5093.45</v>
      </c>
    </row>
    <row r="127" spans="1:11" ht="14.4" customHeight="1" x14ac:dyDescent="0.3">
      <c r="A127" s="522" t="s">
        <v>451</v>
      </c>
      <c r="B127" s="523" t="s">
        <v>452</v>
      </c>
      <c r="C127" s="524" t="s">
        <v>456</v>
      </c>
      <c r="D127" s="525" t="s">
        <v>477</v>
      </c>
      <c r="E127" s="524" t="s">
        <v>912</v>
      </c>
      <c r="F127" s="525" t="s">
        <v>913</v>
      </c>
      <c r="G127" s="524" t="s">
        <v>738</v>
      </c>
      <c r="H127" s="524" t="s">
        <v>739</v>
      </c>
      <c r="I127" s="526">
        <v>11988.453333333333</v>
      </c>
      <c r="J127" s="526">
        <v>9</v>
      </c>
      <c r="K127" s="527">
        <v>109922.3</v>
      </c>
    </row>
    <row r="128" spans="1:11" ht="14.4" customHeight="1" x14ac:dyDescent="0.3">
      <c r="A128" s="522" t="s">
        <v>451</v>
      </c>
      <c r="B128" s="523" t="s">
        <v>452</v>
      </c>
      <c r="C128" s="524" t="s">
        <v>456</v>
      </c>
      <c r="D128" s="525" t="s">
        <v>477</v>
      </c>
      <c r="E128" s="524" t="s">
        <v>912</v>
      </c>
      <c r="F128" s="525" t="s">
        <v>913</v>
      </c>
      <c r="G128" s="524" t="s">
        <v>740</v>
      </c>
      <c r="H128" s="524" t="s">
        <v>741</v>
      </c>
      <c r="I128" s="526">
        <v>5929</v>
      </c>
      <c r="J128" s="526">
        <v>2</v>
      </c>
      <c r="K128" s="527">
        <v>11858</v>
      </c>
    </row>
    <row r="129" spans="1:11" ht="14.4" customHeight="1" x14ac:dyDescent="0.3">
      <c r="A129" s="522" t="s">
        <v>451</v>
      </c>
      <c r="B129" s="523" t="s">
        <v>452</v>
      </c>
      <c r="C129" s="524" t="s">
        <v>456</v>
      </c>
      <c r="D129" s="525" t="s">
        <v>477</v>
      </c>
      <c r="E129" s="524" t="s">
        <v>912</v>
      </c>
      <c r="F129" s="525" t="s">
        <v>913</v>
      </c>
      <c r="G129" s="524" t="s">
        <v>742</v>
      </c>
      <c r="H129" s="524" t="s">
        <v>743</v>
      </c>
      <c r="I129" s="526">
        <v>2546.7199999999998</v>
      </c>
      <c r="J129" s="526">
        <v>3</v>
      </c>
      <c r="K129" s="527">
        <v>7640.17</v>
      </c>
    </row>
    <row r="130" spans="1:11" ht="14.4" customHeight="1" x14ac:dyDescent="0.3">
      <c r="A130" s="522" t="s">
        <v>451</v>
      </c>
      <c r="B130" s="523" t="s">
        <v>452</v>
      </c>
      <c r="C130" s="524" t="s">
        <v>456</v>
      </c>
      <c r="D130" s="525" t="s">
        <v>477</v>
      </c>
      <c r="E130" s="524" t="s">
        <v>912</v>
      </c>
      <c r="F130" s="525" t="s">
        <v>913</v>
      </c>
      <c r="G130" s="524" t="s">
        <v>744</v>
      </c>
      <c r="H130" s="524" t="s">
        <v>745</v>
      </c>
      <c r="I130" s="526">
        <v>3501.98</v>
      </c>
      <c r="J130" s="526">
        <v>2</v>
      </c>
      <c r="K130" s="527">
        <v>7003.96</v>
      </c>
    </row>
    <row r="131" spans="1:11" ht="14.4" customHeight="1" x14ac:dyDescent="0.3">
      <c r="A131" s="522" t="s">
        <v>451</v>
      </c>
      <c r="B131" s="523" t="s">
        <v>452</v>
      </c>
      <c r="C131" s="524" t="s">
        <v>456</v>
      </c>
      <c r="D131" s="525" t="s">
        <v>477</v>
      </c>
      <c r="E131" s="524" t="s">
        <v>912</v>
      </c>
      <c r="F131" s="525" t="s">
        <v>913</v>
      </c>
      <c r="G131" s="524" t="s">
        <v>746</v>
      </c>
      <c r="H131" s="524" t="s">
        <v>747</v>
      </c>
      <c r="I131" s="526">
        <v>44932.51</v>
      </c>
      <c r="J131" s="526">
        <v>1</v>
      </c>
      <c r="K131" s="527">
        <v>44932.51</v>
      </c>
    </row>
    <row r="132" spans="1:11" ht="14.4" customHeight="1" x14ac:dyDescent="0.3">
      <c r="A132" s="522" t="s">
        <v>451</v>
      </c>
      <c r="B132" s="523" t="s">
        <v>452</v>
      </c>
      <c r="C132" s="524" t="s">
        <v>456</v>
      </c>
      <c r="D132" s="525" t="s">
        <v>477</v>
      </c>
      <c r="E132" s="524" t="s">
        <v>912</v>
      </c>
      <c r="F132" s="525" t="s">
        <v>913</v>
      </c>
      <c r="G132" s="524" t="s">
        <v>748</v>
      </c>
      <c r="H132" s="524" t="s">
        <v>749</v>
      </c>
      <c r="I132" s="526">
        <v>2065.3000000000002</v>
      </c>
      <c r="J132" s="526">
        <v>4</v>
      </c>
      <c r="K132" s="527">
        <v>8261.2000000000007</v>
      </c>
    </row>
    <row r="133" spans="1:11" ht="14.4" customHeight="1" x14ac:dyDescent="0.3">
      <c r="A133" s="522" t="s">
        <v>451</v>
      </c>
      <c r="B133" s="523" t="s">
        <v>452</v>
      </c>
      <c r="C133" s="524" t="s">
        <v>456</v>
      </c>
      <c r="D133" s="525" t="s">
        <v>477</v>
      </c>
      <c r="E133" s="524" t="s">
        <v>912</v>
      </c>
      <c r="F133" s="525" t="s">
        <v>913</v>
      </c>
      <c r="G133" s="524" t="s">
        <v>750</v>
      </c>
      <c r="H133" s="524" t="s">
        <v>751</v>
      </c>
      <c r="I133" s="526">
        <v>14715.92</v>
      </c>
      <c r="J133" s="526">
        <v>2</v>
      </c>
      <c r="K133" s="527">
        <v>29431.84</v>
      </c>
    </row>
    <row r="134" spans="1:11" ht="14.4" customHeight="1" x14ac:dyDescent="0.3">
      <c r="A134" s="522" t="s">
        <v>451</v>
      </c>
      <c r="B134" s="523" t="s">
        <v>452</v>
      </c>
      <c r="C134" s="524" t="s">
        <v>456</v>
      </c>
      <c r="D134" s="525" t="s">
        <v>477</v>
      </c>
      <c r="E134" s="524" t="s">
        <v>912</v>
      </c>
      <c r="F134" s="525" t="s">
        <v>913</v>
      </c>
      <c r="G134" s="524" t="s">
        <v>752</v>
      </c>
      <c r="H134" s="524" t="s">
        <v>753</v>
      </c>
      <c r="I134" s="526">
        <v>519.09</v>
      </c>
      <c r="J134" s="526">
        <v>5</v>
      </c>
      <c r="K134" s="527">
        <v>2595.4499999999998</v>
      </c>
    </row>
    <row r="135" spans="1:11" ht="14.4" customHeight="1" x14ac:dyDescent="0.3">
      <c r="A135" s="522" t="s">
        <v>451</v>
      </c>
      <c r="B135" s="523" t="s">
        <v>452</v>
      </c>
      <c r="C135" s="524" t="s">
        <v>456</v>
      </c>
      <c r="D135" s="525" t="s">
        <v>477</v>
      </c>
      <c r="E135" s="524" t="s">
        <v>912</v>
      </c>
      <c r="F135" s="525" t="s">
        <v>913</v>
      </c>
      <c r="G135" s="524" t="s">
        <v>754</v>
      </c>
      <c r="H135" s="524" t="s">
        <v>755</v>
      </c>
      <c r="I135" s="526">
        <v>29350.97</v>
      </c>
      <c r="J135" s="526">
        <v>1</v>
      </c>
      <c r="K135" s="527">
        <v>29350.97</v>
      </c>
    </row>
    <row r="136" spans="1:11" ht="14.4" customHeight="1" x14ac:dyDescent="0.3">
      <c r="A136" s="522" t="s">
        <v>451</v>
      </c>
      <c r="B136" s="523" t="s">
        <v>452</v>
      </c>
      <c r="C136" s="524" t="s">
        <v>456</v>
      </c>
      <c r="D136" s="525" t="s">
        <v>477</v>
      </c>
      <c r="E136" s="524" t="s">
        <v>912</v>
      </c>
      <c r="F136" s="525" t="s">
        <v>913</v>
      </c>
      <c r="G136" s="524" t="s">
        <v>756</v>
      </c>
      <c r="H136" s="524" t="s">
        <v>757</v>
      </c>
      <c r="I136" s="526">
        <v>14715.86</v>
      </c>
      <c r="J136" s="526">
        <v>1</v>
      </c>
      <c r="K136" s="527">
        <v>14715.86</v>
      </c>
    </row>
    <row r="137" spans="1:11" ht="14.4" customHeight="1" x14ac:dyDescent="0.3">
      <c r="A137" s="522" t="s">
        <v>451</v>
      </c>
      <c r="B137" s="523" t="s">
        <v>452</v>
      </c>
      <c r="C137" s="524" t="s">
        <v>456</v>
      </c>
      <c r="D137" s="525" t="s">
        <v>477</v>
      </c>
      <c r="E137" s="524" t="s">
        <v>912</v>
      </c>
      <c r="F137" s="525" t="s">
        <v>913</v>
      </c>
      <c r="G137" s="524" t="s">
        <v>758</v>
      </c>
      <c r="H137" s="524" t="s">
        <v>759</v>
      </c>
      <c r="I137" s="526">
        <v>1996.5</v>
      </c>
      <c r="J137" s="526">
        <v>1</v>
      </c>
      <c r="K137" s="527">
        <v>1996.5</v>
      </c>
    </row>
    <row r="138" spans="1:11" ht="14.4" customHeight="1" x14ac:dyDescent="0.3">
      <c r="A138" s="522" t="s">
        <v>451</v>
      </c>
      <c r="B138" s="523" t="s">
        <v>452</v>
      </c>
      <c r="C138" s="524" t="s">
        <v>456</v>
      </c>
      <c r="D138" s="525" t="s">
        <v>477</v>
      </c>
      <c r="E138" s="524" t="s">
        <v>912</v>
      </c>
      <c r="F138" s="525" t="s">
        <v>913</v>
      </c>
      <c r="G138" s="524" t="s">
        <v>760</v>
      </c>
      <c r="H138" s="524" t="s">
        <v>761</v>
      </c>
      <c r="I138" s="526">
        <v>2546.7199999999998</v>
      </c>
      <c r="J138" s="526">
        <v>2</v>
      </c>
      <c r="K138" s="527">
        <v>5093.45</v>
      </c>
    </row>
    <row r="139" spans="1:11" ht="14.4" customHeight="1" x14ac:dyDescent="0.3">
      <c r="A139" s="522" t="s">
        <v>451</v>
      </c>
      <c r="B139" s="523" t="s">
        <v>452</v>
      </c>
      <c r="C139" s="524" t="s">
        <v>456</v>
      </c>
      <c r="D139" s="525" t="s">
        <v>477</v>
      </c>
      <c r="E139" s="524" t="s">
        <v>912</v>
      </c>
      <c r="F139" s="525" t="s">
        <v>913</v>
      </c>
      <c r="G139" s="524" t="s">
        <v>762</v>
      </c>
      <c r="H139" s="524" t="s">
        <v>763</v>
      </c>
      <c r="I139" s="526">
        <v>2065.3000000000002</v>
      </c>
      <c r="J139" s="526">
        <v>2</v>
      </c>
      <c r="K139" s="527">
        <v>4130.6000000000004</v>
      </c>
    </row>
    <row r="140" spans="1:11" ht="14.4" customHeight="1" x14ac:dyDescent="0.3">
      <c r="A140" s="522" t="s">
        <v>451</v>
      </c>
      <c r="B140" s="523" t="s">
        <v>452</v>
      </c>
      <c r="C140" s="524" t="s">
        <v>456</v>
      </c>
      <c r="D140" s="525" t="s">
        <v>477</v>
      </c>
      <c r="E140" s="524" t="s">
        <v>912</v>
      </c>
      <c r="F140" s="525" t="s">
        <v>913</v>
      </c>
      <c r="G140" s="524" t="s">
        <v>764</v>
      </c>
      <c r="H140" s="524" t="s">
        <v>765</v>
      </c>
      <c r="I140" s="526">
        <v>5161.8599999999997</v>
      </c>
      <c r="J140" s="526">
        <v>4</v>
      </c>
      <c r="K140" s="527">
        <v>20647.439999999999</v>
      </c>
    </row>
    <row r="141" spans="1:11" ht="14.4" customHeight="1" x14ac:dyDescent="0.3">
      <c r="A141" s="522" t="s">
        <v>451</v>
      </c>
      <c r="B141" s="523" t="s">
        <v>452</v>
      </c>
      <c r="C141" s="524" t="s">
        <v>456</v>
      </c>
      <c r="D141" s="525" t="s">
        <v>477</v>
      </c>
      <c r="E141" s="524" t="s">
        <v>912</v>
      </c>
      <c r="F141" s="525" t="s">
        <v>913</v>
      </c>
      <c r="G141" s="524" t="s">
        <v>766</v>
      </c>
      <c r="H141" s="524" t="s">
        <v>767</v>
      </c>
      <c r="I141" s="526">
        <v>17170.04</v>
      </c>
      <c r="J141" s="526">
        <v>1</v>
      </c>
      <c r="K141" s="527">
        <v>17170.04</v>
      </c>
    </row>
    <row r="142" spans="1:11" ht="14.4" customHeight="1" x14ac:dyDescent="0.3">
      <c r="A142" s="522" t="s">
        <v>451</v>
      </c>
      <c r="B142" s="523" t="s">
        <v>452</v>
      </c>
      <c r="C142" s="524" t="s">
        <v>456</v>
      </c>
      <c r="D142" s="525" t="s">
        <v>477</v>
      </c>
      <c r="E142" s="524" t="s">
        <v>912</v>
      </c>
      <c r="F142" s="525" t="s">
        <v>913</v>
      </c>
      <c r="G142" s="524" t="s">
        <v>768</v>
      </c>
      <c r="H142" s="524" t="s">
        <v>769</v>
      </c>
      <c r="I142" s="526">
        <v>16727</v>
      </c>
      <c r="J142" s="526">
        <v>2</v>
      </c>
      <c r="K142" s="527">
        <v>33454</v>
      </c>
    </row>
    <row r="143" spans="1:11" ht="14.4" customHeight="1" x14ac:dyDescent="0.3">
      <c r="A143" s="522" t="s">
        <v>451</v>
      </c>
      <c r="B143" s="523" t="s">
        <v>452</v>
      </c>
      <c r="C143" s="524" t="s">
        <v>456</v>
      </c>
      <c r="D143" s="525" t="s">
        <v>477</v>
      </c>
      <c r="E143" s="524" t="s">
        <v>912</v>
      </c>
      <c r="F143" s="525" t="s">
        <v>913</v>
      </c>
      <c r="G143" s="524" t="s">
        <v>770</v>
      </c>
      <c r="H143" s="524" t="s">
        <v>771</v>
      </c>
      <c r="I143" s="526">
        <v>2546.7199999999998</v>
      </c>
      <c r="J143" s="526">
        <v>2</v>
      </c>
      <c r="K143" s="527">
        <v>5093.45</v>
      </c>
    </row>
    <row r="144" spans="1:11" ht="14.4" customHeight="1" x14ac:dyDescent="0.3">
      <c r="A144" s="522" t="s">
        <v>451</v>
      </c>
      <c r="B144" s="523" t="s">
        <v>452</v>
      </c>
      <c r="C144" s="524" t="s">
        <v>456</v>
      </c>
      <c r="D144" s="525" t="s">
        <v>477</v>
      </c>
      <c r="E144" s="524" t="s">
        <v>912</v>
      </c>
      <c r="F144" s="525" t="s">
        <v>913</v>
      </c>
      <c r="G144" s="524" t="s">
        <v>772</v>
      </c>
      <c r="H144" s="524" t="s">
        <v>773</v>
      </c>
      <c r="I144" s="526">
        <v>2546.7199999999998</v>
      </c>
      <c r="J144" s="526">
        <v>3</v>
      </c>
      <c r="K144" s="527">
        <v>7640.17</v>
      </c>
    </row>
    <row r="145" spans="1:11" ht="14.4" customHeight="1" x14ac:dyDescent="0.3">
      <c r="A145" s="522" t="s">
        <v>451</v>
      </c>
      <c r="B145" s="523" t="s">
        <v>452</v>
      </c>
      <c r="C145" s="524" t="s">
        <v>456</v>
      </c>
      <c r="D145" s="525" t="s">
        <v>477</v>
      </c>
      <c r="E145" s="524" t="s">
        <v>912</v>
      </c>
      <c r="F145" s="525" t="s">
        <v>913</v>
      </c>
      <c r="G145" s="524" t="s">
        <v>774</v>
      </c>
      <c r="H145" s="524" t="s">
        <v>775</v>
      </c>
      <c r="I145" s="526">
        <v>2546.7199999999998</v>
      </c>
      <c r="J145" s="526">
        <v>1</v>
      </c>
      <c r="K145" s="527">
        <v>2546.7199999999998</v>
      </c>
    </row>
    <row r="146" spans="1:11" ht="14.4" customHeight="1" x14ac:dyDescent="0.3">
      <c r="A146" s="522" t="s">
        <v>451</v>
      </c>
      <c r="B146" s="523" t="s">
        <v>452</v>
      </c>
      <c r="C146" s="524" t="s">
        <v>456</v>
      </c>
      <c r="D146" s="525" t="s">
        <v>477</v>
      </c>
      <c r="E146" s="524" t="s">
        <v>912</v>
      </c>
      <c r="F146" s="525" t="s">
        <v>913</v>
      </c>
      <c r="G146" s="524" t="s">
        <v>776</v>
      </c>
      <c r="H146" s="524" t="s">
        <v>777</v>
      </c>
      <c r="I146" s="526">
        <v>8737.41</v>
      </c>
      <c r="J146" s="526">
        <v>10</v>
      </c>
      <c r="K146" s="527">
        <v>87374.1</v>
      </c>
    </row>
    <row r="147" spans="1:11" ht="14.4" customHeight="1" x14ac:dyDescent="0.3">
      <c r="A147" s="522" t="s">
        <v>451</v>
      </c>
      <c r="B147" s="523" t="s">
        <v>452</v>
      </c>
      <c r="C147" s="524" t="s">
        <v>456</v>
      </c>
      <c r="D147" s="525" t="s">
        <v>477</v>
      </c>
      <c r="E147" s="524" t="s">
        <v>912</v>
      </c>
      <c r="F147" s="525" t="s">
        <v>913</v>
      </c>
      <c r="G147" s="524" t="s">
        <v>778</v>
      </c>
      <c r="H147" s="524" t="s">
        <v>779</v>
      </c>
      <c r="I147" s="526">
        <v>8737.41</v>
      </c>
      <c r="J147" s="526">
        <v>8</v>
      </c>
      <c r="K147" s="527">
        <v>69899.28</v>
      </c>
    </row>
    <row r="148" spans="1:11" ht="14.4" customHeight="1" x14ac:dyDescent="0.3">
      <c r="A148" s="522" t="s">
        <v>451</v>
      </c>
      <c r="B148" s="523" t="s">
        <v>452</v>
      </c>
      <c r="C148" s="524" t="s">
        <v>456</v>
      </c>
      <c r="D148" s="525" t="s">
        <v>477</v>
      </c>
      <c r="E148" s="524" t="s">
        <v>912</v>
      </c>
      <c r="F148" s="525" t="s">
        <v>913</v>
      </c>
      <c r="G148" s="524" t="s">
        <v>780</v>
      </c>
      <c r="H148" s="524" t="s">
        <v>781</v>
      </c>
      <c r="I148" s="526">
        <v>8737.41</v>
      </c>
      <c r="J148" s="526">
        <v>10</v>
      </c>
      <c r="K148" s="527">
        <v>87374.1</v>
      </c>
    </row>
    <row r="149" spans="1:11" ht="14.4" customHeight="1" x14ac:dyDescent="0.3">
      <c r="A149" s="522" t="s">
        <v>451</v>
      </c>
      <c r="B149" s="523" t="s">
        <v>452</v>
      </c>
      <c r="C149" s="524" t="s">
        <v>456</v>
      </c>
      <c r="D149" s="525" t="s">
        <v>477</v>
      </c>
      <c r="E149" s="524" t="s">
        <v>912</v>
      </c>
      <c r="F149" s="525" t="s">
        <v>913</v>
      </c>
      <c r="G149" s="524" t="s">
        <v>782</v>
      </c>
      <c r="H149" s="524" t="s">
        <v>783</v>
      </c>
      <c r="I149" s="526">
        <v>8737.41</v>
      </c>
      <c r="J149" s="526">
        <v>9</v>
      </c>
      <c r="K149" s="527">
        <v>78636.69</v>
      </c>
    </row>
    <row r="150" spans="1:11" ht="14.4" customHeight="1" x14ac:dyDescent="0.3">
      <c r="A150" s="522" t="s">
        <v>451</v>
      </c>
      <c r="B150" s="523" t="s">
        <v>452</v>
      </c>
      <c r="C150" s="524" t="s">
        <v>456</v>
      </c>
      <c r="D150" s="525" t="s">
        <v>477</v>
      </c>
      <c r="E150" s="524" t="s">
        <v>912</v>
      </c>
      <c r="F150" s="525" t="s">
        <v>913</v>
      </c>
      <c r="G150" s="524" t="s">
        <v>784</v>
      </c>
      <c r="H150" s="524" t="s">
        <v>785</v>
      </c>
      <c r="I150" s="526">
        <v>2546.7199999999998</v>
      </c>
      <c r="J150" s="526">
        <v>1</v>
      </c>
      <c r="K150" s="527">
        <v>2546.7199999999998</v>
      </c>
    </row>
    <row r="151" spans="1:11" ht="14.4" customHeight="1" x14ac:dyDescent="0.3">
      <c r="A151" s="522" t="s">
        <v>451</v>
      </c>
      <c r="B151" s="523" t="s">
        <v>452</v>
      </c>
      <c r="C151" s="524" t="s">
        <v>456</v>
      </c>
      <c r="D151" s="525" t="s">
        <v>477</v>
      </c>
      <c r="E151" s="524" t="s">
        <v>912</v>
      </c>
      <c r="F151" s="525" t="s">
        <v>913</v>
      </c>
      <c r="G151" s="524" t="s">
        <v>786</v>
      </c>
      <c r="H151" s="524" t="s">
        <v>787</v>
      </c>
      <c r="I151" s="526">
        <v>8350.2099999999991</v>
      </c>
      <c r="J151" s="526">
        <v>10</v>
      </c>
      <c r="K151" s="527">
        <v>83502.100000000006</v>
      </c>
    </row>
    <row r="152" spans="1:11" ht="14.4" customHeight="1" x14ac:dyDescent="0.3">
      <c r="A152" s="522" t="s">
        <v>451</v>
      </c>
      <c r="B152" s="523" t="s">
        <v>452</v>
      </c>
      <c r="C152" s="524" t="s">
        <v>456</v>
      </c>
      <c r="D152" s="525" t="s">
        <v>477</v>
      </c>
      <c r="E152" s="524" t="s">
        <v>912</v>
      </c>
      <c r="F152" s="525" t="s">
        <v>913</v>
      </c>
      <c r="G152" s="524" t="s">
        <v>788</v>
      </c>
      <c r="H152" s="524" t="s">
        <v>789</v>
      </c>
      <c r="I152" s="526">
        <v>7463.28</v>
      </c>
      <c r="J152" s="526">
        <v>10</v>
      </c>
      <c r="K152" s="527">
        <v>74632.800000000003</v>
      </c>
    </row>
    <row r="153" spans="1:11" ht="14.4" customHeight="1" x14ac:dyDescent="0.3">
      <c r="A153" s="522" t="s">
        <v>451</v>
      </c>
      <c r="B153" s="523" t="s">
        <v>452</v>
      </c>
      <c r="C153" s="524" t="s">
        <v>456</v>
      </c>
      <c r="D153" s="525" t="s">
        <v>477</v>
      </c>
      <c r="E153" s="524" t="s">
        <v>912</v>
      </c>
      <c r="F153" s="525" t="s">
        <v>913</v>
      </c>
      <c r="G153" s="524" t="s">
        <v>790</v>
      </c>
      <c r="H153" s="524" t="s">
        <v>791</v>
      </c>
      <c r="I153" s="526">
        <v>13867.81</v>
      </c>
      <c r="J153" s="526">
        <v>1</v>
      </c>
      <c r="K153" s="527">
        <v>13867.81</v>
      </c>
    </row>
    <row r="154" spans="1:11" ht="14.4" customHeight="1" x14ac:dyDescent="0.3">
      <c r="A154" s="522" t="s">
        <v>451</v>
      </c>
      <c r="B154" s="523" t="s">
        <v>452</v>
      </c>
      <c r="C154" s="524" t="s">
        <v>456</v>
      </c>
      <c r="D154" s="525" t="s">
        <v>477</v>
      </c>
      <c r="E154" s="524" t="s">
        <v>912</v>
      </c>
      <c r="F154" s="525" t="s">
        <v>913</v>
      </c>
      <c r="G154" s="524" t="s">
        <v>792</v>
      </c>
      <c r="H154" s="524" t="s">
        <v>793</v>
      </c>
      <c r="I154" s="526">
        <v>25270.1</v>
      </c>
      <c r="J154" s="526">
        <v>1</v>
      </c>
      <c r="K154" s="527">
        <v>25270.1</v>
      </c>
    </row>
    <row r="155" spans="1:11" ht="14.4" customHeight="1" x14ac:dyDescent="0.3">
      <c r="A155" s="522" t="s">
        <v>451</v>
      </c>
      <c r="B155" s="523" t="s">
        <v>452</v>
      </c>
      <c r="C155" s="524" t="s">
        <v>456</v>
      </c>
      <c r="D155" s="525" t="s">
        <v>477</v>
      </c>
      <c r="E155" s="524" t="s">
        <v>912</v>
      </c>
      <c r="F155" s="525" t="s">
        <v>913</v>
      </c>
      <c r="G155" s="524" t="s">
        <v>794</v>
      </c>
      <c r="H155" s="524" t="s">
        <v>795</v>
      </c>
      <c r="I155" s="526">
        <v>8572.85</v>
      </c>
      <c r="J155" s="526">
        <v>1</v>
      </c>
      <c r="K155" s="527">
        <v>8572.85</v>
      </c>
    </row>
    <row r="156" spans="1:11" ht="14.4" customHeight="1" x14ac:dyDescent="0.3">
      <c r="A156" s="522" t="s">
        <v>451</v>
      </c>
      <c r="B156" s="523" t="s">
        <v>452</v>
      </c>
      <c r="C156" s="524" t="s">
        <v>456</v>
      </c>
      <c r="D156" s="525" t="s">
        <v>477</v>
      </c>
      <c r="E156" s="524" t="s">
        <v>912</v>
      </c>
      <c r="F156" s="525" t="s">
        <v>913</v>
      </c>
      <c r="G156" s="524" t="s">
        <v>796</v>
      </c>
      <c r="H156" s="524" t="s">
        <v>797</v>
      </c>
      <c r="I156" s="526">
        <v>2429.56</v>
      </c>
      <c r="J156" s="526">
        <v>1</v>
      </c>
      <c r="K156" s="527">
        <v>2429.56</v>
      </c>
    </row>
    <row r="157" spans="1:11" ht="14.4" customHeight="1" x14ac:dyDescent="0.3">
      <c r="A157" s="522" t="s">
        <v>451</v>
      </c>
      <c r="B157" s="523" t="s">
        <v>452</v>
      </c>
      <c r="C157" s="524" t="s">
        <v>456</v>
      </c>
      <c r="D157" s="525" t="s">
        <v>477</v>
      </c>
      <c r="E157" s="524" t="s">
        <v>912</v>
      </c>
      <c r="F157" s="525" t="s">
        <v>913</v>
      </c>
      <c r="G157" s="524" t="s">
        <v>798</v>
      </c>
      <c r="H157" s="524" t="s">
        <v>799</v>
      </c>
      <c r="I157" s="526">
        <v>41913.199999999997</v>
      </c>
      <c r="J157" s="526">
        <v>1</v>
      </c>
      <c r="K157" s="527">
        <v>41913.199999999997</v>
      </c>
    </row>
    <row r="158" spans="1:11" ht="14.4" customHeight="1" x14ac:dyDescent="0.3">
      <c r="A158" s="522" t="s">
        <v>451</v>
      </c>
      <c r="B158" s="523" t="s">
        <v>452</v>
      </c>
      <c r="C158" s="524" t="s">
        <v>456</v>
      </c>
      <c r="D158" s="525" t="s">
        <v>477</v>
      </c>
      <c r="E158" s="524" t="s">
        <v>912</v>
      </c>
      <c r="F158" s="525" t="s">
        <v>913</v>
      </c>
      <c r="G158" s="524" t="s">
        <v>800</v>
      </c>
      <c r="H158" s="524" t="s">
        <v>801</v>
      </c>
      <c r="I158" s="526">
        <v>8655.5300000000007</v>
      </c>
      <c r="J158" s="526">
        <v>1</v>
      </c>
      <c r="K158" s="527">
        <v>8655.5300000000007</v>
      </c>
    </row>
    <row r="159" spans="1:11" ht="14.4" customHeight="1" x14ac:dyDescent="0.3">
      <c r="A159" s="522" t="s">
        <v>451</v>
      </c>
      <c r="B159" s="523" t="s">
        <v>452</v>
      </c>
      <c r="C159" s="524" t="s">
        <v>456</v>
      </c>
      <c r="D159" s="525" t="s">
        <v>477</v>
      </c>
      <c r="E159" s="524" t="s">
        <v>912</v>
      </c>
      <c r="F159" s="525" t="s">
        <v>913</v>
      </c>
      <c r="G159" s="524" t="s">
        <v>802</v>
      </c>
      <c r="H159" s="524" t="s">
        <v>803</v>
      </c>
      <c r="I159" s="526">
        <v>519.09</v>
      </c>
      <c r="J159" s="526">
        <v>5</v>
      </c>
      <c r="K159" s="527">
        <v>2595.4499999999998</v>
      </c>
    </row>
    <row r="160" spans="1:11" ht="14.4" customHeight="1" x14ac:dyDescent="0.3">
      <c r="A160" s="522" t="s">
        <v>451</v>
      </c>
      <c r="B160" s="523" t="s">
        <v>452</v>
      </c>
      <c r="C160" s="524" t="s">
        <v>456</v>
      </c>
      <c r="D160" s="525" t="s">
        <v>477</v>
      </c>
      <c r="E160" s="524" t="s">
        <v>912</v>
      </c>
      <c r="F160" s="525" t="s">
        <v>913</v>
      </c>
      <c r="G160" s="524" t="s">
        <v>804</v>
      </c>
      <c r="H160" s="524" t="s">
        <v>805</v>
      </c>
      <c r="I160" s="526">
        <v>2546.7199999999998</v>
      </c>
      <c r="J160" s="526">
        <v>2</v>
      </c>
      <c r="K160" s="527">
        <v>5093.45</v>
      </c>
    </row>
    <row r="161" spans="1:11" ht="14.4" customHeight="1" x14ac:dyDescent="0.3">
      <c r="A161" s="522" t="s">
        <v>451</v>
      </c>
      <c r="B161" s="523" t="s">
        <v>452</v>
      </c>
      <c r="C161" s="524" t="s">
        <v>456</v>
      </c>
      <c r="D161" s="525" t="s">
        <v>477</v>
      </c>
      <c r="E161" s="524" t="s">
        <v>912</v>
      </c>
      <c r="F161" s="525" t="s">
        <v>913</v>
      </c>
      <c r="G161" s="524" t="s">
        <v>806</v>
      </c>
      <c r="H161" s="524" t="s">
        <v>807</v>
      </c>
      <c r="I161" s="526">
        <v>2065.3000000000002</v>
      </c>
      <c r="J161" s="526">
        <v>2</v>
      </c>
      <c r="K161" s="527">
        <v>4130.6000000000004</v>
      </c>
    </row>
    <row r="162" spans="1:11" ht="14.4" customHeight="1" x14ac:dyDescent="0.3">
      <c r="A162" s="522" t="s">
        <v>451</v>
      </c>
      <c r="B162" s="523" t="s">
        <v>452</v>
      </c>
      <c r="C162" s="524" t="s">
        <v>456</v>
      </c>
      <c r="D162" s="525" t="s">
        <v>477</v>
      </c>
      <c r="E162" s="524" t="s">
        <v>912</v>
      </c>
      <c r="F162" s="525" t="s">
        <v>913</v>
      </c>
      <c r="G162" s="524" t="s">
        <v>808</v>
      </c>
      <c r="H162" s="524" t="s">
        <v>809</v>
      </c>
      <c r="I162" s="526">
        <v>4890.82</v>
      </c>
      <c r="J162" s="526">
        <v>4</v>
      </c>
      <c r="K162" s="527">
        <v>19563.28</v>
      </c>
    </row>
    <row r="163" spans="1:11" ht="14.4" customHeight="1" x14ac:dyDescent="0.3">
      <c r="A163" s="522" t="s">
        <v>451</v>
      </c>
      <c r="B163" s="523" t="s">
        <v>452</v>
      </c>
      <c r="C163" s="524" t="s">
        <v>456</v>
      </c>
      <c r="D163" s="525" t="s">
        <v>477</v>
      </c>
      <c r="E163" s="524" t="s">
        <v>912</v>
      </c>
      <c r="F163" s="525" t="s">
        <v>913</v>
      </c>
      <c r="G163" s="524" t="s">
        <v>810</v>
      </c>
      <c r="H163" s="524" t="s">
        <v>811</v>
      </c>
      <c r="I163" s="526">
        <v>23.7</v>
      </c>
      <c r="J163" s="526">
        <v>12</v>
      </c>
      <c r="K163" s="527">
        <v>284.42</v>
      </c>
    </row>
    <row r="164" spans="1:11" ht="14.4" customHeight="1" x14ac:dyDescent="0.3">
      <c r="A164" s="522" t="s">
        <v>451</v>
      </c>
      <c r="B164" s="523" t="s">
        <v>452</v>
      </c>
      <c r="C164" s="524" t="s">
        <v>456</v>
      </c>
      <c r="D164" s="525" t="s">
        <v>477</v>
      </c>
      <c r="E164" s="524" t="s">
        <v>912</v>
      </c>
      <c r="F164" s="525" t="s">
        <v>913</v>
      </c>
      <c r="G164" s="524" t="s">
        <v>812</v>
      </c>
      <c r="H164" s="524" t="s">
        <v>813</v>
      </c>
      <c r="I164" s="526">
        <v>2065.3000000000002</v>
      </c>
      <c r="J164" s="526">
        <v>1</v>
      </c>
      <c r="K164" s="527">
        <v>2065.3000000000002</v>
      </c>
    </row>
    <row r="165" spans="1:11" ht="14.4" customHeight="1" x14ac:dyDescent="0.3">
      <c r="A165" s="522" t="s">
        <v>451</v>
      </c>
      <c r="B165" s="523" t="s">
        <v>452</v>
      </c>
      <c r="C165" s="524" t="s">
        <v>456</v>
      </c>
      <c r="D165" s="525" t="s">
        <v>477</v>
      </c>
      <c r="E165" s="524" t="s">
        <v>912</v>
      </c>
      <c r="F165" s="525" t="s">
        <v>913</v>
      </c>
      <c r="G165" s="524" t="s">
        <v>814</v>
      </c>
      <c r="H165" s="524" t="s">
        <v>815</v>
      </c>
      <c r="I165" s="526">
        <v>2402.08</v>
      </c>
      <c r="J165" s="526">
        <v>1</v>
      </c>
      <c r="K165" s="527">
        <v>2402.08</v>
      </c>
    </row>
    <row r="166" spans="1:11" ht="14.4" customHeight="1" x14ac:dyDescent="0.3">
      <c r="A166" s="522" t="s">
        <v>451</v>
      </c>
      <c r="B166" s="523" t="s">
        <v>452</v>
      </c>
      <c r="C166" s="524" t="s">
        <v>456</v>
      </c>
      <c r="D166" s="525" t="s">
        <v>477</v>
      </c>
      <c r="E166" s="524" t="s">
        <v>912</v>
      </c>
      <c r="F166" s="525" t="s">
        <v>913</v>
      </c>
      <c r="G166" s="524" t="s">
        <v>816</v>
      </c>
      <c r="H166" s="524" t="s">
        <v>817</v>
      </c>
      <c r="I166" s="526">
        <v>7027.68</v>
      </c>
      <c r="J166" s="526">
        <v>1</v>
      </c>
      <c r="K166" s="527">
        <v>7027.68</v>
      </c>
    </row>
    <row r="167" spans="1:11" ht="14.4" customHeight="1" x14ac:dyDescent="0.3">
      <c r="A167" s="522" t="s">
        <v>451</v>
      </c>
      <c r="B167" s="523" t="s">
        <v>452</v>
      </c>
      <c r="C167" s="524" t="s">
        <v>456</v>
      </c>
      <c r="D167" s="525" t="s">
        <v>477</v>
      </c>
      <c r="E167" s="524" t="s">
        <v>912</v>
      </c>
      <c r="F167" s="525" t="s">
        <v>913</v>
      </c>
      <c r="G167" s="524" t="s">
        <v>818</v>
      </c>
      <c r="H167" s="524" t="s">
        <v>819</v>
      </c>
      <c r="I167" s="526">
        <v>1582.68</v>
      </c>
      <c r="J167" s="526">
        <v>5</v>
      </c>
      <c r="K167" s="527">
        <v>7913.4</v>
      </c>
    </row>
    <row r="168" spans="1:11" ht="14.4" customHeight="1" x14ac:dyDescent="0.3">
      <c r="A168" s="522" t="s">
        <v>451</v>
      </c>
      <c r="B168" s="523" t="s">
        <v>452</v>
      </c>
      <c r="C168" s="524" t="s">
        <v>456</v>
      </c>
      <c r="D168" s="525" t="s">
        <v>477</v>
      </c>
      <c r="E168" s="524" t="s">
        <v>912</v>
      </c>
      <c r="F168" s="525" t="s">
        <v>913</v>
      </c>
      <c r="G168" s="524" t="s">
        <v>820</v>
      </c>
      <c r="H168" s="524" t="s">
        <v>821</v>
      </c>
      <c r="I168" s="526">
        <v>1752.3</v>
      </c>
      <c r="J168" s="526">
        <v>2</v>
      </c>
      <c r="K168" s="527">
        <v>3504.6</v>
      </c>
    </row>
    <row r="169" spans="1:11" ht="14.4" customHeight="1" x14ac:dyDescent="0.3">
      <c r="A169" s="522" t="s">
        <v>451</v>
      </c>
      <c r="B169" s="523" t="s">
        <v>452</v>
      </c>
      <c r="C169" s="524" t="s">
        <v>456</v>
      </c>
      <c r="D169" s="525" t="s">
        <v>477</v>
      </c>
      <c r="E169" s="524" t="s">
        <v>912</v>
      </c>
      <c r="F169" s="525" t="s">
        <v>913</v>
      </c>
      <c r="G169" s="524" t="s">
        <v>822</v>
      </c>
      <c r="H169" s="524" t="s">
        <v>823</v>
      </c>
      <c r="I169" s="526">
        <v>1203.0899999999999</v>
      </c>
      <c r="J169" s="526">
        <v>1</v>
      </c>
      <c r="K169" s="527">
        <v>1203.0899999999999</v>
      </c>
    </row>
    <row r="170" spans="1:11" ht="14.4" customHeight="1" x14ac:dyDescent="0.3">
      <c r="A170" s="522" t="s">
        <v>451</v>
      </c>
      <c r="B170" s="523" t="s">
        <v>452</v>
      </c>
      <c r="C170" s="524" t="s">
        <v>456</v>
      </c>
      <c r="D170" s="525" t="s">
        <v>477</v>
      </c>
      <c r="E170" s="524" t="s">
        <v>912</v>
      </c>
      <c r="F170" s="525" t="s">
        <v>913</v>
      </c>
      <c r="G170" s="524" t="s">
        <v>824</v>
      </c>
      <c r="H170" s="524" t="s">
        <v>825</v>
      </c>
      <c r="I170" s="526">
        <v>2817.23</v>
      </c>
      <c r="J170" s="526">
        <v>1</v>
      </c>
      <c r="K170" s="527">
        <v>2817.23</v>
      </c>
    </row>
    <row r="171" spans="1:11" ht="14.4" customHeight="1" x14ac:dyDescent="0.3">
      <c r="A171" s="522" t="s">
        <v>451</v>
      </c>
      <c r="B171" s="523" t="s">
        <v>452</v>
      </c>
      <c r="C171" s="524" t="s">
        <v>456</v>
      </c>
      <c r="D171" s="525" t="s">
        <v>477</v>
      </c>
      <c r="E171" s="524" t="s">
        <v>912</v>
      </c>
      <c r="F171" s="525" t="s">
        <v>913</v>
      </c>
      <c r="G171" s="524" t="s">
        <v>826</v>
      </c>
      <c r="H171" s="524" t="s">
        <v>827</v>
      </c>
      <c r="I171" s="526">
        <v>44932.58</v>
      </c>
      <c r="J171" s="526">
        <v>2</v>
      </c>
      <c r="K171" s="527">
        <v>89865.16</v>
      </c>
    </row>
    <row r="172" spans="1:11" ht="14.4" customHeight="1" x14ac:dyDescent="0.3">
      <c r="A172" s="522" t="s">
        <v>451</v>
      </c>
      <c r="B172" s="523" t="s">
        <v>452</v>
      </c>
      <c r="C172" s="524" t="s">
        <v>456</v>
      </c>
      <c r="D172" s="525" t="s">
        <v>477</v>
      </c>
      <c r="E172" s="524" t="s">
        <v>912</v>
      </c>
      <c r="F172" s="525" t="s">
        <v>913</v>
      </c>
      <c r="G172" s="524" t="s">
        <v>828</v>
      </c>
      <c r="H172" s="524" t="s">
        <v>829</v>
      </c>
      <c r="I172" s="526">
        <v>44932.58</v>
      </c>
      <c r="J172" s="526">
        <v>2</v>
      </c>
      <c r="K172" s="527">
        <v>89865.16</v>
      </c>
    </row>
    <row r="173" spans="1:11" ht="14.4" customHeight="1" x14ac:dyDescent="0.3">
      <c r="A173" s="522" t="s">
        <v>451</v>
      </c>
      <c r="B173" s="523" t="s">
        <v>452</v>
      </c>
      <c r="C173" s="524" t="s">
        <v>456</v>
      </c>
      <c r="D173" s="525" t="s">
        <v>477</v>
      </c>
      <c r="E173" s="524" t="s">
        <v>912</v>
      </c>
      <c r="F173" s="525" t="s">
        <v>913</v>
      </c>
      <c r="G173" s="524" t="s">
        <v>830</v>
      </c>
      <c r="H173" s="524" t="s">
        <v>831</v>
      </c>
      <c r="I173" s="526">
        <v>44932.479999999996</v>
      </c>
      <c r="J173" s="526">
        <v>2</v>
      </c>
      <c r="K173" s="527">
        <v>89864.959999999992</v>
      </c>
    </row>
    <row r="174" spans="1:11" ht="14.4" customHeight="1" x14ac:dyDescent="0.3">
      <c r="A174" s="522" t="s">
        <v>451</v>
      </c>
      <c r="B174" s="523" t="s">
        <v>452</v>
      </c>
      <c r="C174" s="524" t="s">
        <v>456</v>
      </c>
      <c r="D174" s="525" t="s">
        <v>477</v>
      </c>
      <c r="E174" s="524" t="s">
        <v>912</v>
      </c>
      <c r="F174" s="525" t="s">
        <v>913</v>
      </c>
      <c r="G174" s="524" t="s">
        <v>832</v>
      </c>
      <c r="H174" s="524" t="s">
        <v>833</v>
      </c>
      <c r="I174" s="526">
        <v>40209</v>
      </c>
      <c r="J174" s="526">
        <v>1</v>
      </c>
      <c r="K174" s="527">
        <v>40209</v>
      </c>
    </row>
    <row r="175" spans="1:11" ht="14.4" customHeight="1" x14ac:dyDescent="0.3">
      <c r="A175" s="522" t="s">
        <v>451</v>
      </c>
      <c r="B175" s="523" t="s">
        <v>452</v>
      </c>
      <c r="C175" s="524" t="s">
        <v>456</v>
      </c>
      <c r="D175" s="525" t="s">
        <v>477</v>
      </c>
      <c r="E175" s="524" t="s">
        <v>912</v>
      </c>
      <c r="F175" s="525" t="s">
        <v>913</v>
      </c>
      <c r="G175" s="524" t="s">
        <v>834</v>
      </c>
      <c r="H175" s="524" t="s">
        <v>835</v>
      </c>
      <c r="I175" s="526">
        <v>5161.8599999999997</v>
      </c>
      <c r="J175" s="526">
        <v>4</v>
      </c>
      <c r="K175" s="527">
        <v>20647.439999999999</v>
      </c>
    </row>
    <row r="176" spans="1:11" ht="14.4" customHeight="1" x14ac:dyDescent="0.3">
      <c r="A176" s="522" t="s">
        <v>451</v>
      </c>
      <c r="B176" s="523" t="s">
        <v>452</v>
      </c>
      <c r="C176" s="524" t="s">
        <v>456</v>
      </c>
      <c r="D176" s="525" t="s">
        <v>477</v>
      </c>
      <c r="E176" s="524" t="s">
        <v>912</v>
      </c>
      <c r="F176" s="525" t="s">
        <v>913</v>
      </c>
      <c r="G176" s="524" t="s">
        <v>836</v>
      </c>
      <c r="H176" s="524" t="s">
        <v>837</v>
      </c>
      <c r="I176" s="526">
        <v>12620</v>
      </c>
      <c r="J176" s="526">
        <v>1</v>
      </c>
      <c r="K176" s="527">
        <v>12620</v>
      </c>
    </row>
    <row r="177" spans="1:11" ht="14.4" customHeight="1" x14ac:dyDescent="0.3">
      <c r="A177" s="522" t="s">
        <v>451</v>
      </c>
      <c r="B177" s="523" t="s">
        <v>452</v>
      </c>
      <c r="C177" s="524" t="s">
        <v>456</v>
      </c>
      <c r="D177" s="525" t="s">
        <v>477</v>
      </c>
      <c r="E177" s="524" t="s">
        <v>912</v>
      </c>
      <c r="F177" s="525" t="s">
        <v>913</v>
      </c>
      <c r="G177" s="524" t="s">
        <v>838</v>
      </c>
      <c r="H177" s="524" t="s">
        <v>839</v>
      </c>
      <c r="I177" s="526">
        <v>2065.3000000000002</v>
      </c>
      <c r="J177" s="526">
        <v>1</v>
      </c>
      <c r="K177" s="527">
        <v>2065.3000000000002</v>
      </c>
    </row>
    <row r="178" spans="1:11" ht="14.4" customHeight="1" x14ac:dyDescent="0.3">
      <c r="A178" s="522" t="s">
        <v>451</v>
      </c>
      <c r="B178" s="523" t="s">
        <v>452</v>
      </c>
      <c r="C178" s="524" t="s">
        <v>456</v>
      </c>
      <c r="D178" s="525" t="s">
        <v>477</v>
      </c>
      <c r="E178" s="524" t="s">
        <v>912</v>
      </c>
      <c r="F178" s="525" t="s">
        <v>913</v>
      </c>
      <c r="G178" s="524" t="s">
        <v>840</v>
      </c>
      <c r="H178" s="524" t="s">
        <v>841</v>
      </c>
      <c r="I178" s="526">
        <v>1983.68</v>
      </c>
      <c r="J178" s="526">
        <v>2</v>
      </c>
      <c r="K178" s="527">
        <v>3967.37</v>
      </c>
    </row>
    <row r="179" spans="1:11" ht="14.4" customHeight="1" x14ac:dyDescent="0.3">
      <c r="A179" s="522" t="s">
        <v>451</v>
      </c>
      <c r="B179" s="523" t="s">
        <v>452</v>
      </c>
      <c r="C179" s="524" t="s">
        <v>456</v>
      </c>
      <c r="D179" s="525" t="s">
        <v>477</v>
      </c>
      <c r="E179" s="524" t="s">
        <v>912</v>
      </c>
      <c r="F179" s="525" t="s">
        <v>913</v>
      </c>
      <c r="G179" s="524" t="s">
        <v>842</v>
      </c>
      <c r="H179" s="524" t="s">
        <v>843</v>
      </c>
      <c r="I179" s="526">
        <v>2065.3000000000002</v>
      </c>
      <c r="J179" s="526">
        <v>1</v>
      </c>
      <c r="K179" s="527">
        <v>2065.3000000000002</v>
      </c>
    </row>
    <row r="180" spans="1:11" ht="14.4" customHeight="1" x14ac:dyDescent="0.3">
      <c r="A180" s="522" t="s">
        <v>451</v>
      </c>
      <c r="B180" s="523" t="s">
        <v>452</v>
      </c>
      <c r="C180" s="524" t="s">
        <v>456</v>
      </c>
      <c r="D180" s="525" t="s">
        <v>477</v>
      </c>
      <c r="E180" s="524" t="s">
        <v>912</v>
      </c>
      <c r="F180" s="525" t="s">
        <v>913</v>
      </c>
      <c r="G180" s="524" t="s">
        <v>844</v>
      </c>
      <c r="H180" s="524" t="s">
        <v>845</v>
      </c>
      <c r="I180" s="526">
        <v>2957.59</v>
      </c>
      <c r="J180" s="526">
        <v>1</v>
      </c>
      <c r="K180" s="527">
        <v>2957.59</v>
      </c>
    </row>
    <row r="181" spans="1:11" ht="14.4" customHeight="1" x14ac:dyDescent="0.3">
      <c r="A181" s="522" t="s">
        <v>451</v>
      </c>
      <c r="B181" s="523" t="s">
        <v>452</v>
      </c>
      <c r="C181" s="524" t="s">
        <v>456</v>
      </c>
      <c r="D181" s="525" t="s">
        <v>477</v>
      </c>
      <c r="E181" s="524" t="s">
        <v>912</v>
      </c>
      <c r="F181" s="525" t="s">
        <v>913</v>
      </c>
      <c r="G181" s="524" t="s">
        <v>846</v>
      </c>
      <c r="H181" s="524" t="s">
        <v>847</v>
      </c>
      <c r="I181" s="526">
        <v>2546.7199999999998</v>
      </c>
      <c r="J181" s="526">
        <v>2</v>
      </c>
      <c r="K181" s="527">
        <v>5093.45</v>
      </c>
    </row>
    <row r="182" spans="1:11" ht="14.4" customHeight="1" x14ac:dyDescent="0.3">
      <c r="A182" s="522" t="s">
        <v>451</v>
      </c>
      <c r="B182" s="523" t="s">
        <v>452</v>
      </c>
      <c r="C182" s="524" t="s">
        <v>456</v>
      </c>
      <c r="D182" s="525" t="s">
        <v>477</v>
      </c>
      <c r="E182" s="524" t="s">
        <v>912</v>
      </c>
      <c r="F182" s="525" t="s">
        <v>913</v>
      </c>
      <c r="G182" s="524" t="s">
        <v>848</v>
      </c>
      <c r="H182" s="524" t="s">
        <v>849</v>
      </c>
      <c r="I182" s="526">
        <v>5161.8599999999997</v>
      </c>
      <c r="J182" s="526">
        <v>2</v>
      </c>
      <c r="K182" s="527">
        <v>10323.719999999999</v>
      </c>
    </row>
    <row r="183" spans="1:11" ht="14.4" customHeight="1" x14ac:dyDescent="0.3">
      <c r="A183" s="522" t="s">
        <v>451</v>
      </c>
      <c r="B183" s="523" t="s">
        <v>452</v>
      </c>
      <c r="C183" s="524" t="s">
        <v>456</v>
      </c>
      <c r="D183" s="525" t="s">
        <v>477</v>
      </c>
      <c r="E183" s="524" t="s">
        <v>912</v>
      </c>
      <c r="F183" s="525" t="s">
        <v>913</v>
      </c>
      <c r="G183" s="524" t="s">
        <v>850</v>
      </c>
      <c r="H183" s="524" t="s">
        <v>851</v>
      </c>
      <c r="I183" s="526">
        <v>5161.8599999999997</v>
      </c>
      <c r="J183" s="526">
        <v>2</v>
      </c>
      <c r="K183" s="527">
        <v>10323.719999999999</v>
      </c>
    </row>
    <row r="184" spans="1:11" ht="14.4" customHeight="1" x14ac:dyDescent="0.3">
      <c r="A184" s="522" t="s">
        <v>451</v>
      </c>
      <c r="B184" s="523" t="s">
        <v>452</v>
      </c>
      <c r="C184" s="524" t="s">
        <v>456</v>
      </c>
      <c r="D184" s="525" t="s">
        <v>477</v>
      </c>
      <c r="E184" s="524" t="s">
        <v>912</v>
      </c>
      <c r="F184" s="525" t="s">
        <v>913</v>
      </c>
      <c r="G184" s="524" t="s">
        <v>852</v>
      </c>
      <c r="H184" s="524" t="s">
        <v>853</v>
      </c>
      <c r="I184" s="526">
        <v>2546.7199999999998</v>
      </c>
      <c r="J184" s="526">
        <v>1</v>
      </c>
      <c r="K184" s="527">
        <v>2546.7199999999998</v>
      </c>
    </row>
    <row r="185" spans="1:11" ht="14.4" customHeight="1" x14ac:dyDescent="0.3">
      <c r="A185" s="522" t="s">
        <v>451</v>
      </c>
      <c r="B185" s="523" t="s">
        <v>452</v>
      </c>
      <c r="C185" s="524" t="s">
        <v>456</v>
      </c>
      <c r="D185" s="525" t="s">
        <v>477</v>
      </c>
      <c r="E185" s="524" t="s">
        <v>912</v>
      </c>
      <c r="F185" s="525" t="s">
        <v>913</v>
      </c>
      <c r="G185" s="524" t="s">
        <v>854</v>
      </c>
      <c r="H185" s="524" t="s">
        <v>855</v>
      </c>
      <c r="I185" s="526">
        <v>6903.05</v>
      </c>
      <c r="J185" s="526">
        <v>1</v>
      </c>
      <c r="K185" s="527">
        <v>6903.05</v>
      </c>
    </row>
    <row r="186" spans="1:11" ht="14.4" customHeight="1" x14ac:dyDescent="0.3">
      <c r="A186" s="522" t="s">
        <v>451</v>
      </c>
      <c r="B186" s="523" t="s">
        <v>452</v>
      </c>
      <c r="C186" s="524" t="s">
        <v>456</v>
      </c>
      <c r="D186" s="525" t="s">
        <v>477</v>
      </c>
      <c r="E186" s="524" t="s">
        <v>912</v>
      </c>
      <c r="F186" s="525" t="s">
        <v>913</v>
      </c>
      <c r="G186" s="524" t="s">
        <v>856</v>
      </c>
      <c r="H186" s="524" t="s">
        <v>857</v>
      </c>
      <c r="I186" s="526">
        <v>5161.8599999999997</v>
      </c>
      <c r="J186" s="526">
        <v>3</v>
      </c>
      <c r="K186" s="527">
        <v>15485.58</v>
      </c>
    </row>
    <row r="187" spans="1:11" ht="14.4" customHeight="1" x14ac:dyDescent="0.3">
      <c r="A187" s="522" t="s">
        <v>451</v>
      </c>
      <c r="B187" s="523" t="s">
        <v>452</v>
      </c>
      <c r="C187" s="524" t="s">
        <v>456</v>
      </c>
      <c r="D187" s="525" t="s">
        <v>477</v>
      </c>
      <c r="E187" s="524" t="s">
        <v>912</v>
      </c>
      <c r="F187" s="525" t="s">
        <v>913</v>
      </c>
      <c r="G187" s="524" t="s">
        <v>858</v>
      </c>
      <c r="H187" s="524" t="s">
        <v>859</v>
      </c>
      <c r="I187" s="526">
        <v>5161.87</v>
      </c>
      <c r="J187" s="526">
        <v>4</v>
      </c>
      <c r="K187" s="527">
        <v>20647.47</v>
      </c>
    </row>
    <row r="188" spans="1:11" ht="14.4" customHeight="1" x14ac:dyDescent="0.3">
      <c r="A188" s="522" t="s">
        <v>451</v>
      </c>
      <c r="B188" s="523" t="s">
        <v>452</v>
      </c>
      <c r="C188" s="524" t="s">
        <v>456</v>
      </c>
      <c r="D188" s="525" t="s">
        <v>477</v>
      </c>
      <c r="E188" s="524" t="s">
        <v>912</v>
      </c>
      <c r="F188" s="525" t="s">
        <v>913</v>
      </c>
      <c r="G188" s="524" t="s">
        <v>860</v>
      </c>
      <c r="H188" s="524" t="s">
        <v>861</v>
      </c>
      <c r="I188" s="526">
        <v>9203.26</v>
      </c>
      <c r="J188" s="526">
        <v>1</v>
      </c>
      <c r="K188" s="527">
        <v>9203.26</v>
      </c>
    </row>
    <row r="189" spans="1:11" ht="14.4" customHeight="1" x14ac:dyDescent="0.3">
      <c r="A189" s="522" t="s">
        <v>451</v>
      </c>
      <c r="B189" s="523" t="s">
        <v>452</v>
      </c>
      <c r="C189" s="524" t="s">
        <v>456</v>
      </c>
      <c r="D189" s="525" t="s">
        <v>477</v>
      </c>
      <c r="E189" s="524" t="s">
        <v>912</v>
      </c>
      <c r="F189" s="525" t="s">
        <v>913</v>
      </c>
      <c r="G189" s="524" t="s">
        <v>862</v>
      </c>
      <c r="H189" s="524" t="s">
        <v>863</v>
      </c>
      <c r="I189" s="526">
        <v>5161.8599999999997</v>
      </c>
      <c r="J189" s="526">
        <v>4</v>
      </c>
      <c r="K189" s="527">
        <v>20647.439999999999</v>
      </c>
    </row>
    <row r="190" spans="1:11" ht="14.4" customHeight="1" x14ac:dyDescent="0.3">
      <c r="A190" s="522" t="s">
        <v>451</v>
      </c>
      <c r="B190" s="523" t="s">
        <v>452</v>
      </c>
      <c r="C190" s="524" t="s">
        <v>456</v>
      </c>
      <c r="D190" s="525" t="s">
        <v>477</v>
      </c>
      <c r="E190" s="524" t="s">
        <v>912</v>
      </c>
      <c r="F190" s="525" t="s">
        <v>913</v>
      </c>
      <c r="G190" s="524" t="s">
        <v>864</v>
      </c>
      <c r="H190" s="524" t="s">
        <v>865</v>
      </c>
      <c r="I190" s="526">
        <v>21599</v>
      </c>
      <c r="J190" s="526">
        <v>1</v>
      </c>
      <c r="K190" s="527">
        <v>21599</v>
      </c>
    </row>
    <row r="191" spans="1:11" ht="14.4" customHeight="1" x14ac:dyDescent="0.3">
      <c r="A191" s="522" t="s">
        <v>451</v>
      </c>
      <c r="B191" s="523" t="s">
        <v>452</v>
      </c>
      <c r="C191" s="524" t="s">
        <v>456</v>
      </c>
      <c r="D191" s="525" t="s">
        <v>477</v>
      </c>
      <c r="E191" s="524" t="s">
        <v>912</v>
      </c>
      <c r="F191" s="525" t="s">
        <v>913</v>
      </c>
      <c r="G191" s="524" t="s">
        <v>866</v>
      </c>
      <c r="H191" s="524" t="s">
        <v>867</v>
      </c>
      <c r="I191" s="526">
        <v>1983.68</v>
      </c>
      <c r="J191" s="526">
        <v>2</v>
      </c>
      <c r="K191" s="527">
        <v>3967.37</v>
      </c>
    </row>
    <row r="192" spans="1:11" ht="14.4" customHeight="1" x14ac:dyDescent="0.3">
      <c r="A192" s="522" t="s">
        <v>451</v>
      </c>
      <c r="B192" s="523" t="s">
        <v>452</v>
      </c>
      <c r="C192" s="524" t="s">
        <v>456</v>
      </c>
      <c r="D192" s="525" t="s">
        <v>477</v>
      </c>
      <c r="E192" s="524" t="s">
        <v>912</v>
      </c>
      <c r="F192" s="525" t="s">
        <v>913</v>
      </c>
      <c r="G192" s="524" t="s">
        <v>868</v>
      </c>
      <c r="H192" s="524" t="s">
        <v>869</v>
      </c>
      <c r="I192" s="526">
        <v>2546.7199999999998</v>
      </c>
      <c r="J192" s="526">
        <v>1</v>
      </c>
      <c r="K192" s="527">
        <v>2546.7199999999998</v>
      </c>
    </row>
    <row r="193" spans="1:11" ht="14.4" customHeight="1" x14ac:dyDescent="0.3">
      <c r="A193" s="522" t="s">
        <v>451</v>
      </c>
      <c r="B193" s="523" t="s">
        <v>452</v>
      </c>
      <c r="C193" s="524" t="s">
        <v>456</v>
      </c>
      <c r="D193" s="525" t="s">
        <v>477</v>
      </c>
      <c r="E193" s="524" t="s">
        <v>912</v>
      </c>
      <c r="F193" s="525" t="s">
        <v>913</v>
      </c>
      <c r="G193" s="524" t="s">
        <v>870</v>
      </c>
      <c r="H193" s="524" t="s">
        <v>871</v>
      </c>
      <c r="I193" s="526">
        <v>2065.3000000000002</v>
      </c>
      <c r="J193" s="526">
        <v>2</v>
      </c>
      <c r="K193" s="527">
        <v>4130.6000000000004</v>
      </c>
    </row>
    <row r="194" spans="1:11" ht="14.4" customHeight="1" x14ac:dyDescent="0.3">
      <c r="A194" s="522" t="s">
        <v>451</v>
      </c>
      <c r="B194" s="523" t="s">
        <v>452</v>
      </c>
      <c r="C194" s="524" t="s">
        <v>456</v>
      </c>
      <c r="D194" s="525" t="s">
        <v>477</v>
      </c>
      <c r="E194" s="524" t="s">
        <v>912</v>
      </c>
      <c r="F194" s="525" t="s">
        <v>913</v>
      </c>
      <c r="G194" s="524" t="s">
        <v>872</v>
      </c>
      <c r="H194" s="524" t="s">
        <v>873</v>
      </c>
      <c r="I194" s="526">
        <v>2235.23</v>
      </c>
      <c r="J194" s="526">
        <v>1</v>
      </c>
      <c r="K194" s="527">
        <v>2235.23</v>
      </c>
    </row>
    <row r="195" spans="1:11" ht="14.4" customHeight="1" x14ac:dyDescent="0.3">
      <c r="A195" s="522" t="s">
        <v>451</v>
      </c>
      <c r="B195" s="523" t="s">
        <v>452</v>
      </c>
      <c r="C195" s="524" t="s">
        <v>456</v>
      </c>
      <c r="D195" s="525" t="s">
        <v>477</v>
      </c>
      <c r="E195" s="524" t="s">
        <v>912</v>
      </c>
      <c r="F195" s="525" t="s">
        <v>913</v>
      </c>
      <c r="G195" s="524" t="s">
        <v>874</v>
      </c>
      <c r="H195" s="524" t="s">
        <v>875</v>
      </c>
      <c r="I195" s="526">
        <v>2546.7199999999998</v>
      </c>
      <c r="J195" s="526">
        <v>1</v>
      </c>
      <c r="K195" s="527">
        <v>2546.7199999999998</v>
      </c>
    </row>
    <row r="196" spans="1:11" ht="14.4" customHeight="1" x14ac:dyDescent="0.3">
      <c r="A196" s="522" t="s">
        <v>451</v>
      </c>
      <c r="B196" s="523" t="s">
        <v>452</v>
      </c>
      <c r="C196" s="524" t="s">
        <v>456</v>
      </c>
      <c r="D196" s="525" t="s">
        <v>477</v>
      </c>
      <c r="E196" s="524" t="s">
        <v>912</v>
      </c>
      <c r="F196" s="525" t="s">
        <v>913</v>
      </c>
      <c r="G196" s="524" t="s">
        <v>876</v>
      </c>
      <c r="H196" s="524" t="s">
        <v>877</v>
      </c>
      <c r="I196" s="526">
        <v>620.73</v>
      </c>
      <c r="J196" s="526">
        <v>2</v>
      </c>
      <c r="K196" s="527">
        <v>1241.46</v>
      </c>
    </row>
    <row r="197" spans="1:11" ht="14.4" customHeight="1" x14ac:dyDescent="0.3">
      <c r="A197" s="522" t="s">
        <v>451</v>
      </c>
      <c r="B197" s="523" t="s">
        <v>452</v>
      </c>
      <c r="C197" s="524" t="s">
        <v>456</v>
      </c>
      <c r="D197" s="525" t="s">
        <v>477</v>
      </c>
      <c r="E197" s="524" t="s">
        <v>912</v>
      </c>
      <c r="F197" s="525" t="s">
        <v>913</v>
      </c>
      <c r="G197" s="524" t="s">
        <v>878</v>
      </c>
      <c r="H197" s="524" t="s">
        <v>879</v>
      </c>
      <c r="I197" s="526">
        <v>900.29</v>
      </c>
      <c r="J197" s="526">
        <v>1</v>
      </c>
      <c r="K197" s="527">
        <v>900.29</v>
      </c>
    </row>
    <row r="198" spans="1:11" ht="14.4" customHeight="1" x14ac:dyDescent="0.3">
      <c r="A198" s="522" t="s">
        <v>451</v>
      </c>
      <c r="B198" s="523" t="s">
        <v>452</v>
      </c>
      <c r="C198" s="524" t="s">
        <v>456</v>
      </c>
      <c r="D198" s="525" t="s">
        <v>477</v>
      </c>
      <c r="E198" s="524" t="s">
        <v>912</v>
      </c>
      <c r="F198" s="525" t="s">
        <v>913</v>
      </c>
      <c r="G198" s="524" t="s">
        <v>880</v>
      </c>
      <c r="H198" s="524" t="s">
        <v>881</v>
      </c>
      <c r="I198" s="526">
        <v>1974.43</v>
      </c>
      <c r="J198" s="526">
        <v>1</v>
      </c>
      <c r="K198" s="527">
        <v>1974.43</v>
      </c>
    </row>
    <row r="199" spans="1:11" ht="14.4" customHeight="1" x14ac:dyDescent="0.3">
      <c r="A199" s="522" t="s">
        <v>451</v>
      </c>
      <c r="B199" s="523" t="s">
        <v>452</v>
      </c>
      <c r="C199" s="524" t="s">
        <v>456</v>
      </c>
      <c r="D199" s="525" t="s">
        <v>477</v>
      </c>
      <c r="E199" s="524" t="s">
        <v>912</v>
      </c>
      <c r="F199" s="525" t="s">
        <v>913</v>
      </c>
      <c r="G199" s="524" t="s">
        <v>882</v>
      </c>
      <c r="H199" s="524" t="s">
        <v>883</v>
      </c>
      <c r="I199" s="526">
        <v>2065.3000000000002</v>
      </c>
      <c r="J199" s="526">
        <v>1</v>
      </c>
      <c r="K199" s="527">
        <v>2065.3000000000002</v>
      </c>
    </row>
    <row r="200" spans="1:11" ht="14.4" customHeight="1" x14ac:dyDescent="0.3">
      <c r="A200" s="522" t="s">
        <v>451</v>
      </c>
      <c r="B200" s="523" t="s">
        <v>452</v>
      </c>
      <c r="C200" s="524" t="s">
        <v>456</v>
      </c>
      <c r="D200" s="525" t="s">
        <v>477</v>
      </c>
      <c r="E200" s="524" t="s">
        <v>912</v>
      </c>
      <c r="F200" s="525" t="s">
        <v>913</v>
      </c>
      <c r="G200" s="524" t="s">
        <v>884</v>
      </c>
      <c r="H200" s="524" t="s">
        <v>885</v>
      </c>
      <c r="I200" s="526">
        <v>2546.7199999999998</v>
      </c>
      <c r="J200" s="526">
        <v>1</v>
      </c>
      <c r="K200" s="527">
        <v>2546.7199999999998</v>
      </c>
    </row>
    <row r="201" spans="1:11" ht="14.4" customHeight="1" x14ac:dyDescent="0.3">
      <c r="A201" s="522" t="s">
        <v>451</v>
      </c>
      <c r="B201" s="523" t="s">
        <v>452</v>
      </c>
      <c r="C201" s="524" t="s">
        <v>456</v>
      </c>
      <c r="D201" s="525" t="s">
        <v>477</v>
      </c>
      <c r="E201" s="524" t="s">
        <v>912</v>
      </c>
      <c r="F201" s="525" t="s">
        <v>913</v>
      </c>
      <c r="G201" s="524" t="s">
        <v>886</v>
      </c>
      <c r="H201" s="524" t="s">
        <v>887</v>
      </c>
      <c r="I201" s="526">
        <v>2672.89</v>
      </c>
      <c r="J201" s="526">
        <v>1</v>
      </c>
      <c r="K201" s="527">
        <v>2672.89</v>
      </c>
    </row>
    <row r="202" spans="1:11" ht="14.4" customHeight="1" x14ac:dyDescent="0.3">
      <c r="A202" s="522" t="s">
        <v>451</v>
      </c>
      <c r="B202" s="523" t="s">
        <v>452</v>
      </c>
      <c r="C202" s="524" t="s">
        <v>456</v>
      </c>
      <c r="D202" s="525" t="s">
        <v>477</v>
      </c>
      <c r="E202" s="524" t="s">
        <v>912</v>
      </c>
      <c r="F202" s="525" t="s">
        <v>913</v>
      </c>
      <c r="G202" s="524" t="s">
        <v>888</v>
      </c>
      <c r="H202" s="524" t="s">
        <v>889</v>
      </c>
      <c r="I202" s="526">
        <v>2065.3000000000002</v>
      </c>
      <c r="J202" s="526">
        <v>2</v>
      </c>
      <c r="K202" s="527">
        <v>4130.6000000000004</v>
      </c>
    </row>
    <row r="203" spans="1:11" ht="14.4" customHeight="1" x14ac:dyDescent="0.3">
      <c r="A203" s="522" t="s">
        <v>451</v>
      </c>
      <c r="B203" s="523" t="s">
        <v>452</v>
      </c>
      <c r="C203" s="524" t="s">
        <v>456</v>
      </c>
      <c r="D203" s="525" t="s">
        <v>477</v>
      </c>
      <c r="E203" s="524" t="s">
        <v>912</v>
      </c>
      <c r="F203" s="525" t="s">
        <v>913</v>
      </c>
      <c r="G203" s="524" t="s">
        <v>890</v>
      </c>
      <c r="H203" s="524" t="s">
        <v>891</v>
      </c>
      <c r="I203" s="526">
        <v>5384</v>
      </c>
      <c r="J203" s="526">
        <v>1</v>
      </c>
      <c r="K203" s="527">
        <v>5384</v>
      </c>
    </row>
    <row r="204" spans="1:11" ht="14.4" customHeight="1" x14ac:dyDescent="0.3">
      <c r="A204" s="522" t="s">
        <v>451</v>
      </c>
      <c r="B204" s="523" t="s">
        <v>452</v>
      </c>
      <c r="C204" s="524" t="s">
        <v>456</v>
      </c>
      <c r="D204" s="525" t="s">
        <v>477</v>
      </c>
      <c r="E204" s="524" t="s">
        <v>912</v>
      </c>
      <c r="F204" s="525" t="s">
        <v>913</v>
      </c>
      <c r="G204" s="524" t="s">
        <v>892</v>
      </c>
      <c r="H204" s="524" t="s">
        <v>893</v>
      </c>
      <c r="I204" s="526">
        <v>5684.58</v>
      </c>
      <c r="J204" s="526">
        <v>1</v>
      </c>
      <c r="K204" s="527">
        <v>5684.58</v>
      </c>
    </row>
    <row r="205" spans="1:11" ht="14.4" customHeight="1" x14ac:dyDescent="0.3">
      <c r="A205" s="522" t="s">
        <v>451</v>
      </c>
      <c r="B205" s="523" t="s">
        <v>452</v>
      </c>
      <c r="C205" s="524" t="s">
        <v>456</v>
      </c>
      <c r="D205" s="525" t="s">
        <v>477</v>
      </c>
      <c r="E205" s="524" t="s">
        <v>912</v>
      </c>
      <c r="F205" s="525" t="s">
        <v>913</v>
      </c>
      <c r="G205" s="524" t="s">
        <v>894</v>
      </c>
      <c r="H205" s="524" t="s">
        <v>895</v>
      </c>
      <c r="I205" s="526">
        <v>9342.2999999999993</v>
      </c>
      <c r="J205" s="526">
        <v>1</v>
      </c>
      <c r="K205" s="527">
        <v>9342.2999999999993</v>
      </c>
    </row>
    <row r="206" spans="1:11" ht="14.4" customHeight="1" x14ac:dyDescent="0.3">
      <c r="A206" s="522" t="s">
        <v>451</v>
      </c>
      <c r="B206" s="523" t="s">
        <v>452</v>
      </c>
      <c r="C206" s="524" t="s">
        <v>456</v>
      </c>
      <c r="D206" s="525" t="s">
        <v>477</v>
      </c>
      <c r="E206" s="524" t="s">
        <v>912</v>
      </c>
      <c r="F206" s="525" t="s">
        <v>913</v>
      </c>
      <c r="G206" s="524" t="s">
        <v>896</v>
      </c>
      <c r="H206" s="524" t="s">
        <v>897</v>
      </c>
      <c r="I206" s="526">
        <v>13018.51</v>
      </c>
      <c r="J206" s="526">
        <v>1</v>
      </c>
      <c r="K206" s="527">
        <v>13018.51</v>
      </c>
    </row>
    <row r="207" spans="1:11" ht="14.4" customHeight="1" x14ac:dyDescent="0.3">
      <c r="A207" s="522" t="s">
        <v>451</v>
      </c>
      <c r="B207" s="523" t="s">
        <v>452</v>
      </c>
      <c r="C207" s="524" t="s">
        <v>456</v>
      </c>
      <c r="D207" s="525" t="s">
        <v>477</v>
      </c>
      <c r="E207" s="524" t="s">
        <v>912</v>
      </c>
      <c r="F207" s="525" t="s">
        <v>913</v>
      </c>
      <c r="G207" s="524" t="s">
        <v>898</v>
      </c>
      <c r="H207" s="524" t="s">
        <v>899</v>
      </c>
      <c r="I207" s="526">
        <v>15162.14</v>
      </c>
      <c r="J207" s="526">
        <v>1</v>
      </c>
      <c r="K207" s="527">
        <v>15162.14</v>
      </c>
    </row>
    <row r="208" spans="1:11" ht="14.4" customHeight="1" thickBot="1" x14ac:dyDescent="0.35">
      <c r="A208" s="528" t="s">
        <v>451</v>
      </c>
      <c r="B208" s="529" t="s">
        <v>452</v>
      </c>
      <c r="C208" s="530" t="s">
        <v>456</v>
      </c>
      <c r="D208" s="531" t="s">
        <v>477</v>
      </c>
      <c r="E208" s="530" t="s">
        <v>912</v>
      </c>
      <c r="F208" s="531" t="s">
        <v>913</v>
      </c>
      <c r="G208" s="530" t="s">
        <v>900</v>
      </c>
      <c r="H208" s="530" t="s">
        <v>901</v>
      </c>
      <c r="I208" s="532">
        <v>33578.699999999997</v>
      </c>
      <c r="J208" s="532">
        <v>1</v>
      </c>
      <c r="K208" s="533">
        <v>33578.699999999997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5" width="13.109375" customWidth="1"/>
    <col min="6" max="7" width="13.109375" hidden="1" customWidth="1"/>
    <col min="8" max="8" width="13.109375" customWidth="1"/>
    <col min="9" max="12" width="13.109375" hidden="1" customWidth="1"/>
    <col min="13" max="13" width="13.109375" customWidth="1"/>
    <col min="14" max="18" width="13.109375" hidden="1" customWidth="1"/>
    <col min="19" max="19" width="13.109375" customWidth="1"/>
    <col min="20" max="26" width="13.109375" hidden="1" customWidth="1"/>
    <col min="27" max="27" width="13.109375" customWidth="1"/>
    <col min="28" max="33" width="13.109375" hidden="1" customWidth="1"/>
    <col min="34" max="34" width="13.109375" customWidth="1"/>
    <col min="35" max="37" width="13.109375" hidden="1" customWidth="1"/>
    <col min="38" max="38" width="13.109375" customWidth="1"/>
    <col min="39" max="41" width="13.109375" hidden="1" customWidth="1"/>
    <col min="42" max="42" width="13.109375" customWidth="1"/>
    <col min="43" max="45" width="13.109375" hidden="1" customWidth="1"/>
  </cols>
  <sheetData>
    <row r="1" spans="1:46" ht="18.600000000000001" thickBot="1" x14ac:dyDescent="0.4">
      <c r="A1" s="395" t="s">
        <v>106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</row>
    <row r="2" spans="1:46" ht="15" thickBot="1" x14ac:dyDescent="0.35">
      <c r="A2" s="224" t="s">
        <v>282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</row>
    <row r="3" spans="1:46" x14ac:dyDescent="0.3">
      <c r="A3" s="243" t="s">
        <v>188</v>
      </c>
      <c r="B3" s="396" t="s">
        <v>167</v>
      </c>
      <c r="C3" s="226">
        <v>0</v>
      </c>
      <c r="D3" s="227">
        <v>25</v>
      </c>
      <c r="E3" s="227">
        <v>30</v>
      </c>
      <c r="F3" s="227">
        <v>99</v>
      </c>
      <c r="G3" s="246">
        <v>100</v>
      </c>
      <c r="H3" s="246">
        <v>101</v>
      </c>
      <c r="I3" s="246">
        <v>102</v>
      </c>
      <c r="J3" s="246">
        <v>103</v>
      </c>
      <c r="K3" s="246">
        <v>203</v>
      </c>
      <c r="L3" s="324">
        <v>302</v>
      </c>
      <c r="M3" s="246">
        <v>303</v>
      </c>
      <c r="N3" s="246">
        <v>304</v>
      </c>
      <c r="O3" s="246">
        <v>305</v>
      </c>
      <c r="P3" s="246">
        <v>306</v>
      </c>
      <c r="Q3" s="246">
        <v>407</v>
      </c>
      <c r="R3" s="246">
        <v>408</v>
      </c>
      <c r="S3" s="246">
        <v>409</v>
      </c>
      <c r="T3" s="246">
        <v>410</v>
      </c>
      <c r="U3" s="246">
        <v>415</v>
      </c>
      <c r="V3" s="246">
        <v>416</v>
      </c>
      <c r="W3" s="246">
        <v>418</v>
      </c>
      <c r="X3" s="246">
        <v>419</v>
      </c>
      <c r="Y3" s="246">
        <v>420</v>
      </c>
      <c r="Z3" s="246">
        <v>421</v>
      </c>
      <c r="AA3" s="246">
        <v>422</v>
      </c>
      <c r="AB3" s="246">
        <v>520</v>
      </c>
      <c r="AC3" s="246">
        <v>521</v>
      </c>
      <c r="AD3" s="246">
        <v>522</v>
      </c>
      <c r="AE3" s="246">
        <v>523</v>
      </c>
      <c r="AF3" s="246">
        <v>524</v>
      </c>
      <c r="AG3" s="246">
        <v>525</v>
      </c>
      <c r="AH3" s="246">
        <v>526</v>
      </c>
      <c r="AI3" s="227">
        <v>527</v>
      </c>
      <c r="AJ3" s="227">
        <v>528</v>
      </c>
      <c r="AK3" s="227">
        <v>629</v>
      </c>
      <c r="AL3" s="227">
        <v>630</v>
      </c>
      <c r="AM3" s="227">
        <v>636</v>
      </c>
      <c r="AN3" s="227">
        <v>637</v>
      </c>
      <c r="AO3" s="227">
        <v>640</v>
      </c>
      <c r="AP3" s="227">
        <v>642</v>
      </c>
      <c r="AQ3" s="227">
        <v>743</v>
      </c>
      <c r="AR3" s="227">
        <v>745</v>
      </c>
      <c r="AS3" s="547">
        <v>746</v>
      </c>
      <c r="AT3" s="562"/>
    </row>
    <row r="4" spans="1:46" ht="36.6" outlineLevel="1" thickBot="1" x14ac:dyDescent="0.35">
      <c r="A4" s="244">
        <v>2017</v>
      </c>
      <c r="B4" s="397"/>
      <c r="C4" s="228" t="s">
        <v>168</v>
      </c>
      <c r="D4" s="229" t="s">
        <v>172</v>
      </c>
      <c r="E4" s="229" t="s">
        <v>190</v>
      </c>
      <c r="F4" s="229" t="s">
        <v>169</v>
      </c>
      <c r="G4" s="247" t="s">
        <v>238</v>
      </c>
      <c r="H4" s="247" t="s">
        <v>239</v>
      </c>
      <c r="I4" s="247" t="s">
        <v>170</v>
      </c>
      <c r="J4" s="247" t="s">
        <v>240</v>
      </c>
      <c r="K4" s="247" t="s">
        <v>171</v>
      </c>
      <c r="L4" s="325" t="s">
        <v>241</v>
      </c>
      <c r="M4" s="247" t="s">
        <v>242</v>
      </c>
      <c r="N4" s="247" t="s">
        <v>243</v>
      </c>
      <c r="O4" s="247" t="s">
        <v>244</v>
      </c>
      <c r="P4" s="247" t="s">
        <v>196</v>
      </c>
      <c r="Q4" s="247" t="s">
        <v>236</v>
      </c>
      <c r="R4" s="247" t="s">
        <v>197</v>
      </c>
      <c r="S4" s="247" t="s">
        <v>198</v>
      </c>
      <c r="T4" s="247" t="s">
        <v>199</v>
      </c>
      <c r="U4" s="247" t="s">
        <v>200</v>
      </c>
      <c r="V4" s="247" t="s">
        <v>201</v>
      </c>
      <c r="W4" s="247" t="s">
        <v>202</v>
      </c>
      <c r="X4" s="247" t="s">
        <v>203</v>
      </c>
      <c r="Y4" s="247" t="s">
        <v>204</v>
      </c>
      <c r="Z4" s="247" t="s">
        <v>205</v>
      </c>
      <c r="AA4" s="247" t="s">
        <v>275</v>
      </c>
      <c r="AB4" s="247" t="s">
        <v>245</v>
      </c>
      <c r="AC4" s="247" t="s">
        <v>246</v>
      </c>
      <c r="AD4" s="247" t="s">
        <v>247</v>
      </c>
      <c r="AE4" s="247" t="s">
        <v>206</v>
      </c>
      <c r="AF4" s="247" t="s">
        <v>207</v>
      </c>
      <c r="AG4" s="247" t="s">
        <v>208</v>
      </c>
      <c r="AH4" s="247" t="s">
        <v>209</v>
      </c>
      <c r="AI4" s="229" t="s">
        <v>210</v>
      </c>
      <c r="AJ4" s="229" t="s">
        <v>219</v>
      </c>
      <c r="AK4" s="229" t="s">
        <v>211</v>
      </c>
      <c r="AL4" s="229" t="s">
        <v>220</v>
      </c>
      <c r="AM4" s="229" t="s">
        <v>212</v>
      </c>
      <c r="AN4" s="312" t="s">
        <v>213</v>
      </c>
      <c r="AO4" s="229" t="s">
        <v>214</v>
      </c>
      <c r="AP4" s="229" t="s">
        <v>215</v>
      </c>
      <c r="AQ4" s="229" t="s">
        <v>216</v>
      </c>
      <c r="AR4" s="229" t="s">
        <v>217</v>
      </c>
      <c r="AS4" s="548" t="s">
        <v>218</v>
      </c>
      <c r="AT4" s="562"/>
    </row>
    <row r="5" spans="1:46" x14ac:dyDescent="0.3">
      <c r="A5" s="230" t="s">
        <v>173</v>
      </c>
      <c r="B5" s="268"/>
      <c r="C5" s="269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313"/>
      <c r="AO5" s="270"/>
      <c r="AP5" s="270"/>
      <c r="AQ5" s="270"/>
      <c r="AR5" s="270"/>
      <c r="AS5" s="549"/>
      <c r="AT5" s="562"/>
    </row>
    <row r="6" spans="1:46" ht="15" collapsed="1" thickBot="1" x14ac:dyDescent="0.35">
      <c r="A6" s="231" t="s">
        <v>73</v>
      </c>
      <c r="B6" s="271">
        <f xml:space="preserve">
TRUNC(IF($A$4&lt;=12,SUMIFS('ON Data'!F:F,'ON Data'!$D:$D,$A$4,'ON Data'!$E:$E,1),SUMIFS('ON Data'!F:F,'ON Data'!$E:$E,1)/'ON Data'!$D$3),1)</f>
        <v>30.6</v>
      </c>
      <c r="C6" s="272">
        <f xml:space="preserve">
TRUNC(IF($A$4&lt;=12,SUMIFS('ON Data'!G:G,'ON Data'!$D:$D,$A$4,'ON Data'!$E:$E,1),SUMIFS('ON Data'!G:G,'ON Data'!$E:$E,1)/'ON Data'!$D$3),1)</f>
        <v>0</v>
      </c>
      <c r="D6" s="273">
        <f xml:space="preserve">
TRUNC(IF($A$4&lt;=12,SUMIFS('ON Data'!H:H,'ON Data'!$D:$D,$A$4,'ON Data'!$E:$E,1),SUMIFS('ON Data'!H:H,'ON Data'!$E:$E,1)/'ON Data'!$D$3),1)</f>
        <v>0</v>
      </c>
      <c r="E6" s="273">
        <f xml:space="preserve">
TRUNC(IF($A$4&lt;=12,SUMIFS('ON Data'!I:I,'ON Data'!$D:$D,$A$4,'ON Data'!$E:$E,1),SUMIFS('ON Data'!I:I,'ON Data'!$E:$E,1)/'ON Data'!$D$3),1)</f>
        <v>0.7</v>
      </c>
      <c r="F6" s="273">
        <f xml:space="preserve">
TRUNC(IF($A$4&lt;=12,SUMIFS('ON Data'!J:J,'ON Data'!$D:$D,$A$4,'ON Data'!$E:$E,1),SUMIFS('ON Data'!J:J,'ON Data'!$E:$E,1)/'ON Data'!$D$3),1)</f>
        <v>0</v>
      </c>
      <c r="G6" s="273">
        <f xml:space="preserve">
TRUNC(IF($A$4&lt;=12,SUMIFS('ON Data'!K:K,'ON Data'!$D:$D,$A$4,'ON Data'!$E:$E,1),SUMIFS('ON Data'!K:K,'ON Data'!$E:$E,1)/'ON Data'!$D$3),1)</f>
        <v>0</v>
      </c>
      <c r="H6" s="273">
        <f xml:space="preserve">
TRUNC(IF($A$4&lt;=12,SUMIFS('ON Data'!L:L,'ON Data'!$D:$D,$A$4,'ON Data'!$E:$E,1),SUMIFS('ON Data'!L:L,'ON Data'!$E:$E,1)/'ON Data'!$D$3),1)</f>
        <v>3.2</v>
      </c>
      <c r="I6" s="273">
        <f xml:space="preserve">
TRUNC(IF($A$4&lt;=12,SUMIFS('ON Data'!M:M,'ON Data'!$D:$D,$A$4,'ON Data'!$E:$E,1),SUMIFS('ON Data'!M:M,'ON Data'!$E:$E,1)/'ON Data'!$D$3),1)</f>
        <v>0</v>
      </c>
      <c r="J6" s="273">
        <f xml:space="preserve">
TRUNC(IF($A$4&lt;=12,SUMIFS('ON Data'!N:N,'ON Data'!$D:$D,$A$4,'ON Data'!$E:$E,1),SUMIFS('ON Data'!N:N,'ON Data'!$E:$E,1)/'ON Data'!$D$3),1)</f>
        <v>0</v>
      </c>
      <c r="K6" s="273">
        <f xml:space="preserve">
TRUNC(IF($A$4&lt;=12,SUMIFS('ON Data'!O:O,'ON Data'!$D:$D,$A$4,'ON Data'!$E:$E,1),SUMIFS('ON Data'!O:O,'ON Data'!$E:$E,1)/'ON Data'!$D$3),1)</f>
        <v>0</v>
      </c>
      <c r="L6" s="273">
        <f xml:space="preserve">
TRUNC(IF($A$4&lt;=12,SUMIFS('ON Data'!P:P,'ON Data'!$D:$D,$A$4,'ON Data'!$E:$E,1),SUMIFS('ON Data'!P:P,'ON Data'!$E:$E,1)/'ON Data'!$D$3),1)</f>
        <v>0</v>
      </c>
      <c r="M6" s="273">
        <f xml:space="preserve">
TRUNC(IF($A$4&lt;=12,SUMIFS('ON Data'!Q:Q,'ON Data'!$D:$D,$A$4,'ON Data'!$E:$E,1),SUMIFS('ON Data'!Q:Q,'ON Data'!$E:$E,1)/'ON Data'!$D$3),1)</f>
        <v>1</v>
      </c>
      <c r="N6" s="273">
        <f xml:space="preserve">
TRUNC(IF($A$4&lt;=12,SUMIFS('ON Data'!R:R,'ON Data'!$D:$D,$A$4,'ON Data'!$E:$E,1),SUMIFS('ON Data'!R:R,'ON Data'!$E:$E,1)/'ON Data'!$D$3),1)</f>
        <v>0</v>
      </c>
      <c r="O6" s="273">
        <f xml:space="preserve">
TRUNC(IF($A$4&lt;=12,SUMIFS('ON Data'!S:S,'ON Data'!$D:$D,$A$4,'ON Data'!$E:$E,1),SUMIFS('ON Data'!S:S,'ON Data'!$E:$E,1)/'ON Data'!$D$3),1)</f>
        <v>0</v>
      </c>
      <c r="P6" s="273">
        <f xml:space="preserve">
TRUNC(IF($A$4&lt;=12,SUMIFS('ON Data'!T:T,'ON Data'!$D:$D,$A$4,'ON Data'!$E:$E,1),SUMIFS('ON Data'!T:T,'ON Data'!$E:$E,1)/'ON Data'!$D$3),1)</f>
        <v>0</v>
      </c>
      <c r="Q6" s="273">
        <f xml:space="preserve">
TRUNC(IF($A$4&lt;=12,SUMIFS('ON Data'!U:U,'ON Data'!$D:$D,$A$4,'ON Data'!$E:$E,1),SUMIFS('ON Data'!U:U,'ON Data'!$E:$E,1)/'ON Data'!$D$3),1)</f>
        <v>0</v>
      </c>
      <c r="R6" s="273">
        <f xml:space="preserve">
TRUNC(IF($A$4&lt;=12,SUMIFS('ON Data'!V:V,'ON Data'!$D:$D,$A$4,'ON Data'!$E:$E,1),SUMIFS('ON Data'!V:V,'ON Data'!$E:$E,1)/'ON Data'!$D$3),1)</f>
        <v>0</v>
      </c>
      <c r="S6" s="273">
        <f xml:space="preserve">
TRUNC(IF($A$4&lt;=12,SUMIFS('ON Data'!W:W,'ON Data'!$D:$D,$A$4,'ON Data'!$E:$E,1),SUMIFS('ON Data'!W:W,'ON Data'!$E:$E,1)/'ON Data'!$D$3),1)</f>
        <v>11.7</v>
      </c>
      <c r="T6" s="273">
        <f xml:space="preserve">
TRUNC(IF($A$4&lt;=12,SUMIFS('ON Data'!X:X,'ON Data'!$D:$D,$A$4,'ON Data'!$E:$E,1),SUMIFS('ON Data'!X:X,'ON Data'!$E:$E,1)/'ON Data'!$D$3),1)</f>
        <v>0</v>
      </c>
      <c r="U6" s="273">
        <f xml:space="preserve">
TRUNC(IF($A$4&lt;=12,SUMIFS('ON Data'!Y:Y,'ON Data'!$D:$D,$A$4,'ON Data'!$E:$E,1),SUMIFS('ON Data'!Y:Y,'ON Data'!$E:$E,1)/'ON Data'!$D$3),1)</f>
        <v>0</v>
      </c>
      <c r="V6" s="273">
        <f xml:space="preserve">
TRUNC(IF($A$4&lt;=12,SUMIFS('ON Data'!Z:Z,'ON Data'!$D:$D,$A$4,'ON Data'!$E:$E,1),SUMIFS('ON Data'!Z:Z,'ON Data'!$E:$E,1)/'ON Data'!$D$3),1)</f>
        <v>0</v>
      </c>
      <c r="W6" s="273">
        <f xml:space="preserve">
TRUNC(IF($A$4&lt;=12,SUMIFS('ON Data'!AA:AA,'ON Data'!$D:$D,$A$4,'ON Data'!$E:$E,1),SUMIFS('ON Data'!AA:AA,'ON Data'!$E:$E,1)/'ON Data'!$D$3),1)</f>
        <v>0</v>
      </c>
      <c r="X6" s="273">
        <f xml:space="preserve">
TRUNC(IF($A$4&lt;=12,SUMIFS('ON Data'!AB:AB,'ON Data'!$D:$D,$A$4,'ON Data'!$E:$E,1),SUMIFS('ON Data'!AB:AB,'ON Data'!$E:$E,1)/'ON Data'!$D$3),1)</f>
        <v>0</v>
      </c>
      <c r="Y6" s="273">
        <f xml:space="preserve">
TRUNC(IF($A$4&lt;=12,SUMIFS('ON Data'!AC:AC,'ON Data'!$D:$D,$A$4,'ON Data'!$E:$E,1),SUMIFS('ON Data'!AC:AC,'ON Data'!$E:$E,1)/'ON Data'!$D$3),1)</f>
        <v>0</v>
      </c>
      <c r="Z6" s="273">
        <f xml:space="preserve">
TRUNC(IF($A$4&lt;=12,SUMIFS('ON Data'!AD:AD,'ON Data'!$D:$D,$A$4,'ON Data'!$E:$E,1),SUMIFS('ON Data'!AD:AD,'ON Data'!$E:$E,1)/'ON Data'!$D$3),1)</f>
        <v>0</v>
      </c>
      <c r="AA6" s="273">
        <f xml:space="preserve">
TRUNC(IF($A$4&lt;=12,SUMIFS('ON Data'!AE:AE,'ON Data'!$D:$D,$A$4,'ON Data'!$E:$E,1),SUMIFS('ON Data'!AE:AE,'ON Data'!$E:$E,1)/'ON Data'!$D$3),1)</f>
        <v>0.4</v>
      </c>
      <c r="AB6" s="273">
        <f xml:space="preserve">
TRUNC(IF($A$4&lt;=12,SUMIFS('ON Data'!AF:AF,'ON Data'!$D:$D,$A$4,'ON Data'!$E:$E,1),SUMIFS('ON Data'!AF:AF,'ON Data'!$E:$E,1)/'ON Data'!$D$3),1)</f>
        <v>0</v>
      </c>
      <c r="AC6" s="273">
        <f xml:space="preserve">
TRUNC(IF($A$4&lt;=12,SUMIFS('ON Data'!AG:AG,'ON Data'!$D:$D,$A$4,'ON Data'!$E:$E,1),SUMIFS('ON Data'!AG:AG,'ON Data'!$E:$E,1)/'ON Data'!$D$3),1)</f>
        <v>0</v>
      </c>
      <c r="AD6" s="273">
        <f xml:space="preserve">
TRUNC(IF($A$4&lt;=12,SUMIFS('ON Data'!AH:AH,'ON Data'!$D:$D,$A$4,'ON Data'!$E:$E,1),SUMIFS('ON Data'!AH:AH,'ON Data'!$E:$E,1)/'ON Data'!$D$3),1)</f>
        <v>0</v>
      </c>
      <c r="AE6" s="273">
        <f xml:space="preserve">
TRUNC(IF($A$4&lt;=12,SUMIFS('ON Data'!AI:AI,'ON Data'!$D:$D,$A$4,'ON Data'!$E:$E,1),SUMIFS('ON Data'!AI:AI,'ON Data'!$E:$E,1)/'ON Data'!$D$3),1)</f>
        <v>0</v>
      </c>
      <c r="AF6" s="273">
        <f xml:space="preserve">
TRUNC(IF($A$4&lt;=12,SUMIFS('ON Data'!AJ:AJ,'ON Data'!$D:$D,$A$4,'ON Data'!$E:$E,1),SUMIFS('ON Data'!AJ:AJ,'ON Data'!$E:$E,1)/'ON Data'!$D$3),1)</f>
        <v>0</v>
      </c>
      <c r="AG6" s="273">
        <f xml:space="preserve">
TRUNC(IF($A$4&lt;=12,SUMIFS('ON Data'!AK:AK,'ON Data'!$D:$D,$A$4,'ON Data'!$E:$E,1),SUMIFS('ON Data'!AK:AK,'ON Data'!$E:$E,1)/'ON Data'!$D$3),1)</f>
        <v>0</v>
      </c>
      <c r="AH6" s="273">
        <f xml:space="preserve">
TRUNC(IF($A$4&lt;=12,SUMIFS('ON Data'!AL:AL,'ON Data'!$D:$D,$A$4,'ON Data'!$E:$E,1),SUMIFS('ON Data'!AL:AL,'ON Data'!$E:$E,1)/'ON Data'!$D$3),1)</f>
        <v>9.5</v>
      </c>
      <c r="AI6" s="273">
        <f xml:space="preserve">
TRUNC(IF($A$4&lt;=12,SUMIFS('ON Data'!AM:AM,'ON Data'!$D:$D,$A$4,'ON Data'!$E:$E,1),SUMIFS('ON Data'!AM:AM,'ON Data'!$E:$E,1)/'ON Data'!$D$3),1)</f>
        <v>0</v>
      </c>
      <c r="AJ6" s="273">
        <f xml:space="preserve">
TRUNC(IF($A$4&lt;=12,SUMIFS('ON Data'!AN:AN,'ON Data'!$D:$D,$A$4,'ON Data'!$E:$E,1),SUMIFS('ON Data'!AN:AN,'ON Data'!$E:$E,1)/'ON Data'!$D$3),1)</f>
        <v>0</v>
      </c>
      <c r="AK6" s="273">
        <f xml:space="preserve">
TRUNC(IF($A$4&lt;=12,SUMIFS('ON Data'!AO:AO,'ON Data'!$D:$D,$A$4,'ON Data'!$E:$E,1),SUMIFS('ON Data'!AO:AO,'ON Data'!$E:$E,1)/'ON Data'!$D$3),1)</f>
        <v>0</v>
      </c>
      <c r="AL6" s="273">
        <f xml:space="preserve">
TRUNC(IF($A$4&lt;=12,SUMIFS('ON Data'!AP:AP,'ON Data'!$D:$D,$A$4,'ON Data'!$E:$E,1),SUMIFS('ON Data'!AP:AP,'ON Data'!$E:$E,1)/'ON Data'!$D$3),1)</f>
        <v>2</v>
      </c>
      <c r="AM6" s="273">
        <f xml:space="preserve">
TRUNC(IF($A$4&lt;=12,SUMIFS('ON Data'!AQ:AQ,'ON Data'!$D:$D,$A$4,'ON Data'!$E:$E,1),SUMIFS('ON Data'!AQ:AQ,'ON Data'!$E:$E,1)/'ON Data'!$D$3),1)</f>
        <v>0</v>
      </c>
      <c r="AN6" s="273">
        <f xml:space="preserve">
TRUNC(IF($A$4&lt;=12,SUMIFS('ON Data'!AR:AR,'ON Data'!$D:$D,$A$4,'ON Data'!$E:$E,1),SUMIFS('ON Data'!AR:AR,'ON Data'!$E:$E,1)/'ON Data'!$D$3),1)</f>
        <v>0</v>
      </c>
      <c r="AO6" s="273">
        <f xml:space="preserve">
TRUNC(IF($A$4&lt;=12,SUMIFS('ON Data'!AS:AS,'ON Data'!$D:$D,$A$4,'ON Data'!$E:$E,1),SUMIFS('ON Data'!AS:AS,'ON Data'!$E:$E,1)/'ON Data'!$D$3),1)</f>
        <v>0</v>
      </c>
      <c r="AP6" s="273">
        <f xml:space="preserve">
TRUNC(IF($A$4&lt;=12,SUMIFS('ON Data'!AT:AT,'ON Data'!$D:$D,$A$4,'ON Data'!$E:$E,1),SUMIFS('ON Data'!AT:AT,'ON Data'!$E:$E,1)/'ON Data'!$D$3),1)</f>
        <v>2</v>
      </c>
      <c r="AQ6" s="273">
        <f xml:space="preserve">
TRUNC(IF($A$4&lt;=12,SUMIFS('ON Data'!AU:AU,'ON Data'!$D:$D,$A$4,'ON Data'!$E:$E,1),SUMIFS('ON Data'!AU:AU,'ON Data'!$E:$E,1)/'ON Data'!$D$3),1)</f>
        <v>0</v>
      </c>
      <c r="AR6" s="273">
        <f xml:space="preserve">
TRUNC(IF($A$4&lt;=12,SUMIFS('ON Data'!AV:AV,'ON Data'!$D:$D,$A$4,'ON Data'!$E:$E,1),SUMIFS('ON Data'!AV:AV,'ON Data'!$E:$E,1)/'ON Data'!$D$3),1)</f>
        <v>0</v>
      </c>
      <c r="AS6" s="550">
        <f xml:space="preserve">
TRUNC(IF($A$4&lt;=12,SUMIFS('ON Data'!AW:AW,'ON Data'!$D:$D,$A$4,'ON Data'!$E:$E,1),SUMIFS('ON Data'!AW:AW,'ON Data'!$E:$E,1)/'ON Data'!$D$3),1)</f>
        <v>0</v>
      </c>
      <c r="AT6" s="562"/>
    </row>
    <row r="7" spans="1:46" ht="15" hidden="1" outlineLevel="1" thickBot="1" x14ac:dyDescent="0.35">
      <c r="A7" s="231" t="s">
        <v>107</v>
      </c>
      <c r="B7" s="271"/>
      <c r="C7" s="274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4"/>
      <c r="AO7" s="273"/>
      <c r="AP7" s="273"/>
      <c r="AQ7" s="273"/>
      <c r="AR7" s="273"/>
      <c r="AS7" s="550"/>
      <c r="AT7" s="562"/>
    </row>
    <row r="8" spans="1:46" ht="15" hidden="1" outlineLevel="1" thickBot="1" x14ac:dyDescent="0.35">
      <c r="A8" s="231" t="s">
        <v>75</v>
      </c>
      <c r="B8" s="271"/>
      <c r="C8" s="274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4"/>
      <c r="AO8" s="273"/>
      <c r="AP8" s="273"/>
      <c r="AQ8" s="273"/>
      <c r="AR8" s="273"/>
      <c r="AS8" s="550"/>
      <c r="AT8" s="562"/>
    </row>
    <row r="9" spans="1:46" ht="15" hidden="1" outlineLevel="1" thickBot="1" x14ac:dyDescent="0.35">
      <c r="A9" s="232" t="s">
        <v>68</v>
      </c>
      <c r="B9" s="275"/>
      <c r="C9" s="276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6"/>
      <c r="AO9" s="277"/>
      <c r="AP9" s="277"/>
      <c r="AQ9" s="277"/>
      <c r="AR9" s="277"/>
      <c r="AS9" s="551"/>
      <c r="AT9" s="562"/>
    </row>
    <row r="10" spans="1:46" x14ac:dyDescent="0.3">
      <c r="A10" s="233" t="s">
        <v>174</v>
      </c>
      <c r="B10" s="248"/>
      <c r="C10" s="249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314"/>
      <c r="AO10" s="250"/>
      <c r="AP10" s="250"/>
      <c r="AQ10" s="250"/>
      <c r="AR10" s="250"/>
      <c r="AS10" s="552"/>
      <c r="AT10" s="562"/>
    </row>
    <row r="11" spans="1:46" x14ac:dyDescent="0.3">
      <c r="A11" s="234" t="s">
        <v>175</v>
      </c>
      <c r="B11" s="251">
        <f xml:space="preserve">
IF($A$4&lt;=12,SUMIFS('ON Data'!F:F,'ON Data'!$D:$D,$A$4,'ON Data'!$E:$E,2),SUMIFS('ON Data'!F:F,'ON Data'!$E:$E,2))</f>
        <v>8853.4</v>
      </c>
      <c r="C11" s="252">
        <f xml:space="preserve">
IF($A$4&lt;=12,SUMIFS('ON Data'!G:G,'ON Data'!$D:$D,$A$4,'ON Data'!$E:$E,2),SUMIFS('ON Data'!G:G,'ON Data'!$E:$E,2))</f>
        <v>0</v>
      </c>
      <c r="D11" s="253">
        <f xml:space="preserve">
IF($A$4&lt;=12,SUMIFS('ON Data'!H:H,'ON Data'!$D:$D,$A$4,'ON Data'!$E:$E,2),SUMIFS('ON Data'!H:H,'ON Data'!$E:$E,2))</f>
        <v>0</v>
      </c>
      <c r="E11" s="253"/>
      <c r="F11" s="253">
        <f xml:space="preserve">
IF($A$4&lt;=12,SUMIFS('ON Data'!J:J,'ON Data'!$D:$D,$A$4,'ON Data'!$E:$E,2),SUMIFS('ON Data'!J:J,'ON Data'!$E:$E,2))</f>
        <v>0</v>
      </c>
      <c r="G11" s="253">
        <f xml:space="preserve">
IF($A$4&lt;=12,SUMIFS('ON Data'!K:K,'ON Data'!$D:$D,$A$4,'ON Data'!$E:$E,2),SUMIFS('ON Data'!K:K,'ON Data'!$E:$E,2))</f>
        <v>0</v>
      </c>
      <c r="H11" s="253">
        <f xml:space="preserve">
IF($A$4&lt;=12,SUMIFS('ON Data'!L:L,'ON Data'!$D:$D,$A$4,'ON Data'!$E:$E,2),SUMIFS('ON Data'!L:L,'ON Data'!$E:$E,2))</f>
        <v>917.6</v>
      </c>
      <c r="I11" s="253">
        <f xml:space="preserve">
IF($A$4&lt;=12,SUMIFS('ON Data'!M:M,'ON Data'!$D:$D,$A$4,'ON Data'!$E:$E,2),SUMIFS('ON Data'!M:M,'ON Data'!$E:$E,2))</f>
        <v>0</v>
      </c>
      <c r="J11" s="253">
        <f xml:space="preserve">
IF($A$4&lt;=12,SUMIFS('ON Data'!N:N,'ON Data'!$D:$D,$A$4,'ON Data'!$E:$E,2),SUMIFS('ON Data'!N:N,'ON Data'!$E:$E,2))</f>
        <v>0</v>
      </c>
      <c r="K11" s="253">
        <f xml:space="preserve">
IF($A$4&lt;=12,SUMIFS('ON Data'!O:O,'ON Data'!$D:$D,$A$4,'ON Data'!$E:$E,2),SUMIFS('ON Data'!O:O,'ON Data'!$E:$E,2))</f>
        <v>0</v>
      </c>
      <c r="L11" s="253">
        <f xml:space="preserve">
IF($A$4&lt;=12,SUMIFS('ON Data'!P:P,'ON Data'!$D:$D,$A$4,'ON Data'!$E:$E,2),SUMIFS('ON Data'!P:P,'ON Data'!$E:$E,2))</f>
        <v>0</v>
      </c>
      <c r="M11" s="253">
        <f xml:space="preserve">
IF($A$4&lt;=12,SUMIFS('ON Data'!Q:Q,'ON Data'!$D:$D,$A$4,'ON Data'!$E:$E,2),SUMIFS('ON Data'!Q:Q,'ON Data'!$E:$E,2))</f>
        <v>296</v>
      </c>
      <c r="N11" s="253">
        <f xml:space="preserve">
IF($A$4&lt;=12,SUMIFS('ON Data'!R:R,'ON Data'!$D:$D,$A$4,'ON Data'!$E:$E,2),SUMIFS('ON Data'!R:R,'ON Data'!$E:$E,2))</f>
        <v>0</v>
      </c>
      <c r="O11" s="253">
        <f xml:space="preserve">
IF($A$4&lt;=12,SUMIFS('ON Data'!S:S,'ON Data'!$D:$D,$A$4,'ON Data'!$E:$E,2),SUMIFS('ON Data'!S:S,'ON Data'!$E:$E,2))</f>
        <v>0</v>
      </c>
      <c r="P11" s="253">
        <f xml:space="preserve">
IF($A$4&lt;=12,SUMIFS('ON Data'!T:T,'ON Data'!$D:$D,$A$4,'ON Data'!$E:$E,2),SUMIFS('ON Data'!T:T,'ON Data'!$E:$E,2))</f>
        <v>0</v>
      </c>
      <c r="Q11" s="253">
        <f xml:space="preserve">
IF($A$4&lt;=12,SUMIFS('ON Data'!U:U,'ON Data'!$D:$D,$A$4,'ON Data'!$E:$E,2),SUMIFS('ON Data'!U:U,'ON Data'!$E:$E,2))</f>
        <v>0</v>
      </c>
      <c r="R11" s="253">
        <f xml:space="preserve">
IF($A$4&lt;=12,SUMIFS('ON Data'!V:V,'ON Data'!$D:$D,$A$4,'ON Data'!$E:$E,2),SUMIFS('ON Data'!V:V,'ON Data'!$E:$E,2))</f>
        <v>0</v>
      </c>
      <c r="S11" s="253">
        <f xml:space="preserve">
IF($A$4&lt;=12,SUMIFS('ON Data'!W:W,'ON Data'!$D:$D,$A$4,'ON Data'!$E:$E,2),SUMIFS('ON Data'!W:W,'ON Data'!$E:$E,2))</f>
        <v>3276</v>
      </c>
      <c r="T11" s="253">
        <f xml:space="preserve">
IF($A$4&lt;=12,SUMIFS('ON Data'!X:X,'ON Data'!$D:$D,$A$4,'ON Data'!$E:$E,2),SUMIFS('ON Data'!X:X,'ON Data'!$E:$E,2))</f>
        <v>0</v>
      </c>
      <c r="U11" s="253">
        <f xml:space="preserve">
IF($A$4&lt;=12,SUMIFS('ON Data'!Y:Y,'ON Data'!$D:$D,$A$4,'ON Data'!$E:$E,2),SUMIFS('ON Data'!Y:Y,'ON Data'!$E:$E,2))</f>
        <v>0</v>
      </c>
      <c r="V11" s="253">
        <f xml:space="preserve">
IF($A$4&lt;=12,SUMIFS('ON Data'!Z:Z,'ON Data'!$D:$D,$A$4,'ON Data'!$E:$E,2),SUMIFS('ON Data'!Z:Z,'ON Data'!$E:$E,2))</f>
        <v>0</v>
      </c>
      <c r="W11" s="253">
        <f xml:space="preserve">
IF($A$4&lt;=12,SUMIFS('ON Data'!AA:AA,'ON Data'!$D:$D,$A$4,'ON Data'!$E:$E,2),SUMIFS('ON Data'!AA:AA,'ON Data'!$E:$E,2))</f>
        <v>0</v>
      </c>
      <c r="X11" s="253">
        <f xml:space="preserve">
IF($A$4&lt;=12,SUMIFS('ON Data'!AB:AB,'ON Data'!$D:$D,$A$4,'ON Data'!$E:$E,2),SUMIFS('ON Data'!AB:AB,'ON Data'!$E:$E,2))</f>
        <v>0</v>
      </c>
      <c r="Y11" s="253">
        <f xml:space="preserve">
IF($A$4&lt;=12,SUMIFS('ON Data'!AC:AC,'ON Data'!$D:$D,$A$4,'ON Data'!$E:$E,2),SUMIFS('ON Data'!AC:AC,'ON Data'!$E:$E,2))</f>
        <v>0</v>
      </c>
      <c r="Z11" s="253">
        <f xml:space="preserve">
IF($A$4&lt;=12,SUMIFS('ON Data'!AD:AD,'ON Data'!$D:$D,$A$4,'ON Data'!$E:$E,2),SUMIFS('ON Data'!AD:AD,'ON Data'!$E:$E,2))</f>
        <v>0</v>
      </c>
      <c r="AA11" s="253"/>
      <c r="AB11" s="253">
        <f xml:space="preserve">
IF($A$4&lt;=12,SUMIFS('ON Data'!AF:AF,'ON Data'!$D:$D,$A$4,'ON Data'!$E:$E,2),SUMIFS('ON Data'!AF:AF,'ON Data'!$E:$E,2))</f>
        <v>0</v>
      </c>
      <c r="AC11" s="253">
        <f xml:space="preserve">
IF($A$4&lt;=12,SUMIFS('ON Data'!AG:AG,'ON Data'!$D:$D,$A$4,'ON Data'!$E:$E,2),SUMIFS('ON Data'!AG:AG,'ON Data'!$E:$E,2))</f>
        <v>0</v>
      </c>
      <c r="AD11" s="253">
        <f xml:space="preserve">
IF($A$4&lt;=12,SUMIFS('ON Data'!AH:AH,'ON Data'!$D:$D,$A$4,'ON Data'!$E:$E,2),SUMIFS('ON Data'!AH:AH,'ON Data'!$E:$E,2))</f>
        <v>0</v>
      </c>
      <c r="AE11" s="253">
        <f xml:space="preserve">
IF($A$4&lt;=12,SUMIFS('ON Data'!AI:AI,'ON Data'!$D:$D,$A$4,'ON Data'!$E:$E,2),SUMIFS('ON Data'!AI:AI,'ON Data'!$E:$E,2))</f>
        <v>0</v>
      </c>
      <c r="AF11" s="253">
        <f xml:space="preserve">
IF($A$4&lt;=12,SUMIFS('ON Data'!AJ:AJ,'ON Data'!$D:$D,$A$4,'ON Data'!$E:$E,2),SUMIFS('ON Data'!AJ:AJ,'ON Data'!$E:$E,2))</f>
        <v>0</v>
      </c>
      <c r="AG11" s="253">
        <f xml:space="preserve">
IF($A$4&lt;=12,SUMIFS('ON Data'!AK:AK,'ON Data'!$D:$D,$A$4,'ON Data'!$E:$E,2),SUMIFS('ON Data'!AK:AK,'ON Data'!$E:$E,2))</f>
        <v>0</v>
      </c>
      <c r="AH11" s="253">
        <f xml:space="preserve">
IF($A$4&lt;=12,SUMIFS('ON Data'!AL:AL,'ON Data'!$D:$D,$A$4,'ON Data'!$E:$E,2),SUMIFS('ON Data'!AL:AL,'ON Data'!$E:$E,2))</f>
        <v>3122.2</v>
      </c>
      <c r="AI11" s="253">
        <f xml:space="preserve">
IF($A$4&lt;=12,SUMIFS('ON Data'!AM:AM,'ON Data'!$D:$D,$A$4,'ON Data'!$E:$E,2),SUMIFS('ON Data'!AM:AM,'ON Data'!$E:$E,2))</f>
        <v>0</v>
      </c>
      <c r="AJ11" s="253">
        <f xml:space="preserve">
IF($A$4&lt;=12,SUMIFS('ON Data'!AN:AN,'ON Data'!$D:$D,$A$4,'ON Data'!$E:$E,2),SUMIFS('ON Data'!AN:AN,'ON Data'!$E:$E,2))</f>
        <v>0</v>
      </c>
      <c r="AK11" s="253">
        <f xml:space="preserve">
IF($A$4&lt;=12,SUMIFS('ON Data'!AO:AO,'ON Data'!$D:$D,$A$4,'ON Data'!$E:$E,2),SUMIFS('ON Data'!AO:AO,'ON Data'!$E:$E,2))</f>
        <v>0</v>
      </c>
      <c r="AL11" s="253">
        <f xml:space="preserve">
IF($A$4&lt;=12,SUMIFS('ON Data'!AP:AP,'ON Data'!$D:$D,$A$4,'ON Data'!$E:$E,2),SUMIFS('ON Data'!AP:AP,'ON Data'!$E:$E,2))</f>
        <v>256</v>
      </c>
      <c r="AM11" s="253">
        <f xml:space="preserve">
IF($A$4&lt;=12,SUMIFS('ON Data'!AQ:AQ,'ON Data'!$D:$D,$A$4,'ON Data'!$E:$E,2),SUMIFS('ON Data'!AQ:AQ,'ON Data'!$E:$E,2))</f>
        <v>0</v>
      </c>
      <c r="AN11" s="252">
        <f xml:space="preserve">
IF($A$4&lt;=12,SUMIFS('ON Data'!AR:AR,'ON Data'!$D:$D,$A$4,'ON Data'!$E:$E,2),SUMIFS('ON Data'!AR:AR,'ON Data'!$E:$E,2))</f>
        <v>0</v>
      </c>
      <c r="AO11" s="253">
        <f xml:space="preserve">
IF($A$4&lt;=12,SUMIFS('ON Data'!AS:AS,'ON Data'!$D:$D,$A$4,'ON Data'!$E:$E,2),SUMIFS('ON Data'!AS:AS,'ON Data'!$E:$E,2))</f>
        <v>0</v>
      </c>
      <c r="AP11" s="253">
        <f xml:space="preserve">
IF($A$4&lt;=12,SUMIFS('ON Data'!AT:AT,'ON Data'!$D:$D,$A$4,'ON Data'!$E:$E,2),SUMIFS('ON Data'!AT:AT,'ON Data'!$E:$E,2))</f>
        <v>628</v>
      </c>
      <c r="AQ11" s="253">
        <f xml:space="preserve">
IF($A$4&lt;=12,SUMIFS('ON Data'!AU:AU,'ON Data'!$D:$D,$A$4,'ON Data'!$E:$E,2),SUMIFS('ON Data'!AU:AU,'ON Data'!$E:$E,2))</f>
        <v>0</v>
      </c>
      <c r="AR11" s="253">
        <f xml:space="preserve">
IF($A$4&lt;=12,SUMIFS('ON Data'!AV:AV,'ON Data'!$D:$D,$A$4,'ON Data'!$E:$E,2),SUMIFS('ON Data'!AV:AV,'ON Data'!$E:$E,2))</f>
        <v>0</v>
      </c>
      <c r="AS11" s="553">
        <f xml:space="preserve">
IF($A$4&lt;=12,SUMIFS('ON Data'!AW:AW,'ON Data'!$D:$D,$A$4,'ON Data'!$E:$E,2),SUMIFS('ON Data'!AW:AW,'ON Data'!$E:$E,2))</f>
        <v>0</v>
      </c>
      <c r="AT11" s="562"/>
    </row>
    <row r="12" spans="1:46" x14ac:dyDescent="0.3">
      <c r="A12" s="234" t="s">
        <v>176</v>
      </c>
      <c r="B12" s="251">
        <f xml:space="preserve">
IF($A$4&lt;=12,SUMIFS('ON Data'!F:F,'ON Data'!$D:$D,$A$4,'ON Data'!$E:$E,3),SUMIFS('ON Data'!F:F,'ON Data'!$E:$E,3))</f>
        <v>72</v>
      </c>
      <c r="C12" s="252">
        <f xml:space="preserve">
IF($A$4&lt;=12,SUMIFS('ON Data'!G:G,'ON Data'!$D:$D,$A$4,'ON Data'!$E:$E,3),SUMIFS('ON Data'!G:G,'ON Data'!$E:$E,3))</f>
        <v>0</v>
      </c>
      <c r="D12" s="253">
        <f xml:space="preserve">
IF($A$4&lt;=12,SUMIFS('ON Data'!H:H,'ON Data'!$D:$D,$A$4,'ON Data'!$E:$E,3),SUMIFS('ON Data'!H:H,'ON Data'!$E:$E,3))</f>
        <v>0</v>
      </c>
      <c r="E12" s="253"/>
      <c r="F12" s="253">
        <f xml:space="preserve">
IF($A$4&lt;=12,SUMIFS('ON Data'!J:J,'ON Data'!$D:$D,$A$4,'ON Data'!$E:$E,3),SUMIFS('ON Data'!J:J,'ON Data'!$E:$E,3))</f>
        <v>0</v>
      </c>
      <c r="G12" s="253">
        <f xml:space="preserve">
IF($A$4&lt;=12,SUMIFS('ON Data'!K:K,'ON Data'!$D:$D,$A$4,'ON Data'!$E:$E,3),SUMIFS('ON Data'!K:K,'ON Data'!$E:$E,3))</f>
        <v>0</v>
      </c>
      <c r="H12" s="253">
        <f xml:space="preserve">
IF($A$4&lt;=12,SUMIFS('ON Data'!L:L,'ON Data'!$D:$D,$A$4,'ON Data'!$E:$E,3),SUMIFS('ON Data'!L:L,'ON Data'!$E:$E,3))</f>
        <v>0</v>
      </c>
      <c r="I12" s="253">
        <f xml:space="preserve">
IF($A$4&lt;=12,SUMIFS('ON Data'!M:M,'ON Data'!$D:$D,$A$4,'ON Data'!$E:$E,3),SUMIFS('ON Data'!M:M,'ON Data'!$E:$E,3))</f>
        <v>0</v>
      </c>
      <c r="J12" s="253">
        <f xml:space="preserve">
IF($A$4&lt;=12,SUMIFS('ON Data'!N:N,'ON Data'!$D:$D,$A$4,'ON Data'!$E:$E,3),SUMIFS('ON Data'!N:N,'ON Data'!$E:$E,3))</f>
        <v>0</v>
      </c>
      <c r="K12" s="253">
        <f xml:space="preserve">
IF($A$4&lt;=12,SUMIFS('ON Data'!O:O,'ON Data'!$D:$D,$A$4,'ON Data'!$E:$E,3),SUMIFS('ON Data'!O:O,'ON Data'!$E:$E,3))</f>
        <v>0</v>
      </c>
      <c r="L12" s="253">
        <f xml:space="preserve">
IF($A$4&lt;=12,SUMIFS('ON Data'!P:P,'ON Data'!$D:$D,$A$4,'ON Data'!$E:$E,3),SUMIFS('ON Data'!P:P,'ON Data'!$E:$E,3))</f>
        <v>0</v>
      </c>
      <c r="M12" s="253">
        <f xml:space="preserve">
IF($A$4&lt;=12,SUMIFS('ON Data'!Q:Q,'ON Data'!$D:$D,$A$4,'ON Data'!$E:$E,3),SUMIFS('ON Data'!Q:Q,'ON Data'!$E:$E,3))</f>
        <v>0</v>
      </c>
      <c r="N12" s="253">
        <f xml:space="preserve">
IF($A$4&lt;=12,SUMIFS('ON Data'!R:R,'ON Data'!$D:$D,$A$4,'ON Data'!$E:$E,3),SUMIFS('ON Data'!R:R,'ON Data'!$E:$E,3))</f>
        <v>0</v>
      </c>
      <c r="O12" s="253">
        <f xml:space="preserve">
IF($A$4&lt;=12,SUMIFS('ON Data'!S:S,'ON Data'!$D:$D,$A$4,'ON Data'!$E:$E,3),SUMIFS('ON Data'!S:S,'ON Data'!$E:$E,3))</f>
        <v>0</v>
      </c>
      <c r="P12" s="253">
        <f xml:space="preserve">
IF($A$4&lt;=12,SUMIFS('ON Data'!T:T,'ON Data'!$D:$D,$A$4,'ON Data'!$E:$E,3),SUMIFS('ON Data'!T:T,'ON Data'!$E:$E,3))</f>
        <v>0</v>
      </c>
      <c r="Q12" s="253">
        <f xml:space="preserve">
IF($A$4&lt;=12,SUMIFS('ON Data'!U:U,'ON Data'!$D:$D,$A$4,'ON Data'!$E:$E,3),SUMIFS('ON Data'!U:U,'ON Data'!$E:$E,3))</f>
        <v>0</v>
      </c>
      <c r="R12" s="253">
        <f xml:space="preserve">
IF($A$4&lt;=12,SUMIFS('ON Data'!V:V,'ON Data'!$D:$D,$A$4,'ON Data'!$E:$E,3),SUMIFS('ON Data'!V:V,'ON Data'!$E:$E,3))</f>
        <v>0</v>
      </c>
      <c r="S12" s="253">
        <f xml:space="preserve">
IF($A$4&lt;=12,SUMIFS('ON Data'!W:W,'ON Data'!$D:$D,$A$4,'ON Data'!$E:$E,3),SUMIFS('ON Data'!W:W,'ON Data'!$E:$E,3))</f>
        <v>4</v>
      </c>
      <c r="T12" s="253">
        <f xml:space="preserve">
IF($A$4&lt;=12,SUMIFS('ON Data'!X:X,'ON Data'!$D:$D,$A$4,'ON Data'!$E:$E,3),SUMIFS('ON Data'!X:X,'ON Data'!$E:$E,3))</f>
        <v>0</v>
      </c>
      <c r="U12" s="253">
        <f xml:space="preserve">
IF($A$4&lt;=12,SUMIFS('ON Data'!Y:Y,'ON Data'!$D:$D,$A$4,'ON Data'!$E:$E,3),SUMIFS('ON Data'!Y:Y,'ON Data'!$E:$E,3))</f>
        <v>0</v>
      </c>
      <c r="V12" s="253">
        <f xml:space="preserve">
IF($A$4&lt;=12,SUMIFS('ON Data'!Z:Z,'ON Data'!$D:$D,$A$4,'ON Data'!$E:$E,3),SUMIFS('ON Data'!Z:Z,'ON Data'!$E:$E,3))</f>
        <v>0</v>
      </c>
      <c r="W12" s="253">
        <f xml:space="preserve">
IF($A$4&lt;=12,SUMIFS('ON Data'!AA:AA,'ON Data'!$D:$D,$A$4,'ON Data'!$E:$E,3),SUMIFS('ON Data'!AA:AA,'ON Data'!$E:$E,3))</f>
        <v>0</v>
      </c>
      <c r="X12" s="253">
        <f xml:space="preserve">
IF($A$4&lt;=12,SUMIFS('ON Data'!AB:AB,'ON Data'!$D:$D,$A$4,'ON Data'!$E:$E,3),SUMIFS('ON Data'!AB:AB,'ON Data'!$E:$E,3))</f>
        <v>0</v>
      </c>
      <c r="Y12" s="253">
        <f xml:space="preserve">
IF($A$4&lt;=12,SUMIFS('ON Data'!AC:AC,'ON Data'!$D:$D,$A$4,'ON Data'!$E:$E,3),SUMIFS('ON Data'!AC:AC,'ON Data'!$E:$E,3))</f>
        <v>0</v>
      </c>
      <c r="Z12" s="253">
        <f xml:space="preserve">
IF($A$4&lt;=12,SUMIFS('ON Data'!AD:AD,'ON Data'!$D:$D,$A$4,'ON Data'!$E:$E,3),SUMIFS('ON Data'!AD:AD,'ON Data'!$E:$E,3))</f>
        <v>0</v>
      </c>
      <c r="AA12" s="253"/>
      <c r="AB12" s="253">
        <f xml:space="preserve">
IF($A$4&lt;=12,SUMIFS('ON Data'!AF:AF,'ON Data'!$D:$D,$A$4,'ON Data'!$E:$E,3),SUMIFS('ON Data'!AF:AF,'ON Data'!$E:$E,3))</f>
        <v>0</v>
      </c>
      <c r="AC12" s="253">
        <f xml:space="preserve">
IF($A$4&lt;=12,SUMIFS('ON Data'!AG:AG,'ON Data'!$D:$D,$A$4,'ON Data'!$E:$E,3),SUMIFS('ON Data'!AG:AG,'ON Data'!$E:$E,3))</f>
        <v>0</v>
      </c>
      <c r="AD12" s="253">
        <f xml:space="preserve">
IF($A$4&lt;=12,SUMIFS('ON Data'!AH:AH,'ON Data'!$D:$D,$A$4,'ON Data'!$E:$E,3),SUMIFS('ON Data'!AH:AH,'ON Data'!$E:$E,3))</f>
        <v>0</v>
      </c>
      <c r="AE12" s="253">
        <f xml:space="preserve">
IF($A$4&lt;=12,SUMIFS('ON Data'!AI:AI,'ON Data'!$D:$D,$A$4,'ON Data'!$E:$E,3),SUMIFS('ON Data'!AI:AI,'ON Data'!$E:$E,3))</f>
        <v>0</v>
      </c>
      <c r="AF12" s="253">
        <f xml:space="preserve">
IF($A$4&lt;=12,SUMIFS('ON Data'!AJ:AJ,'ON Data'!$D:$D,$A$4,'ON Data'!$E:$E,3),SUMIFS('ON Data'!AJ:AJ,'ON Data'!$E:$E,3))</f>
        <v>0</v>
      </c>
      <c r="AG12" s="253">
        <f xml:space="preserve">
IF($A$4&lt;=12,SUMIFS('ON Data'!AK:AK,'ON Data'!$D:$D,$A$4,'ON Data'!$E:$E,3),SUMIFS('ON Data'!AK:AK,'ON Data'!$E:$E,3))</f>
        <v>0</v>
      </c>
      <c r="AH12" s="253">
        <f xml:space="preserve">
IF($A$4&lt;=12,SUMIFS('ON Data'!AL:AL,'ON Data'!$D:$D,$A$4,'ON Data'!$E:$E,3),SUMIFS('ON Data'!AL:AL,'ON Data'!$E:$E,3))</f>
        <v>68</v>
      </c>
      <c r="AI12" s="253">
        <f xml:space="preserve">
IF($A$4&lt;=12,SUMIFS('ON Data'!AM:AM,'ON Data'!$D:$D,$A$4,'ON Data'!$E:$E,3),SUMIFS('ON Data'!AM:AM,'ON Data'!$E:$E,3))</f>
        <v>0</v>
      </c>
      <c r="AJ12" s="253">
        <f xml:space="preserve">
IF($A$4&lt;=12,SUMIFS('ON Data'!AN:AN,'ON Data'!$D:$D,$A$4,'ON Data'!$E:$E,3),SUMIFS('ON Data'!AN:AN,'ON Data'!$E:$E,3))</f>
        <v>0</v>
      </c>
      <c r="AK12" s="253">
        <f xml:space="preserve">
IF($A$4&lt;=12,SUMIFS('ON Data'!AO:AO,'ON Data'!$D:$D,$A$4,'ON Data'!$E:$E,3),SUMIFS('ON Data'!AO:AO,'ON Data'!$E:$E,3))</f>
        <v>0</v>
      </c>
      <c r="AL12" s="253">
        <f xml:space="preserve">
IF($A$4&lt;=12,SUMIFS('ON Data'!AP:AP,'ON Data'!$D:$D,$A$4,'ON Data'!$E:$E,3),SUMIFS('ON Data'!AP:AP,'ON Data'!$E:$E,3))</f>
        <v>0</v>
      </c>
      <c r="AM12" s="253">
        <f xml:space="preserve">
IF($A$4&lt;=12,SUMIFS('ON Data'!AQ:AQ,'ON Data'!$D:$D,$A$4,'ON Data'!$E:$E,3),SUMIFS('ON Data'!AQ:AQ,'ON Data'!$E:$E,3))</f>
        <v>0</v>
      </c>
      <c r="AN12" s="252">
        <f xml:space="preserve">
IF($A$4&lt;=12,SUMIFS('ON Data'!AR:AR,'ON Data'!$D:$D,$A$4,'ON Data'!$E:$E,3),SUMIFS('ON Data'!AR:AR,'ON Data'!$E:$E,3))</f>
        <v>0</v>
      </c>
      <c r="AO12" s="253">
        <f xml:space="preserve">
IF($A$4&lt;=12,SUMIFS('ON Data'!AS:AS,'ON Data'!$D:$D,$A$4,'ON Data'!$E:$E,3),SUMIFS('ON Data'!AS:AS,'ON Data'!$E:$E,3))</f>
        <v>0</v>
      </c>
      <c r="AP12" s="253">
        <f xml:space="preserve">
IF($A$4&lt;=12,SUMIFS('ON Data'!AT:AT,'ON Data'!$D:$D,$A$4,'ON Data'!$E:$E,3),SUMIFS('ON Data'!AT:AT,'ON Data'!$E:$E,3))</f>
        <v>0</v>
      </c>
      <c r="AQ12" s="253">
        <f xml:space="preserve">
IF($A$4&lt;=12,SUMIFS('ON Data'!AU:AU,'ON Data'!$D:$D,$A$4,'ON Data'!$E:$E,3),SUMIFS('ON Data'!AU:AU,'ON Data'!$E:$E,3))</f>
        <v>0</v>
      </c>
      <c r="AR12" s="253">
        <f xml:space="preserve">
IF($A$4&lt;=12,SUMIFS('ON Data'!AV:AV,'ON Data'!$D:$D,$A$4,'ON Data'!$E:$E,3),SUMIFS('ON Data'!AV:AV,'ON Data'!$E:$E,3))</f>
        <v>0</v>
      </c>
      <c r="AS12" s="553">
        <f xml:space="preserve">
IF($A$4&lt;=12,SUMIFS('ON Data'!AW:AW,'ON Data'!$D:$D,$A$4,'ON Data'!$E:$E,3),SUMIFS('ON Data'!AW:AW,'ON Data'!$E:$E,3))</f>
        <v>0</v>
      </c>
      <c r="AT12" s="562"/>
    </row>
    <row r="13" spans="1:46" x14ac:dyDescent="0.3">
      <c r="A13" s="234" t="s">
        <v>183</v>
      </c>
      <c r="B13" s="251">
        <f xml:space="preserve">
IF($A$4&lt;=12,SUMIFS('ON Data'!F:F,'ON Data'!$D:$D,$A$4,'ON Data'!$E:$E,4),SUMIFS('ON Data'!F:F,'ON Data'!$E:$E,4))</f>
        <v>88</v>
      </c>
      <c r="C13" s="252">
        <f xml:space="preserve">
IF($A$4&lt;=12,SUMIFS('ON Data'!G:G,'ON Data'!$D:$D,$A$4,'ON Data'!$E:$E,4),SUMIFS('ON Data'!G:G,'ON Data'!$E:$E,4))</f>
        <v>0</v>
      </c>
      <c r="D13" s="253">
        <f xml:space="preserve">
IF($A$4&lt;=12,SUMIFS('ON Data'!H:H,'ON Data'!$D:$D,$A$4,'ON Data'!$E:$E,4),SUMIFS('ON Data'!H:H,'ON Data'!$E:$E,4))</f>
        <v>0</v>
      </c>
      <c r="E13" s="253"/>
      <c r="F13" s="253">
        <f xml:space="preserve">
IF($A$4&lt;=12,SUMIFS('ON Data'!J:J,'ON Data'!$D:$D,$A$4,'ON Data'!$E:$E,4),SUMIFS('ON Data'!J:J,'ON Data'!$E:$E,4))</f>
        <v>0</v>
      </c>
      <c r="G13" s="253">
        <f xml:space="preserve">
IF($A$4&lt;=12,SUMIFS('ON Data'!K:K,'ON Data'!$D:$D,$A$4,'ON Data'!$E:$E,4),SUMIFS('ON Data'!K:K,'ON Data'!$E:$E,4))</f>
        <v>0</v>
      </c>
      <c r="H13" s="253">
        <f xml:space="preserve">
IF($A$4&lt;=12,SUMIFS('ON Data'!L:L,'ON Data'!$D:$D,$A$4,'ON Data'!$E:$E,4),SUMIFS('ON Data'!L:L,'ON Data'!$E:$E,4))</f>
        <v>4</v>
      </c>
      <c r="I13" s="253">
        <f xml:space="preserve">
IF($A$4&lt;=12,SUMIFS('ON Data'!M:M,'ON Data'!$D:$D,$A$4,'ON Data'!$E:$E,4),SUMIFS('ON Data'!M:M,'ON Data'!$E:$E,4))</f>
        <v>0</v>
      </c>
      <c r="J13" s="253">
        <f xml:space="preserve">
IF($A$4&lt;=12,SUMIFS('ON Data'!N:N,'ON Data'!$D:$D,$A$4,'ON Data'!$E:$E,4),SUMIFS('ON Data'!N:N,'ON Data'!$E:$E,4))</f>
        <v>0</v>
      </c>
      <c r="K13" s="253">
        <f xml:space="preserve">
IF($A$4&lt;=12,SUMIFS('ON Data'!O:O,'ON Data'!$D:$D,$A$4,'ON Data'!$E:$E,4),SUMIFS('ON Data'!O:O,'ON Data'!$E:$E,4))</f>
        <v>0</v>
      </c>
      <c r="L13" s="253">
        <f xml:space="preserve">
IF($A$4&lt;=12,SUMIFS('ON Data'!P:P,'ON Data'!$D:$D,$A$4,'ON Data'!$E:$E,4),SUMIFS('ON Data'!P:P,'ON Data'!$E:$E,4))</f>
        <v>0</v>
      </c>
      <c r="M13" s="253">
        <f xml:space="preserve">
IF($A$4&lt;=12,SUMIFS('ON Data'!Q:Q,'ON Data'!$D:$D,$A$4,'ON Data'!$E:$E,4),SUMIFS('ON Data'!Q:Q,'ON Data'!$E:$E,4))</f>
        <v>0</v>
      </c>
      <c r="N13" s="253">
        <f xml:space="preserve">
IF($A$4&lt;=12,SUMIFS('ON Data'!R:R,'ON Data'!$D:$D,$A$4,'ON Data'!$E:$E,4),SUMIFS('ON Data'!R:R,'ON Data'!$E:$E,4))</f>
        <v>0</v>
      </c>
      <c r="O13" s="253">
        <f xml:space="preserve">
IF($A$4&lt;=12,SUMIFS('ON Data'!S:S,'ON Data'!$D:$D,$A$4,'ON Data'!$E:$E,4),SUMIFS('ON Data'!S:S,'ON Data'!$E:$E,4))</f>
        <v>0</v>
      </c>
      <c r="P13" s="253">
        <f xml:space="preserve">
IF($A$4&lt;=12,SUMIFS('ON Data'!T:T,'ON Data'!$D:$D,$A$4,'ON Data'!$E:$E,4),SUMIFS('ON Data'!T:T,'ON Data'!$E:$E,4))</f>
        <v>0</v>
      </c>
      <c r="Q13" s="253">
        <f xml:space="preserve">
IF($A$4&lt;=12,SUMIFS('ON Data'!U:U,'ON Data'!$D:$D,$A$4,'ON Data'!$E:$E,4),SUMIFS('ON Data'!U:U,'ON Data'!$E:$E,4))</f>
        <v>0</v>
      </c>
      <c r="R13" s="253">
        <f xml:space="preserve">
IF($A$4&lt;=12,SUMIFS('ON Data'!V:V,'ON Data'!$D:$D,$A$4,'ON Data'!$E:$E,4),SUMIFS('ON Data'!V:V,'ON Data'!$E:$E,4))</f>
        <v>0</v>
      </c>
      <c r="S13" s="253">
        <f xml:space="preserve">
IF($A$4&lt;=12,SUMIFS('ON Data'!W:W,'ON Data'!$D:$D,$A$4,'ON Data'!$E:$E,4),SUMIFS('ON Data'!W:W,'ON Data'!$E:$E,4))</f>
        <v>72</v>
      </c>
      <c r="T13" s="253">
        <f xml:space="preserve">
IF($A$4&lt;=12,SUMIFS('ON Data'!X:X,'ON Data'!$D:$D,$A$4,'ON Data'!$E:$E,4),SUMIFS('ON Data'!X:X,'ON Data'!$E:$E,4))</f>
        <v>0</v>
      </c>
      <c r="U13" s="253">
        <f xml:space="preserve">
IF($A$4&lt;=12,SUMIFS('ON Data'!Y:Y,'ON Data'!$D:$D,$A$4,'ON Data'!$E:$E,4),SUMIFS('ON Data'!Y:Y,'ON Data'!$E:$E,4))</f>
        <v>0</v>
      </c>
      <c r="V13" s="253">
        <f xml:space="preserve">
IF($A$4&lt;=12,SUMIFS('ON Data'!Z:Z,'ON Data'!$D:$D,$A$4,'ON Data'!$E:$E,4),SUMIFS('ON Data'!Z:Z,'ON Data'!$E:$E,4))</f>
        <v>0</v>
      </c>
      <c r="W13" s="253">
        <f xml:space="preserve">
IF($A$4&lt;=12,SUMIFS('ON Data'!AA:AA,'ON Data'!$D:$D,$A$4,'ON Data'!$E:$E,4),SUMIFS('ON Data'!AA:AA,'ON Data'!$E:$E,4))</f>
        <v>0</v>
      </c>
      <c r="X13" s="253">
        <f xml:space="preserve">
IF($A$4&lt;=12,SUMIFS('ON Data'!AB:AB,'ON Data'!$D:$D,$A$4,'ON Data'!$E:$E,4),SUMIFS('ON Data'!AB:AB,'ON Data'!$E:$E,4))</f>
        <v>0</v>
      </c>
      <c r="Y13" s="253">
        <f xml:space="preserve">
IF($A$4&lt;=12,SUMIFS('ON Data'!AC:AC,'ON Data'!$D:$D,$A$4,'ON Data'!$E:$E,4),SUMIFS('ON Data'!AC:AC,'ON Data'!$E:$E,4))</f>
        <v>0</v>
      </c>
      <c r="Z13" s="253">
        <f xml:space="preserve">
IF($A$4&lt;=12,SUMIFS('ON Data'!AD:AD,'ON Data'!$D:$D,$A$4,'ON Data'!$E:$E,4),SUMIFS('ON Data'!AD:AD,'ON Data'!$E:$E,4))</f>
        <v>0</v>
      </c>
      <c r="AA13" s="253"/>
      <c r="AB13" s="253">
        <f xml:space="preserve">
IF($A$4&lt;=12,SUMIFS('ON Data'!AF:AF,'ON Data'!$D:$D,$A$4,'ON Data'!$E:$E,4),SUMIFS('ON Data'!AF:AF,'ON Data'!$E:$E,4))</f>
        <v>0</v>
      </c>
      <c r="AC13" s="253">
        <f xml:space="preserve">
IF($A$4&lt;=12,SUMIFS('ON Data'!AG:AG,'ON Data'!$D:$D,$A$4,'ON Data'!$E:$E,4),SUMIFS('ON Data'!AG:AG,'ON Data'!$E:$E,4))</f>
        <v>0</v>
      </c>
      <c r="AD13" s="253">
        <f xml:space="preserve">
IF($A$4&lt;=12,SUMIFS('ON Data'!AH:AH,'ON Data'!$D:$D,$A$4,'ON Data'!$E:$E,4),SUMIFS('ON Data'!AH:AH,'ON Data'!$E:$E,4))</f>
        <v>0</v>
      </c>
      <c r="AE13" s="253">
        <f xml:space="preserve">
IF($A$4&lt;=12,SUMIFS('ON Data'!AI:AI,'ON Data'!$D:$D,$A$4,'ON Data'!$E:$E,4),SUMIFS('ON Data'!AI:AI,'ON Data'!$E:$E,4))</f>
        <v>0</v>
      </c>
      <c r="AF13" s="253">
        <f xml:space="preserve">
IF($A$4&lt;=12,SUMIFS('ON Data'!AJ:AJ,'ON Data'!$D:$D,$A$4,'ON Data'!$E:$E,4),SUMIFS('ON Data'!AJ:AJ,'ON Data'!$E:$E,4))</f>
        <v>0</v>
      </c>
      <c r="AG13" s="253">
        <f xml:space="preserve">
IF($A$4&lt;=12,SUMIFS('ON Data'!AK:AK,'ON Data'!$D:$D,$A$4,'ON Data'!$E:$E,4),SUMIFS('ON Data'!AK:AK,'ON Data'!$E:$E,4))</f>
        <v>0</v>
      </c>
      <c r="AH13" s="253">
        <f xml:space="preserve">
IF($A$4&lt;=12,SUMIFS('ON Data'!AL:AL,'ON Data'!$D:$D,$A$4,'ON Data'!$E:$E,4),SUMIFS('ON Data'!AL:AL,'ON Data'!$E:$E,4))</f>
        <v>12</v>
      </c>
      <c r="AI13" s="253">
        <f xml:space="preserve">
IF($A$4&lt;=12,SUMIFS('ON Data'!AM:AM,'ON Data'!$D:$D,$A$4,'ON Data'!$E:$E,4),SUMIFS('ON Data'!AM:AM,'ON Data'!$E:$E,4))</f>
        <v>0</v>
      </c>
      <c r="AJ13" s="253">
        <f xml:space="preserve">
IF($A$4&lt;=12,SUMIFS('ON Data'!AN:AN,'ON Data'!$D:$D,$A$4,'ON Data'!$E:$E,4),SUMIFS('ON Data'!AN:AN,'ON Data'!$E:$E,4))</f>
        <v>0</v>
      </c>
      <c r="AK13" s="253">
        <f xml:space="preserve">
IF($A$4&lt;=12,SUMIFS('ON Data'!AO:AO,'ON Data'!$D:$D,$A$4,'ON Data'!$E:$E,4),SUMIFS('ON Data'!AO:AO,'ON Data'!$E:$E,4))</f>
        <v>0</v>
      </c>
      <c r="AL13" s="253">
        <f xml:space="preserve">
IF($A$4&lt;=12,SUMIFS('ON Data'!AP:AP,'ON Data'!$D:$D,$A$4,'ON Data'!$E:$E,4),SUMIFS('ON Data'!AP:AP,'ON Data'!$E:$E,4))</f>
        <v>0</v>
      </c>
      <c r="AM13" s="253">
        <f xml:space="preserve">
IF($A$4&lt;=12,SUMIFS('ON Data'!AQ:AQ,'ON Data'!$D:$D,$A$4,'ON Data'!$E:$E,4),SUMIFS('ON Data'!AQ:AQ,'ON Data'!$E:$E,4))</f>
        <v>0</v>
      </c>
      <c r="AN13" s="252">
        <f xml:space="preserve">
IF($A$4&lt;=12,SUMIFS('ON Data'!AR:AR,'ON Data'!$D:$D,$A$4,'ON Data'!$E:$E,4),SUMIFS('ON Data'!AR:AR,'ON Data'!$E:$E,4))</f>
        <v>0</v>
      </c>
      <c r="AO13" s="253">
        <f xml:space="preserve">
IF($A$4&lt;=12,SUMIFS('ON Data'!AS:AS,'ON Data'!$D:$D,$A$4,'ON Data'!$E:$E,4),SUMIFS('ON Data'!AS:AS,'ON Data'!$E:$E,4))</f>
        <v>0</v>
      </c>
      <c r="AP13" s="253">
        <f xml:space="preserve">
IF($A$4&lt;=12,SUMIFS('ON Data'!AT:AT,'ON Data'!$D:$D,$A$4,'ON Data'!$E:$E,4),SUMIFS('ON Data'!AT:AT,'ON Data'!$E:$E,4))</f>
        <v>0</v>
      </c>
      <c r="AQ13" s="253">
        <f xml:space="preserve">
IF($A$4&lt;=12,SUMIFS('ON Data'!AU:AU,'ON Data'!$D:$D,$A$4,'ON Data'!$E:$E,4),SUMIFS('ON Data'!AU:AU,'ON Data'!$E:$E,4))</f>
        <v>0</v>
      </c>
      <c r="AR13" s="253">
        <f xml:space="preserve">
IF($A$4&lt;=12,SUMIFS('ON Data'!AV:AV,'ON Data'!$D:$D,$A$4,'ON Data'!$E:$E,4),SUMIFS('ON Data'!AV:AV,'ON Data'!$E:$E,4))</f>
        <v>0</v>
      </c>
      <c r="AS13" s="553">
        <f xml:space="preserve">
IF($A$4&lt;=12,SUMIFS('ON Data'!AW:AW,'ON Data'!$D:$D,$A$4,'ON Data'!$E:$E,4),SUMIFS('ON Data'!AW:AW,'ON Data'!$E:$E,4))</f>
        <v>0</v>
      </c>
      <c r="AT13" s="562"/>
    </row>
    <row r="14" spans="1:46" ht="15" thickBot="1" x14ac:dyDescent="0.35">
      <c r="A14" s="235" t="s">
        <v>177</v>
      </c>
      <c r="B14" s="255">
        <f xml:space="preserve">
IF($A$4&lt;=12,SUMIFS('ON Data'!F:F,'ON Data'!$D:$D,$A$4,'ON Data'!$E:$E,5),SUMIFS('ON Data'!F:F,'ON Data'!$E:$E,5))</f>
        <v>200</v>
      </c>
      <c r="C14" s="256">
        <f xml:space="preserve">
IF($A$4&lt;=12,SUMIFS('ON Data'!G:G,'ON Data'!$D:$D,$A$4,'ON Data'!$E:$E,5),SUMIFS('ON Data'!G:G,'ON Data'!$E:$E,5))</f>
        <v>200</v>
      </c>
      <c r="D14" s="257">
        <f xml:space="preserve">
IF($A$4&lt;=12,SUMIFS('ON Data'!H:H,'ON Data'!$D:$D,$A$4,'ON Data'!$E:$E,5),SUMIFS('ON Data'!H:H,'ON Data'!$E:$E,5))</f>
        <v>0</v>
      </c>
      <c r="E14" s="257"/>
      <c r="F14" s="257">
        <f xml:space="preserve">
IF($A$4&lt;=12,SUMIFS('ON Data'!J:J,'ON Data'!$D:$D,$A$4,'ON Data'!$E:$E,5),SUMIFS('ON Data'!J:J,'ON Data'!$E:$E,5))</f>
        <v>0</v>
      </c>
      <c r="G14" s="257">
        <f xml:space="preserve">
IF($A$4&lt;=12,SUMIFS('ON Data'!K:K,'ON Data'!$D:$D,$A$4,'ON Data'!$E:$E,5),SUMIFS('ON Data'!K:K,'ON Data'!$E:$E,5))</f>
        <v>0</v>
      </c>
      <c r="H14" s="257">
        <f xml:space="preserve">
IF($A$4&lt;=12,SUMIFS('ON Data'!L:L,'ON Data'!$D:$D,$A$4,'ON Data'!$E:$E,5),SUMIFS('ON Data'!L:L,'ON Data'!$E:$E,5))</f>
        <v>0</v>
      </c>
      <c r="I14" s="257">
        <f xml:space="preserve">
IF($A$4&lt;=12,SUMIFS('ON Data'!M:M,'ON Data'!$D:$D,$A$4,'ON Data'!$E:$E,5),SUMIFS('ON Data'!M:M,'ON Data'!$E:$E,5))</f>
        <v>0</v>
      </c>
      <c r="J14" s="257">
        <f xml:space="preserve">
IF($A$4&lt;=12,SUMIFS('ON Data'!N:N,'ON Data'!$D:$D,$A$4,'ON Data'!$E:$E,5),SUMIFS('ON Data'!N:N,'ON Data'!$E:$E,5))</f>
        <v>0</v>
      </c>
      <c r="K14" s="257">
        <f xml:space="preserve">
IF($A$4&lt;=12,SUMIFS('ON Data'!O:O,'ON Data'!$D:$D,$A$4,'ON Data'!$E:$E,5),SUMIFS('ON Data'!O:O,'ON Data'!$E:$E,5))</f>
        <v>0</v>
      </c>
      <c r="L14" s="257">
        <f xml:space="preserve">
IF($A$4&lt;=12,SUMIFS('ON Data'!P:P,'ON Data'!$D:$D,$A$4,'ON Data'!$E:$E,5),SUMIFS('ON Data'!P:P,'ON Data'!$E:$E,5))</f>
        <v>0</v>
      </c>
      <c r="M14" s="257">
        <f xml:space="preserve">
IF($A$4&lt;=12,SUMIFS('ON Data'!Q:Q,'ON Data'!$D:$D,$A$4,'ON Data'!$E:$E,5),SUMIFS('ON Data'!Q:Q,'ON Data'!$E:$E,5))</f>
        <v>0</v>
      </c>
      <c r="N14" s="257">
        <f xml:space="preserve">
IF($A$4&lt;=12,SUMIFS('ON Data'!R:R,'ON Data'!$D:$D,$A$4,'ON Data'!$E:$E,5),SUMIFS('ON Data'!R:R,'ON Data'!$E:$E,5))</f>
        <v>0</v>
      </c>
      <c r="O14" s="257">
        <f xml:space="preserve">
IF($A$4&lt;=12,SUMIFS('ON Data'!S:S,'ON Data'!$D:$D,$A$4,'ON Data'!$E:$E,5),SUMIFS('ON Data'!S:S,'ON Data'!$E:$E,5))</f>
        <v>0</v>
      </c>
      <c r="P14" s="257">
        <f xml:space="preserve">
IF($A$4&lt;=12,SUMIFS('ON Data'!T:T,'ON Data'!$D:$D,$A$4,'ON Data'!$E:$E,5),SUMIFS('ON Data'!T:T,'ON Data'!$E:$E,5))</f>
        <v>0</v>
      </c>
      <c r="Q14" s="257">
        <f xml:space="preserve">
IF($A$4&lt;=12,SUMIFS('ON Data'!U:U,'ON Data'!$D:$D,$A$4,'ON Data'!$E:$E,5),SUMIFS('ON Data'!U:U,'ON Data'!$E:$E,5))</f>
        <v>0</v>
      </c>
      <c r="R14" s="257">
        <f xml:space="preserve">
IF($A$4&lt;=12,SUMIFS('ON Data'!V:V,'ON Data'!$D:$D,$A$4,'ON Data'!$E:$E,5),SUMIFS('ON Data'!V:V,'ON Data'!$E:$E,5))</f>
        <v>0</v>
      </c>
      <c r="S14" s="257">
        <f xml:space="preserve">
IF($A$4&lt;=12,SUMIFS('ON Data'!W:W,'ON Data'!$D:$D,$A$4,'ON Data'!$E:$E,5),SUMIFS('ON Data'!W:W,'ON Data'!$E:$E,5))</f>
        <v>0</v>
      </c>
      <c r="T14" s="257">
        <f xml:space="preserve">
IF($A$4&lt;=12,SUMIFS('ON Data'!X:X,'ON Data'!$D:$D,$A$4,'ON Data'!$E:$E,5),SUMIFS('ON Data'!X:X,'ON Data'!$E:$E,5))</f>
        <v>0</v>
      </c>
      <c r="U14" s="257">
        <f xml:space="preserve">
IF($A$4&lt;=12,SUMIFS('ON Data'!Y:Y,'ON Data'!$D:$D,$A$4,'ON Data'!$E:$E,5),SUMIFS('ON Data'!Y:Y,'ON Data'!$E:$E,5))</f>
        <v>0</v>
      </c>
      <c r="V14" s="257">
        <f xml:space="preserve">
IF($A$4&lt;=12,SUMIFS('ON Data'!Z:Z,'ON Data'!$D:$D,$A$4,'ON Data'!$E:$E,5),SUMIFS('ON Data'!Z:Z,'ON Data'!$E:$E,5))</f>
        <v>0</v>
      </c>
      <c r="W14" s="257">
        <f xml:space="preserve">
IF($A$4&lt;=12,SUMIFS('ON Data'!AA:AA,'ON Data'!$D:$D,$A$4,'ON Data'!$E:$E,5),SUMIFS('ON Data'!AA:AA,'ON Data'!$E:$E,5))</f>
        <v>0</v>
      </c>
      <c r="X14" s="257">
        <f xml:space="preserve">
IF($A$4&lt;=12,SUMIFS('ON Data'!AB:AB,'ON Data'!$D:$D,$A$4,'ON Data'!$E:$E,5),SUMIFS('ON Data'!AB:AB,'ON Data'!$E:$E,5))</f>
        <v>0</v>
      </c>
      <c r="Y14" s="257">
        <f xml:space="preserve">
IF($A$4&lt;=12,SUMIFS('ON Data'!AC:AC,'ON Data'!$D:$D,$A$4,'ON Data'!$E:$E,5),SUMIFS('ON Data'!AC:AC,'ON Data'!$E:$E,5))</f>
        <v>0</v>
      </c>
      <c r="Z14" s="257">
        <f xml:space="preserve">
IF($A$4&lt;=12,SUMIFS('ON Data'!AD:AD,'ON Data'!$D:$D,$A$4,'ON Data'!$E:$E,5),SUMIFS('ON Data'!AD:AD,'ON Data'!$E:$E,5))</f>
        <v>0</v>
      </c>
      <c r="AA14" s="257"/>
      <c r="AB14" s="257">
        <f xml:space="preserve">
IF($A$4&lt;=12,SUMIFS('ON Data'!AF:AF,'ON Data'!$D:$D,$A$4,'ON Data'!$E:$E,5),SUMIFS('ON Data'!AF:AF,'ON Data'!$E:$E,5))</f>
        <v>0</v>
      </c>
      <c r="AC14" s="257">
        <f xml:space="preserve">
IF($A$4&lt;=12,SUMIFS('ON Data'!AG:AG,'ON Data'!$D:$D,$A$4,'ON Data'!$E:$E,5),SUMIFS('ON Data'!AG:AG,'ON Data'!$E:$E,5))</f>
        <v>0</v>
      </c>
      <c r="AD14" s="257">
        <f xml:space="preserve">
IF($A$4&lt;=12,SUMIFS('ON Data'!AH:AH,'ON Data'!$D:$D,$A$4,'ON Data'!$E:$E,5),SUMIFS('ON Data'!AH:AH,'ON Data'!$E:$E,5))</f>
        <v>0</v>
      </c>
      <c r="AE14" s="257">
        <f xml:space="preserve">
IF($A$4&lt;=12,SUMIFS('ON Data'!AI:AI,'ON Data'!$D:$D,$A$4,'ON Data'!$E:$E,5),SUMIFS('ON Data'!AI:AI,'ON Data'!$E:$E,5))</f>
        <v>0</v>
      </c>
      <c r="AF14" s="257">
        <f xml:space="preserve">
IF($A$4&lt;=12,SUMIFS('ON Data'!AJ:AJ,'ON Data'!$D:$D,$A$4,'ON Data'!$E:$E,5),SUMIFS('ON Data'!AJ:AJ,'ON Data'!$E:$E,5))</f>
        <v>0</v>
      </c>
      <c r="AG14" s="257">
        <f xml:space="preserve">
IF($A$4&lt;=12,SUMIFS('ON Data'!AK:AK,'ON Data'!$D:$D,$A$4,'ON Data'!$E:$E,5),SUMIFS('ON Data'!AK:AK,'ON Data'!$E:$E,5))</f>
        <v>0</v>
      </c>
      <c r="AH14" s="257">
        <f xml:space="preserve">
IF($A$4&lt;=12,SUMIFS('ON Data'!AL:AL,'ON Data'!$D:$D,$A$4,'ON Data'!$E:$E,5),SUMIFS('ON Data'!AL:AL,'ON Data'!$E:$E,5))</f>
        <v>0</v>
      </c>
      <c r="AI14" s="257">
        <f xml:space="preserve">
IF($A$4&lt;=12,SUMIFS('ON Data'!AM:AM,'ON Data'!$D:$D,$A$4,'ON Data'!$E:$E,5),SUMIFS('ON Data'!AM:AM,'ON Data'!$E:$E,5))</f>
        <v>0</v>
      </c>
      <c r="AJ14" s="257">
        <f xml:space="preserve">
IF($A$4&lt;=12,SUMIFS('ON Data'!AN:AN,'ON Data'!$D:$D,$A$4,'ON Data'!$E:$E,5),SUMIFS('ON Data'!AN:AN,'ON Data'!$E:$E,5))</f>
        <v>0</v>
      </c>
      <c r="AK14" s="257">
        <f xml:space="preserve">
IF($A$4&lt;=12,SUMIFS('ON Data'!AO:AO,'ON Data'!$D:$D,$A$4,'ON Data'!$E:$E,5),SUMIFS('ON Data'!AO:AO,'ON Data'!$E:$E,5))</f>
        <v>0</v>
      </c>
      <c r="AL14" s="257">
        <f xml:space="preserve">
IF($A$4&lt;=12,SUMIFS('ON Data'!AP:AP,'ON Data'!$D:$D,$A$4,'ON Data'!$E:$E,5),SUMIFS('ON Data'!AP:AP,'ON Data'!$E:$E,5))</f>
        <v>0</v>
      </c>
      <c r="AM14" s="257">
        <f xml:space="preserve">
IF($A$4&lt;=12,SUMIFS('ON Data'!AQ:AQ,'ON Data'!$D:$D,$A$4,'ON Data'!$E:$E,5),SUMIFS('ON Data'!AQ:AQ,'ON Data'!$E:$E,5))</f>
        <v>0</v>
      </c>
      <c r="AN14" s="256">
        <f xml:space="preserve">
IF($A$4&lt;=12,SUMIFS('ON Data'!AR:AR,'ON Data'!$D:$D,$A$4,'ON Data'!$E:$E,5),SUMIFS('ON Data'!AR:AR,'ON Data'!$E:$E,5))</f>
        <v>0</v>
      </c>
      <c r="AO14" s="257">
        <f xml:space="preserve">
IF($A$4&lt;=12,SUMIFS('ON Data'!AS:AS,'ON Data'!$D:$D,$A$4,'ON Data'!$E:$E,5),SUMIFS('ON Data'!AS:AS,'ON Data'!$E:$E,5))</f>
        <v>0</v>
      </c>
      <c r="AP14" s="257">
        <f xml:space="preserve">
IF($A$4&lt;=12,SUMIFS('ON Data'!AT:AT,'ON Data'!$D:$D,$A$4,'ON Data'!$E:$E,5),SUMIFS('ON Data'!AT:AT,'ON Data'!$E:$E,5))</f>
        <v>0</v>
      </c>
      <c r="AQ14" s="257">
        <f xml:space="preserve">
IF($A$4&lt;=12,SUMIFS('ON Data'!AU:AU,'ON Data'!$D:$D,$A$4,'ON Data'!$E:$E,5),SUMIFS('ON Data'!AU:AU,'ON Data'!$E:$E,5))</f>
        <v>0</v>
      </c>
      <c r="AR14" s="257">
        <f xml:space="preserve">
IF($A$4&lt;=12,SUMIFS('ON Data'!AV:AV,'ON Data'!$D:$D,$A$4,'ON Data'!$E:$E,5),SUMIFS('ON Data'!AV:AV,'ON Data'!$E:$E,5))</f>
        <v>0</v>
      </c>
      <c r="AS14" s="554">
        <f xml:space="preserve">
IF($A$4&lt;=12,SUMIFS('ON Data'!AW:AW,'ON Data'!$D:$D,$A$4,'ON Data'!$E:$E,5),SUMIFS('ON Data'!AW:AW,'ON Data'!$E:$E,5))</f>
        <v>0</v>
      </c>
      <c r="AT14" s="562"/>
    </row>
    <row r="15" spans="1:46" x14ac:dyDescent="0.3">
      <c r="A15" s="151" t="s">
        <v>187</v>
      </c>
      <c r="B15" s="259"/>
      <c r="C15" s="260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315"/>
      <c r="AO15" s="261"/>
      <c r="AP15" s="261"/>
      <c r="AQ15" s="261"/>
      <c r="AR15" s="261"/>
      <c r="AS15" s="555"/>
      <c r="AT15" s="562"/>
    </row>
    <row r="16" spans="1:46" x14ac:dyDescent="0.3">
      <c r="A16" s="236" t="s">
        <v>178</v>
      </c>
      <c r="B16" s="251">
        <f xml:space="preserve">
IF($A$4&lt;=12,SUMIFS('ON Data'!F:F,'ON Data'!$D:$D,$A$4,'ON Data'!$E:$E,7),SUMIFS('ON Data'!F:F,'ON Data'!$E:$E,7))</f>
        <v>0</v>
      </c>
      <c r="C16" s="252">
        <f xml:space="preserve">
IF($A$4&lt;=12,SUMIFS('ON Data'!G:G,'ON Data'!$D:$D,$A$4,'ON Data'!$E:$E,7),SUMIFS('ON Data'!G:G,'ON Data'!$E:$E,7))</f>
        <v>0</v>
      </c>
      <c r="D16" s="253">
        <f xml:space="preserve">
IF($A$4&lt;=12,SUMIFS('ON Data'!H:H,'ON Data'!$D:$D,$A$4,'ON Data'!$E:$E,7),SUMIFS('ON Data'!H:H,'ON Data'!$E:$E,7))</f>
        <v>0</v>
      </c>
      <c r="E16" s="253"/>
      <c r="F16" s="253">
        <f xml:space="preserve">
IF($A$4&lt;=12,SUMIFS('ON Data'!J:J,'ON Data'!$D:$D,$A$4,'ON Data'!$E:$E,7),SUMIFS('ON Data'!J:J,'ON Data'!$E:$E,7))</f>
        <v>0</v>
      </c>
      <c r="G16" s="253">
        <f xml:space="preserve">
IF($A$4&lt;=12,SUMIFS('ON Data'!K:K,'ON Data'!$D:$D,$A$4,'ON Data'!$E:$E,7),SUMIFS('ON Data'!K:K,'ON Data'!$E:$E,7))</f>
        <v>0</v>
      </c>
      <c r="H16" s="253">
        <f xml:space="preserve">
IF($A$4&lt;=12,SUMIFS('ON Data'!L:L,'ON Data'!$D:$D,$A$4,'ON Data'!$E:$E,7),SUMIFS('ON Data'!L:L,'ON Data'!$E:$E,7))</f>
        <v>0</v>
      </c>
      <c r="I16" s="253">
        <f xml:space="preserve">
IF($A$4&lt;=12,SUMIFS('ON Data'!M:M,'ON Data'!$D:$D,$A$4,'ON Data'!$E:$E,7),SUMIFS('ON Data'!M:M,'ON Data'!$E:$E,7))</f>
        <v>0</v>
      </c>
      <c r="J16" s="253">
        <f xml:space="preserve">
IF($A$4&lt;=12,SUMIFS('ON Data'!N:N,'ON Data'!$D:$D,$A$4,'ON Data'!$E:$E,7),SUMIFS('ON Data'!N:N,'ON Data'!$E:$E,7))</f>
        <v>0</v>
      </c>
      <c r="K16" s="253">
        <f xml:space="preserve">
IF($A$4&lt;=12,SUMIFS('ON Data'!O:O,'ON Data'!$D:$D,$A$4,'ON Data'!$E:$E,7),SUMIFS('ON Data'!O:O,'ON Data'!$E:$E,7))</f>
        <v>0</v>
      </c>
      <c r="L16" s="253">
        <f xml:space="preserve">
IF($A$4&lt;=12,SUMIFS('ON Data'!P:P,'ON Data'!$D:$D,$A$4,'ON Data'!$E:$E,7),SUMIFS('ON Data'!P:P,'ON Data'!$E:$E,7))</f>
        <v>0</v>
      </c>
      <c r="M16" s="253">
        <f xml:space="preserve">
IF($A$4&lt;=12,SUMIFS('ON Data'!Q:Q,'ON Data'!$D:$D,$A$4,'ON Data'!$E:$E,7),SUMIFS('ON Data'!Q:Q,'ON Data'!$E:$E,7))</f>
        <v>0</v>
      </c>
      <c r="N16" s="253">
        <f xml:space="preserve">
IF($A$4&lt;=12,SUMIFS('ON Data'!R:R,'ON Data'!$D:$D,$A$4,'ON Data'!$E:$E,7),SUMIFS('ON Data'!R:R,'ON Data'!$E:$E,7))</f>
        <v>0</v>
      </c>
      <c r="O16" s="253">
        <f xml:space="preserve">
IF($A$4&lt;=12,SUMIFS('ON Data'!S:S,'ON Data'!$D:$D,$A$4,'ON Data'!$E:$E,7),SUMIFS('ON Data'!S:S,'ON Data'!$E:$E,7))</f>
        <v>0</v>
      </c>
      <c r="P16" s="253">
        <f xml:space="preserve">
IF($A$4&lt;=12,SUMIFS('ON Data'!T:T,'ON Data'!$D:$D,$A$4,'ON Data'!$E:$E,7),SUMIFS('ON Data'!T:T,'ON Data'!$E:$E,7))</f>
        <v>0</v>
      </c>
      <c r="Q16" s="253">
        <f xml:space="preserve">
IF($A$4&lt;=12,SUMIFS('ON Data'!U:U,'ON Data'!$D:$D,$A$4,'ON Data'!$E:$E,7),SUMIFS('ON Data'!U:U,'ON Data'!$E:$E,7))</f>
        <v>0</v>
      </c>
      <c r="R16" s="253">
        <f xml:space="preserve">
IF($A$4&lt;=12,SUMIFS('ON Data'!V:V,'ON Data'!$D:$D,$A$4,'ON Data'!$E:$E,7),SUMIFS('ON Data'!V:V,'ON Data'!$E:$E,7))</f>
        <v>0</v>
      </c>
      <c r="S16" s="253">
        <f xml:space="preserve">
IF($A$4&lt;=12,SUMIFS('ON Data'!W:W,'ON Data'!$D:$D,$A$4,'ON Data'!$E:$E,7),SUMIFS('ON Data'!W:W,'ON Data'!$E:$E,7))</f>
        <v>0</v>
      </c>
      <c r="T16" s="253">
        <f xml:space="preserve">
IF($A$4&lt;=12,SUMIFS('ON Data'!X:X,'ON Data'!$D:$D,$A$4,'ON Data'!$E:$E,7),SUMIFS('ON Data'!X:X,'ON Data'!$E:$E,7))</f>
        <v>0</v>
      </c>
      <c r="U16" s="253">
        <f xml:space="preserve">
IF($A$4&lt;=12,SUMIFS('ON Data'!Y:Y,'ON Data'!$D:$D,$A$4,'ON Data'!$E:$E,7),SUMIFS('ON Data'!Y:Y,'ON Data'!$E:$E,7))</f>
        <v>0</v>
      </c>
      <c r="V16" s="253">
        <f xml:space="preserve">
IF($A$4&lt;=12,SUMIFS('ON Data'!Z:Z,'ON Data'!$D:$D,$A$4,'ON Data'!$E:$E,7),SUMIFS('ON Data'!Z:Z,'ON Data'!$E:$E,7))</f>
        <v>0</v>
      </c>
      <c r="W16" s="253">
        <f xml:space="preserve">
IF($A$4&lt;=12,SUMIFS('ON Data'!AA:AA,'ON Data'!$D:$D,$A$4,'ON Data'!$E:$E,7),SUMIFS('ON Data'!AA:AA,'ON Data'!$E:$E,7))</f>
        <v>0</v>
      </c>
      <c r="X16" s="253">
        <f xml:space="preserve">
IF($A$4&lt;=12,SUMIFS('ON Data'!AB:AB,'ON Data'!$D:$D,$A$4,'ON Data'!$E:$E,7),SUMIFS('ON Data'!AB:AB,'ON Data'!$E:$E,7))</f>
        <v>0</v>
      </c>
      <c r="Y16" s="253">
        <f xml:space="preserve">
IF($A$4&lt;=12,SUMIFS('ON Data'!AC:AC,'ON Data'!$D:$D,$A$4,'ON Data'!$E:$E,7),SUMIFS('ON Data'!AC:AC,'ON Data'!$E:$E,7))</f>
        <v>0</v>
      </c>
      <c r="Z16" s="253">
        <f xml:space="preserve">
IF($A$4&lt;=12,SUMIFS('ON Data'!AD:AD,'ON Data'!$D:$D,$A$4,'ON Data'!$E:$E,7),SUMIFS('ON Data'!AD:AD,'ON Data'!$E:$E,7))</f>
        <v>0</v>
      </c>
      <c r="AA16" s="253"/>
      <c r="AB16" s="253">
        <f xml:space="preserve">
IF($A$4&lt;=12,SUMIFS('ON Data'!AF:AF,'ON Data'!$D:$D,$A$4,'ON Data'!$E:$E,7),SUMIFS('ON Data'!AF:AF,'ON Data'!$E:$E,7))</f>
        <v>0</v>
      </c>
      <c r="AC16" s="253">
        <f xml:space="preserve">
IF($A$4&lt;=12,SUMIFS('ON Data'!AG:AG,'ON Data'!$D:$D,$A$4,'ON Data'!$E:$E,7),SUMIFS('ON Data'!AG:AG,'ON Data'!$E:$E,7))</f>
        <v>0</v>
      </c>
      <c r="AD16" s="253">
        <f xml:space="preserve">
IF($A$4&lt;=12,SUMIFS('ON Data'!AH:AH,'ON Data'!$D:$D,$A$4,'ON Data'!$E:$E,7),SUMIFS('ON Data'!AH:AH,'ON Data'!$E:$E,7))</f>
        <v>0</v>
      </c>
      <c r="AE16" s="253">
        <f xml:space="preserve">
IF($A$4&lt;=12,SUMIFS('ON Data'!AI:AI,'ON Data'!$D:$D,$A$4,'ON Data'!$E:$E,7),SUMIFS('ON Data'!AI:AI,'ON Data'!$E:$E,7))</f>
        <v>0</v>
      </c>
      <c r="AF16" s="253">
        <f xml:space="preserve">
IF($A$4&lt;=12,SUMIFS('ON Data'!AJ:AJ,'ON Data'!$D:$D,$A$4,'ON Data'!$E:$E,7),SUMIFS('ON Data'!AJ:AJ,'ON Data'!$E:$E,7))</f>
        <v>0</v>
      </c>
      <c r="AG16" s="253">
        <f xml:space="preserve">
IF($A$4&lt;=12,SUMIFS('ON Data'!AK:AK,'ON Data'!$D:$D,$A$4,'ON Data'!$E:$E,7),SUMIFS('ON Data'!AK:AK,'ON Data'!$E:$E,7))</f>
        <v>0</v>
      </c>
      <c r="AH16" s="253">
        <f xml:space="preserve">
IF($A$4&lt;=12,SUMIFS('ON Data'!AL:AL,'ON Data'!$D:$D,$A$4,'ON Data'!$E:$E,7),SUMIFS('ON Data'!AL:AL,'ON Data'!$E:$E,7))</f>
        <v>0</v>
      </c>
      <c r="AI16" s="253">
        <f xml:space="preserve">
IF($A$4&lt;=12,SUMIFS('ON Data'!AM:AM,'ON Data'!$D:$D,$A$4,'ON Data'!$E:$E,7),SUMIFS('ON Data'!AM:AM,'ON Data'!$E:$E,7))</f>
        <v>0</v>
      </c>
      <c r="AJ16" s="253">
        <f xml:space="preserve">
IF($A$4&lt;=12,SUMIFS('ON Data'!AN:AN,'ON Data'!$D:$D,$A$4,'ON Data'!$E:$E,7),SUMIFS('ON Data'!AN:AN,'ON Data'!$E:$E,7))</f>
        <v>0</v>
      </c>
      <c r="AK16" s="253">
        <f xml:space="preserve">
IF($A$4&lt;=12,SUMIFS('ON Data'!AO:AO,'ON Data'!$D:$D,$A$4,'ON Data'!$E:$E,7),SUMIFS('ON Data'!AO:AO,'ON Data'!$E:$E,7))</f>
        <v>0</v>
      </c>
      <c r="AL16" s="253">
        <f xml:space="preserve">
IF($A$4&lt;=12,SUMIFS('ON Data'!AP:AP,'ON Data'!$D:$D,$A$4,'ON Data'!$E:$E,7),SUMIFS('ON Data'!AP:AP,'ON Data'!$E:$E,7))</f>
        <v>0</v>
      </c>
      <c r="AM16" s="253">
        <f xml:space="preserve">
IF($A$4&lt;=12,SUMIFS('ON Data'!AQ:AQ,'ON Data'!$D:$D,$A$4,'ON Data'!$E:$E,7),SUMIFS('ON Data'!AQ:AQ,'ON Data'!$E:$E,7))</f>
        <v>0</v>
      </c>
      <c r="AN16" s="252">
        <f xml:space="preserve">
IF($A$4&lt;=12,SUMIFS('ON Data'!AR:AR,'ON Data'!$D:$D,$A$4,'ON Data'!$E:$E,7),SUMIFS('ON Data'!AR:AR,'ON Data'!$E:$E,7))</f>
        <v>0</v>
      </c>
      <c r="AO16" s="253">
        <f xml:space="preserve">
IF($A$4&lt;=12,SUMIFS('ON Data'!AS:AS,'ON Data'!$D:$D,$A$4,'ON Data'!$E:$E,7),SUMIFS('ON Data'!AS:AS,'ON Data'!$E:$E,7))</f>
        <v>0</v>
      </c>
      <c r="AP16" s="253">
        <f xml:space="preserve">
IF($A$4&lt;=12,SUMIFS('ON Data'!AT:AT,'ON Data'!$D:$D,$A$4,'ON Data'!$E:$E,7),SUMIFS('ON Data'!AT:AT,'ON Data'!$E:$E,7))</f>
        <v>0</v>
      </c>
      <c r="AQ16" s="253">
        <f xml:space="preserve">
IF($A$4&lt;=12,SUMIFS('ON Data'!AU:AU,'ON Data'!$D:$D,$A$4,'ON Data'!$E:$E,7),SUMIFS('ON Data'!AU:AU,'ON Data'!$E:$E,7))</f>
        <v>0</v>
      </c>
      <c r="AR16" s="253">
        <f xml:space="preserve">
IF($A$4&lt;=12,SUMIFS('ON Data'!AV:AV,'ON Data'!$D:$D,$A$4,'ON Data'!$E:$E,7),SUMIFS('ON Data'!AV:AV,'ON Data'!$E:$E,7))</f>
        <v>0</v>
      </c>
      <c r="AS16" s="553">
        <f xml:space="preserve">
IF($A$4&lt;=12,SUMIFS('ON Data'!AW:AW,'ON Data'!$D:$D,$A$4,'ON Data'!$E:$E,7),SUMIFS('ON Data'!AW:AW,'ON Data'!$E:$E,7))</f>
        <v>0</v>
      </c>
      <c r="AT16" s="562"/>
    </row>
    <row r="17" spans="1:46" x14ac:dyDescent="0.3">
      <c r="A17" s="236" t="s">
        <v>179</v>
      </c>
      <c r="B17" s="251">
        <f xml:space="preserve">
IF($A$4&lt;=12,SUMIFS('ON Data'!F:F,'ON Data'!$D:$D,$A$4,'ON Data'!$E:$E,8),SUMIFS('ON Data'!F:F,'ON Data'!$E:$E,8))</f>
        <v>0</v>
      </c>
      <c r="C17" s="252">
        <f xml:space="preserve">
IF($A$4&lt;=12,SUMIFS('ON Data'!G:G,'ON Data'!$D:$D,$A$4,'ON Data'!$E:$E,8),SUMIFS('ON Data'!G:G,'ON Data'!$E:$E,8))</f>
        <v>0</v>
      </c>
      <c r="D17" s="253">
        <f xml:space="preserve">
IF($A$4&lt;=12,SUMIFS('ON Data'!H:H,'ON Data'!$D:$D,$A$4,'ON Data'!$E:$E,8),SUMIFS('ON Data'!H:H,'ON Data'!$E:$E,8))</f>
        <v>0</v>
      </c>
      <c r="E17" s="253"/>
      <c r="F17" s="253">
        <f xml:space="preserve">
IF($A$4&lt;=12,SUMIFS('ON Data'!J:J,'ON Data'!$D:$D,$A$4,'ON Data'!$E:$E,8),SUMIFS('ON Data'!J:J,'ON Data'!$E:$E,8))</f>
        <v>0</v>
      </c>
      <c r="G17" s="253">
        <f xml:space="preserve">
IF($A$4&lt;=12,SUMIFS('ON Data'!K:K,'ON Data'!$D:$D,$A$4,'ON Data'!$E:$E,8),SUMIFS('ON Data'!K:K,'ON Data'!$E:$E,8))</f>
        <v>0</v>
      </c>
      <c r="H17" s="253">
        <f xml:space="preserve">
IF($A$4&lt;=12,SUMIFS('ON Data'!L:L,'ON Data'!$D:$D,$A$4,'ON Data'!$E:$E,8),SUMIFS('ON Data'!L:L,'ON Data'!$E:$E,8))</f>
        <v>0</v>
      </c>
      <c r="I17" s="253">
        <f xml:space="preserve">
IF($A$4&lt;=12,SUMIFS('ON Data'!M:M,'ON Data'!$D:$D,$A$4,'ON Data'!$E:$E,8),SUMIFS('ON Data'!M:M,'ON Data'!$E:$E,8))</f>
        <v>0</v>
      </c>
      <c r="J17" s="253">
        <f xml:space="preserve">
IF($A$4&lt;=12,SUMIFS('ON Data'!N:N,'ON Data'!$D:$D,$A$4,'ON Data'!$E:$E,8),SUMIFS('ON Data'!N:N,'ON Data'!$E:$E,8))</f>
        <v>0</v>
      </c>
      <c r="K17" s="253">
        <f xml:space="preserve">
IF($A$4&lt;=12,SUMIFS('ON Data'!O:O,'ON Data'!$D:$D,$A$4,'ON Data'!$E:$E,8),SUMIFS('ON Data'!O:O,'ON Data'!$E:$E,8))</f>
        <v>0</v>
      </c>
      <c r="L17" s="253">
        <f xml:space="preserve">
IF($A$4&lt;=12,SUMIFS('ON Data'!P:P,'ON Data'!$D:$D,$A$4,'ON Data'!$E:$E,8),SUMIFS('ON Data'!P:P,'ON Data'!$E:$E,8))</f>
        <v>0</v>
      </c>
      <c r="M17" s="253">
        <f xml:space="preserve">
IF($A$4&lt;=12,SUMIFS('ON Data'!Q:Q,'ON Data'!$D:$D,$A$4,'ON Data'!$E:$E,8),SUMIFS('ON Data'!Q:Q,'ON Data'!$E:$E,8))</f>
        <v>0</v>
      </c>
      <c r="N17" s="253">
        <f xml:space="preserve">
IF($A$4&lt;=12,SUMIFS('ON Data'!R:R,'ON Data'!$D:$D,$A$4,'ON Data'!$E:$E,8),SUMIFS('ON Data'!R:R,'ON Data'!$E:$E,8))</f>
        <v>0</v>
      </c>
      <c r="O17" s="253">
        <f xml:space="preserve">
IF($A$4&lt;=12,SUMIFS('ON Data'!S:S,'ON Data'!$D:$D,$A$4,'ON Data'!$E:$E,8),SUMIFS('ON Data'!S:S,'ON Data'!$E:$E,8))</f>
        <v>0</v>
      </c>
      <c r="P17" s="253">
        <f xml:space="preserve">
IF($A$4&lt;=12,SUMIFS('ON Data'!T:T,'ON Data'!$D:$D,$A$4,'ON Data'!$E:$E,8),SUMIFS('ON Data'!T:T,'ON Data'!$E:$E,8))</f>
        <v>0</v>
      </c>
      <c r="Q17" s="253">
        <f xml:space="preserve">
IF($A$4&lt;=12,SUMIFS('ON Data'!U:U,'ON Data'!$D:$D,$A$4,'ON Data'!$E:$E,8),SUMIFS('ON Data'!U:U,'ON Data'!$E:$E,8))</f>
        <v>0</v>
      </c>
      <c r="R17" s="253">
        <f xml:space="preserve">
IF($A$4&lt;=12,SUMIFS('ON Data'!V:V,'ON Data'!$D:$D,$A$4,'ON Data'!$E:$E,8),SUMIFS('ON Data'!V:V,'ON Data'!$E:$E,8))</f>
        <v>0</v>
      </c>
      <c r="S17" s="253">
        <f xml:space="preserve">
IF($A$4&lt;=12,SUMIFS('ON Data'!W:W,'ON Data'!$D:$D,$A$4,'ON Data'!$E:$E,8),SUMIFS('ON Data'!W:W,'ON Data'!$E:$E,8))</f>
        <v>0</v>
      </c>
      <c r="T17" s="253">
        <f xml:space="preserve">
IF($A$4&lt;=12,SUMIFS('ON Data'!X:X,'ON Data'!$D:$D,$A$4,'ON Data'!$E:$E,8),SUMIFS('ON Data'!X:X,'ON Data'!$E:$E,8))</f>
        <v>0</v>
      </c>
      <c r="U17" s="253">
        <f xml:space="preserve">
IF($A$4&lt;=12,SUMIFS('ON Data'!Y:Y,'ON Data'!$D:$D,$A$4,'ON Data'!$E:$E,8),SUMIFS('ON Data'!Y:Y,'ON Data'!$E:$E,8))</f>
        <v>0</v>
      </c>
      <c r="V17" s="253">
        <f xml:space="preserve">
IF($A$4&lt;=12,SUMIFS('ON Data'!Z:Z,'ON Data'!$D:$D,$A$4,'ON Data'!$E:$E,8),SUMIFS('ON Data'!Z:Z,'ON Data'!$E:$E,8))</f>
        <v>0</v>
      </c>
      <c r="W17" s="253">
        <f xml:space="preserve">
IF($A$4&lt;=12,SUMIFS('ON Data'!AA:AA,'ON Data'!$D:$D,$A$4,'ON Data'!$E:$E,8),SUMIFS('ON Data'!AA:AA,'ON Data'!$E:$E,8))</f>
        <v>0</v>
      </c>
      <c r="X17" s="253">
        <f xml:space="preserve">
IF($A$4&lt;=12,SUMIFS('ON Data'!AB:AB,'ON Data'!$D:$D,$A$4,'ON Data'!$E:$E,8),SUMIFS('ON Data'!AB:AB,'ON Data'!$E:$E,8))</f>
        <v>0</v>
      </c>
      <c r="Y17" s="253">
        <f xml:space="preserve">
IF($A$4&lt;=12,SUMIFS('ON Data'!AC:AC,'ON Data'!$D:$D,$A$4,'ON Data'!$E:$E,8),SUMIFS('ON Data'!AC:AC,'ON Data'!$E:$E,8))</f>
        <v>0</v>
      </c>
      <c r="Z17" s="253">
        <f xml:space="preserve">
IF($A$4&lt;=12,SUMIFS('ON Data'!AD:AD,'ON Data'!$D:$D,$A$4,'ON Data'!$E:$E,8),SUMIFS('ON Data'!AD:AD,'ON Data'!$E:$E,8))</f>
        <v>0</v>
      </c>
      <c r="AA17" s="253"/>
      <c r="AB17" s="253">
        <f xml:space="preserve">
IF($A$4&lt;=12,SUMIFS('ON Data'!AF:AF,'ON Data'!$D:$D,$A$4,'ON Data'!$E:$E,8),SUMIFS('ON Data'!AF:AF,'ON Data'!$E:$E,8))</f>
        <v>0</v>
      </c>
      <c r="AC17" s="253">
        <f xml:space="preserve">
IF($A$4&lt;=12,SUMIFS('ON Data'!AG:AG,'ON Data'!$D:$D,$A$4,'ON Data'!$E:$E,8),SUMIFS('ON Data'!AG:AG,'ON Data'!$E:$E,8))</f>
        <v>0</v>
      </c>
      <c r="AD17" s="253">
        <f xml:space="preserve">
IF($A$4&lt;=12,SUMIFS('ON Data'!AH:AH,'ON Data'!$D:$D,$A$4,'ON Data'!$E:$E,8),SUMIFS('ON Data'!AH:AH,'ON Data'!$E:$E,8))</f>
        <v>0</v>
      </c>
      <c r="AE17" s="253">
        <f xml:space="preserve">
IF($A$4&lt;=12,SUMIFS('ON Data'!AI:AI,'ON Data'!$D:$D,$A$4,'ON Data'!$E:$E,8),SUMIFS('ON Data'!AI:AI,'ON Data'!$E:$E,8))</f>
        <v>0</v>
      </c>
      <c r="AF17" s="253">
        <f xml:space="preserve">
IF($A$4&lt;=12,SUMIFS('ON Data'!AJ:AJ,'ON Data'!$D:$D,$A$4,'ON Data'!$E:$E,8),SUMIFS('ON Data'!AJ:AJ,'ON Data'!$E:$E,8))</f>
        <v>0</v>
      </c>
      <c r="AG17" s="253">
        <f xml:space="preserve">
IF($A$4&lt;=12,SUMIFS('ON Data'!AK:AK,'ON Data'!$D:$D,$A$4,'ON Data'!$E:$E,8),SUMIFS('ON Data'!AK:AK,'ON Data'!$E:$E,8))</f>
        <v>0</v>
      </c>
      <c r="AH17" s="253">
        <f xml:space="preserve">
IF($A$4&lt;=12,SUMIFS('ON Data'!AL:AL,'ON Data'!$D:$D,$A$4,'ON Data'!$E:$E,8),SUMIFS('ON Data'!AL:AL,'ON Data'!$E:$E,8))</f>
        <v>0</v>
      </c>
      <c r="AI17" s="253">
        <f xml:space="preserve">
IF($A$4&lt;=12,SUMIFS('ON Data'!AM:AM,'ON Data'!$D:$D,$A$4,'ON Data'!$E:$E,8),SUMIFS('ON Data'!AM:AM,'ON Data'!$E:$E,8))</f>
        <v>0</v>
      </c>
      <c r="AJ17" s="253">
        <f xml:space="preserve">
IF($A$4&lt;=12,SUMIFS('ON Data'!AN:AN,'ON Data'!$D:$D,$A$4,'ON Data'!$E:$E,8),SUMIFS('ON Data'!AN:AN,'ON Data'!$E:$E,8))</f>
        <v>0</v>
      </c>
      <c r="AK17" s="253">
        <f xml:space="preserve">
IF($A$4&lt;=12,SUMIFS('ON Data'!AO:AO,'ON Data'!$D:$D,$A$4,'ON Data'!$E:$E,8),SUMIFS('ON Data'!AO:AO,'ON Data'!$E:$E,8))</f>
        <v>0</v>
      </c>
      <c r="AL17" s="253">
        <f xml:space="preserve">
IF($A$4&lt;=12,SUMIFS('ON Data'!AP:AP,'ON Data'!$D:$D,$A$4,'ON Data'!$E:$E,8),SUMIFS('ON Data'!AP:AP,'ON Data'!$E:$E,8))</f>
        <v>0</v>
      </c>
      <c r="AM17" s="253">
        <f xml:space="preserve">
IF($A$4&lt;=12,SUMIFS('ON Data'!AQ:AQ,'ON Data'!$D:$D,$A$4,'ON Data'!$E:$E,8),SUMIFS('ON Data'!AQ:AQ,'ON Data'!$E:$E,8))</f>
        <v>0</v>
      </c>
      <c r="AN17" s="252">
        <f xml:space="preserve">
IF($A$4&lt;=12,SUMIFS('ON Data'!AR:AR,'ON Data'!$D:$D,$A$4,'ON Data'!$E:$E,8),SUMIFS('ON Data'!AR:AR,'ON Data'!$E:$E,8))</f>
        <v>0</v>
      </c>
      <c r="AO17" s="253">
        <f xml:space="preserve">
IF($A$4&lt;=12,SUMIFS('ON Data'!AS:AS,'ON Data'!$D:$D,$A$4,'ON Data'!$E:$E,8),SUMIFS('ON Data'!AS:AS,'ON Data'!$E:$E,8))</f>
        <v>0</v>
      </c>
      <c r="AP17" s="253">
        <f xml:space="preserve">
IF($A$4&lt;=12,SUMIFS('ON Data'!AT:AT,'ON Data'!$D:$D,$A$4,'ON Data'!$E:$E,8),SUMIFS('ON Data'!AT:AT,'ON Data'!$E:$E,8))</f>
        <v>0</v>
      </c>
      <c r="AQ17" s="253">
        <f xml:space="preserve">
IF($A$4&lt;=12,SUMIFS('ON Data'!AU:AU,'ON Data'!$D:$D,$A$4,'ON Data'!$E:$E,8),SUMIFS('ON Data'!AU:AU,'ON Data'!$E:$E,8))</f>
        <v>0</v>
      </c>
      <c r="AR17" s="253">
        <f xml:space="preserve">
IF($A$4&lt;=12,SUMIFS('ON Data'!AV:AV,'ON Data'!$D:$D,$A$4,'ON Data'!$E:$E,8),SUMIFS('ON Data'!AV:AV,'ON Data'!$E:$E,8))</f>
        <v>0</v>
      </c>
      <c r="AS17" s="553">
        <f xml:space="preserve">
IF($A$4&lt;=12,SUMIFS('ON Data'!AW:AW,'ON Data'!$D:$D,$A$4,'ON Data'!$E:$E,8),SUMIFS('ON Data'!AW:AW,'ON Data'!$E:$E,8))</f>
        <v>0</v>
      </c>
      <c r="AT17" s="562"/>
    </row>
    <row r="18" spans="1:46" x14ac:dyDescent="0.3">
      <c r="A18" s="236" t="s">
        <v>180</v>
      </c>
      <c r="B18" s="251">
        <f xml:space="preserve">
B19-B16-B17</f>
        <v>13576</v>
      </c>
      <c r="C18" s="252">
        <f t="shared" ref="C18:I18" si="0" xml:space="preserve">
C19-C16-C17</f>
        <v>0</v>
      </c>
      <c r="D18" s="253">
        <f t="shared" si="0"/>
        <v>0</v>
      </c>
      <c r="E18" s="253"/>
      <c r="F18" s="253">
        <f t="shared" si="0"/>
        <v>0</v>
      </c>
      <c r="G18" s="253">
        <f t="shared" si="0"/>
        <v>0</v>
      </c>
      <c r="H18" s="253">
        <f t="shared" si="0"/>
        <v>0</v>
      </c>
      <c r="I18" s="253">
        <f t="shared" si="0"/>
        <v>0</v>
      </c>
      <c r="J18" s="253">
        <f t="shared" ref="J18:AK18" si="1" xml:space="preserve">
J19-J16-J17</f>
        <v>0</v>
      </c>
      <c r="K18" s="253">
        <f t="shared" si="1"/>
        <v>0</v>
      </c>
      <c r="L18" s="253">
        <f t="shared" si="1"/>
        <v>0</v>
      </c>
      <c r="M18" s="253">
        <f t="shared" si="1"/>
        <v>0</v>
      </c>
      <c r="N18" s="253">
        <f t="shared" si="1"/>
        <v>0</v>
      </c>
      <c r="O18" s="253">
        <f t="shared" si="1"/>
        <v>0</v>
      </c>
      <c r="P18" s="253">
        <f t="shared" si="1"/>
        <v>0</v>
      </c>
      <c r="Q18" s="253">
        <f t="shared" si="1"/>
        <v>0</v>
      </c>
      <c r="R18" s="253">
        <f t="shared" si="1"/>
        <v>0</v>
      </c>
      <c r="S18" s="253">
        <f t="shared" si="1"/>
        <v>6000</v>
      </c>
      <c r="T18" s="253">
        <f t="shared" si="1"/>
        <v>0</v>
      </c>
      <c r="U18" s="253">
        <f t="shared" si="1"/>
        <v>0</v>
      </c>
      <c r="V18" s="253">
        <f t="shared" si="1"/>
        <v>0</v>
      </c>
      <c r="W18" s="253">
        <f t="shared" si="1"/>
        <v>0</v>
      </c>
      <c r="X18" s="253">
        <f t="shared" si="1"/>
        <v>0</v>
      </c>
      <c r="Y18" s="253">
        <f t="shared" si="1"/>
        <v>0</v>
      </c>
      <c r="Z18" s="253">
        <f t="shared" si="1"/>
        <v>0</v>
      </c>
      <c r="AA18" s="253"/>
      <c r="AB18" s="253">
        <f t="shared" si="1"/>
        <v>0</v>
      </c>
      <c r="AC18" s="253">
        <f t="shared" si="1"/>
        <v>0</v>
      </c>
      <c r="AD18" s="253">
        <f t="shared" si="1"/>
        <v>0</v>
      </c>
      <c r="AE18" s="253">
        <f t="shared" si="1"/>
        <v>0</v>
      </c>
      <c r="AF18" s="253">
        <f t="shared" si="1"/>
        <v>0</v>
      </c>
      <c r="AG18" s="253">
        <f t="shared" si="1"/>
        <v>0</v>
      </c>
      <c r="AH18" s="253">
        <f t="shared" si="1"/>
        <v>0</v>
      </c>
      <c r="AI18" s="253">
        <f t="shared" si="1"/>
        <v>0</v>
      </c>
      <c r="AJ18" s="253">
        <f t="shared" si="1"/>
        <v>0</v>
      </c>
      <c r="AK18" s="253">
        <f t="shared" si="1"/>
        <v>0</v>
      </c>
      <c r="AL18" s="253">
        <f t="shared" ref="AL18:AS18" si="2" xml:space="preserve">
AL19-AL16-AL17</f>
        <v>7576</v>
      </c>
      <c r="AM18" s="253">
        <f t="shared" si="2"/>
        <v>0</v>
      </c>
      <c r="AN18" s="252">
        <f t="shared" si="2"/>
        <v>0</v>
      </c>
      <c r="AO18" s="253">
        <f t="shared" si="2"/>
        <v>0</v>
      </c>
      <c r="AP18" s="253">
        <f t="shared" si="2"/>
        <v>0</v>
      </c>
      <c r="AQ18" s="253">
        <f t="shared" si="2"/>
        <v>0</v>
      </c>
      <c r="AR18" s="253">
        <f t="shared" si="2"/>
        <v>0</v>
      </c>
      <c r="AS18" s="553">
        <f t="shared" si="2"/>
        <v>0</v>
      </c>
      <c r="AT18" s="562"/>
    </row>
    <row r="19" spans="1:46" ht="15" thickBot="1" x14ac:dyDescent="0.35">
      <c r="A19" s="237" t="s">
        <v>181</v>
      </c>
      <c r="B19" s="262">
        <f xml:space="preserve">
IF($A$4&lt;=12,SUMIFS('ON Data'!F:F,'ON Data'!$D:$D,$A$4,'ON Data'!$E:$E,9),SUMIFS('ON Data'!F:F,'ON Data'!$E:$E,9))</f>
        <v>13576</v>
      </c>
      <c r="C19" s="263">
        <f xml:space="preserve">
IF($A$4&lt;=12,SUMIFS('ON Data'!G:G,'ON Data'!$D:$D,$A$4,'ON Data'!$E:$E,9),SUMIFS('ON Data'!G:G,'ON Data'!$E:$E,9))</f>
        <v>0</v>
      </c>
      <c r="D19" s="264">
        <f xml:space="preserve">
IF($A$4&lt;=12,SUMIFS('ON Data'!H:H,'ON Data'!$D:$D,$A$4,'ON Data'!$E:$E,9),SUMIFS('ON Data'!H:H,'ON Data'!$E:$E,9))</f>
        <v>0</v>
      </c>
      <c r="E19" s="264"/>
      <c r="F19" s="264">
        <f xml:space="preserve">
IF($A$4&lt;=12,SUMIFS('ON Data'!J:J,'ON Data'!$D:$D,$A$4,'ON Data'!$E:$E,9),SUMIFS('ON Data'!J:J,'ON Data'!$E:$E,9))</f>
        <v>0</v>
      </c>
      <c r="G19" s="264">
        <f xml:space="preserve">
IF($A$4&lt;=12,SUMIFS('ON Data'!K:K,'ON Data'!$D:$D,$A$4,'ON Data'!$E:$E,9),SUMIFS('ON Data'!K:K,'ON Data'!$E:$E,9))</f>
        <v>0</v>
      </c>
      <c r="H19" s="264">
        <f xml:space="preserve">
IF($A$4&lt;=12,SUMIFS('ON Data'!L:L,'ON Data'!$D:$D,$A$4,'ON Data'!$E:$E,9),SUMIFS('ON Data'!L:L,'ON Data'!$E:$E,9))</f>
        <v>0</v>
      </c>
      <c r="I19" s="264">
        <f xml:space="preserve">
IF($A$4&lt;=12,SUMIFS('ON Data'!M:M,'ON Data'!$D:$D,$A$4,'ON Data'!$E:$E,9),SUMIFS('ON Data'!M:M,'ON Data'!$E:$E,9))</f>
        <v>0</v>
      </c>
      <c r="J19" s="264">
        <f xml:space="preserve">
IF($A$4&lt;=12,SUMIFS('ON Data'!N:N,'ON Data'!$D:$D,$A$4,'ON Data'!$E:$E,9),SUMIFS('ON Data'!N:N,'ON Data'!$E:$E,9))</f>
        <v>0</v>
      </c>
      <c r="K19" s="264">
        <f xml:space="preserve">
IF($A$4&lt;=12,SUMIFS('ON Data'!O:O,'ON Data'!$D:$D,$A$4,'ON Data'!$E:$E,9),SUMIFS('ON Data'!O:O,'ON Data'!$E:$E,9))</f>
        <v>0</v>
      </c>
      <c r="L19" s="264">
        <f xml:space="preserve">
IF($A$4&lt;=12,SUMIFS('ON Data'!P:P,'ON Data'!$D:$D,$A$4,'ON Data'!$E:$E,9),SUMIFS('ON Data'!P:P,'ON Data'!$E:$E,9))</f>
        <v>0</v>
      </c>
      <c r="M19" s="264">
        <f xml:space="preserve">
IF($A$4&lt;=12,SUMIFS('ON Data'!Q:Q,'ON Data'!$D:$D,$A$4,'ON Data'!$E:$E,9),SUMIFS('ON Data'!Q:Q,'ON Data'!$E:$E,9))</f>
        <v>0</v>
      </c>
      <c r="N19" s="264">
        <f xml:space="preserve">
IF($A$4&lt;=12,SUMIFS('ON Data'!R:R,'ON Data'!$D:$D,$A$4,'ON Data'!$E:$E,9),SUMIFS('ON Data'!R:R,'ON Data'!$E:$E,9))</f>
        <v>0</v>
      </c>
      <c r="O19" s="264">
        <f xml:space="preserve">
IF($A$4&lt;=12,SUMIFS('ON Data'!S:S,'ON Data'!$D:$D,$A$4,'ON Data'!$E:$E,9),SUMIFS('ON Data'!S:S,'ON Data'!$E:$E,9))</f>
        <v>0</v>
      </c>
      <c r="P19" s="264">
        <f xml:space="preserve">
IF($A$4&lt;=12,SUMIFS('ON Data'!T:T,'ON Data'!$D:$D,$A$4,'ON Data'!$E:$E,9),SUMIFS('ON Data'!T:T,'ON Data'!$E:$E,9))</f>
        <v>0</v>
      </c>
      <c r="Q19" s="264">
        <f xml:space="preserve">
IF($A$4&lt;=12,SUMIFS('ON Data'!U:U,'ON Data'!$D:$D,$A$4,'ON Data'!$E:$E,9),SUMIFS('ON Data'!U:U,'ON Data'!$E:$E,9))</f>
        <v>0</v>
      </c>
      <c r="R19" s="264">
        <f xml:space="preserve">
IF($A$4&lt;=12,SUMIFS('ON Data'!V:V,'ON Data'!$D:$D,$A$4,'ON Data'!$E:$E,9),SUMIFS('ON Data'!V:V,'ON Data'!$E:$E,9))</f>
        <v>0</v>
      </c>
      <c r="S19" s="264">
        <f xml:space="preserve">
IF($A$4&lt;=12,SUMIFS('ON Data'!W:W,'ON Data'!$D:$D,$A$4,'ON Data'!$E:$E,9),SUMIFS('ON Data'!W:W,'ON Data'!$E:$E,9))</f>
        <v>6000</v>
      </c>
      <c r="T19" s="264">
        <f xml:space="preserve">
IF($A$4&lt;=12,SUMIFS('ON Data'!X:X,'ON Data'!$D:$D,$A$4,'ON Data'!$E:$E,9),SUMIFS('ON Data'!X:X,'ON Data'!$E:$E,9))</f>
        <v>0</v>
      </c>
      <c r="U19" s="264">
        <f xml:space="preserve">
IF($A$4&lt;=12,SUMIFS('ON Data'!Y:Y,'ON Data'!$D:$D,$A$4,'ON Data'!$E:$E,9),SUMIFS('ON Data'!Y:Y,'ON Data'!$E:$E,9))</f>
        <v>0</v>
      </c>
      <c r="V19" s="264">
        <f xml:space="preserve">
IF($A$4&lt;=12,SUMIFS('ON Data'!Z:Z,'ON Data'!$D:$D,$A$4,'ON Data'!$E:$E,9),SUMIFS('ON Data'!Z:Z,'ON Data'!$E:$E,9))</f>
        <v>0</v>
      </c>
      <c r="W19" s="264">
        <f xml:space="preserve">
IF($A$4&lt;=12,SUMIFS('ON Data'!AA:AA,'ON Data'!$D:$D,$A$4,'ON Data'!$E:$E,9),SUMIFS('ON Data'!AA:AA,'ON Data'!$E:$E,9))</f>
        <v>0</v>
      </c>
      <c r="X19" s="264">
        <f xml:space="preserve">
IF($A$4&lt;=12,SUMIFS('ON Data'!AB:AB,'ON Data'!$D:$D,$A$4,'ON Data'!$E:$E,9),SUMIFS('ON Data'!AB:AB,'ON Data'!$E:$E,9))</f>
        <v>0</v>
      </c>
      <c r="Y19" s="264">
        <f xml:space="preserve">
IF($A$4&lt;=12,SUMIFS('ON Data'!AC:AC,'ON Data'!$D:$D,$A$4,'ON Data'!$E:$E,9),SUMIFS('ON Data'!AC:AC,'ON Data'!$E:$E,9))</f>
        <v>0</v>
      </c>
      <c r="Z19" s="264">
        <f xml:space="preserve">
IF($A$4&lt;=12,SUMIFS('ON Data'!AD:AD,'ON Data'!$D:$D,$A$4,'ON Data'!$E:$E,9),SUMIFS('ON Data'!AD:AD,'ON Data'!$E:$E,9))</f>
        <v>0</v>
      </c>
      <c r="AA19" s="264"/>
      <c r="AB19" s="264">
        <f xml:space="preserve">
IF($A$4&lt;=12,SUMIFS('ON Data'!AF:AF,'ON Data'!$D:$D,$A$4,'ON Data'!$E:$E,9),SUMIFS('ON Data'!AF:AF,'ON Data'!$E:$E,9))</f>
        <v>0</v>
      </c>
      <c r="AC19" s="264">
        <f xml:space="preserve">
IF($A$4&lt;=12,SUMIFS('ON Data'!AG:AG,'ON Data'!$D:$D,$A$4,'ON Data'!$E:$E,9),SUMIFS('ON Data'!AG:AG,'ON Data'!$E:$E,9))</f>
        <v>0</v>
      </c>
      <c r="AD19" s="264">
        <f xml:space="preserve">
IF($A$4&lt;=12,SUMIFS('ON Data'!AH:AH,'ON Data'!$D:$D,$A$4,'ON Data'!$E:$E,9),SUMIFS('ON Data'!AH:AH,'ON Data'!$E:$E,9))</f>
        <v>0</v>
      </c>
      <c r="AE19" s="264">
        <f xml:space="preserve">
IF($A$4&lt;=12,SUMIFS('ON Data'!AI:AI,'ON Data'!$D:$D,$A$4,'ON Data'!$E:$E,9),SUMIFS('ON Data'!AI:AI,'ON Data'!$E:$E,9))</f>
        <v>0</v>
      </c>
      <c r="AF19" s="264">
        <f xml:space="preserve">
IF($A$4&lt;=12,SUMIFS('ON Data'!AJ:AJ,'ON Data'!$D:$D,$A$4,'ON Data'!$E:$E,9),SUMIFS('ON Data'!AJ:AJ,'ON Data'!$E:$E,9))</f>
        <v>0</v>
      </c>
      <c r="AG19" s="264">
        <f xml:space="preserve">
IF($A$4&lt;=12,SUMIFS('ON Data'!AK:AK,'ON Data'!$D:$D,$A$4,'ON Data'!$E:$E,9),SUMIFS('ON Data'!AK:AK,'ON Data'!$E:$E,9))</f>
        <v>0</v>
      </c>
      <c r="AH19" s="264">
        <f xml:space="preserve">
IF($A$4&lt;=12,SUMIFS('ON Data'!AL:AL,'ON Data'!$D:$D,$A$4,'ON Data'!$E:$E,9),SUMIFS('ON Data'!AL:AL,'ON Data'!$E:$E,9))</f>
        <v>0</v>
      </c>
      <c r="AI19" s="264">
        <f xml:space="preserve">
IF($A$4&lt;=12,SUMIFS('ON Data'!AM:AM,'ON Data'!$D:$D,$A$4,'ON Data'!$E:$E,9),SUMIFS('ON Data'!AM:AM,'ON Data'!$E:$E,9))</f>
        <v>0</v>
      </c>
      <c r="AJ19" s="264">
        <f xml:space="preserve">
IF($A$4&lt;=12,SUMIFS('ON Data'!AN:AN,'ON Data'!$D:$D,$A$4,'ON Data'!$E:$E,9),SUMIFS('ON Data'!AN:AN,'ON Data'!$E:$E,9))</f>
        <v>0</v>
      </c>
      <c r="AK19" s="264">
        <f xml:space="preserve">
IF($A$4&lt;=12,SUMIFS('ON Data'!AO:AO,'ON Data'!$D:$D,$A$4,'ON Data'!$E:$E,9),SUMIFS('ON Data'!AO:AO,'ON Data'!$E:$E,9))</f>
        <v>0</v>
      </c>
      <c r="AL19" s="264">
        <f xml:space="preserve">
IF($A$4&lt;=12,SUMIFS('ON Data'!AP:AP,'ON Data'!$D:$D,$A$4,'ON Data'!$E:$E,9),SUMIFS('ON Data'!AP:AP,'ON Data'!$E:$E,9))</f>
        <v>7576</v>
      </c>
      <c r="AM19" s="264">
        <f xml:space="preserve">
IF($A$4&lt;=12,SUMIFS('ON Data'!AQ:AQ,'ON Data'!$D:$D,$A$4,'ON Data'!$E:$E,9),SUMIFS('ON Data'!AQ:AQ,'ON Data'!$E:$E,9))</f>
        <v>0</v>
      </c>
      <c r="AN19" s="263">
        <f xml:space="preserve">
IF($A$4&lt;=12,SUMIFS('ON Data'!AR:AR,'ON Data'!$D:$D,$A$4,'ON Data'!$E:$E,9),SUMIFS('ON Data'!AR:AR,'ON Data'!$E:$E,9))</f>
        <v>0</v>
      </c>
      <c r="AO19" s="264">
        <f xml:space="preserve">
IF($A$4&lt;=12,SUMIFS('ON Data'!AS:AS,'ON Data'!$D:$D,$A$4,'ON Data'!$E:$E,9),SUMIFS('ON Data'!AS:AS,'ON Data'!$E:$E,9))</f>
        <v>0</v>
      </c>
      <c r="AP19" s="264">
        <f xml:space="preserve">
IF($A$4&lt;=12,SUMIFS('ON Data'!AT:AT,'ON Data'!$D:$D,$A$4,'ON Data'!$E:$E,9),SUMIFS('ON Data'!AT:AT,'ON Data'!$E:$E,9))</f>
        <v>0</v>
      </c>
      <c r="AQ19" s="264">
        <f xml:space="preserve">
IF($A$4&lt;=12,SUMIFS('ON Data'!AU:AU,'ON Data'!$D:$D,$A$4,'ON Data'!$E:$E,9),SUMIFS('ON Data'!AU:AU,'ON Data'!$E:$E,9))</f>
        <v>0</v>
      </c>
      <c r="AR19" s="264">
        <f xml:space="preserve">
IF($A$4&lt;=12,SUMIFS('ON Data'!AV:AV,'ON Data'!$D:$D,$A$4,'ON Data'!$E:$E,9),SUMIFS('ON Data'!AV:AV,'ON Data'!$E:$E,9))</f>
        <v>0</v>
      </c>
      <c r="AS19" s="556">
        <f xml:space="preserve">
IF($A$4&lt;=12,SUMIFS('ON Data'!AW:AW,'ON Data'!$D:$D,$A$4,'ON Data'!$E:$E,9),SUMIFS('ON Data'!AW:AW,'ON Data'!$E:$E,9))</f>
        <v>0</v>
      </c>
      <c r="AT19" s="562"/>
    </row>
    <row r="20" spans="1:46" ht="15" collapsed="1" thickBot="1" x14ac:dyDescent="0.35">
      <c r="A20" s="238" t="s">
        <v>73</v>
      </c>
      <c r="B20" s="265">
        <f xml:space="preserve">
IF($A$4&lt;=12,SUMIFS('ON Data'!F:F,'ON Data'!$D:$D,$A$4,'ON Data'!$E:$E,6),SUMIFS('ON Data'!F:F,'ON Data'!$E:$E,6))</f>
        <v>2212279</v>
      </c>
      <c r="C20" s="266">
        <f xml:space="preserve">
IF($A$4&lt;=12,SUMIFS('ON Data'!G:G,'ON Data'!$D:$D,$A$4,'ON Data'!$E:$E,6),SUMIFS('ON Data'!G:G,'ON Data'!$E:$E,6))</f>
        <v>0</v>
      </c>
      <c r="D20" s="267">
        <f xml:space="preserve">
IF($A$4&lt;=12,SUMIFS('ON Data'!H:H,'ON Data'!$D:$D,$A$4,'ON Data'!$E:$E,6),SUMIFS('ON Data'!H:H,'ON Data'!$E:$E,6))</f>
        <v>0</v>
      </c>
      <c r="E20" s="267"/>
      <c r="F20" s="267">
        <f xml:space="preserve">
IF($A$4&lt;=12,SUMIFS('ON Data'!J:J,'ON Data'!$D:$D,$A$4,'ON Data'!$E:$E,6),SUMIFS('ON Data'!J:J,'ON Data'!$E:$E,6))</f>
        <v>0</v>
      </c>
      <c r="G20" s="267">
        <f xml:space="preserve">
IF($A$4&lt;=12,SUMIFS('ON Data'!K:K,'ON Data'!$D:$D,$A$4,'ON Data'!$E:$E,6),SUMIFS('ON Data'!K:K,'ON Data'!$E:$E,6))</f>
        <v>0</v>
      </c>
      <c r="H20" s="267">
        <f xml:space="preserve">
IF($A$4&lt;=12,SUMIFS('ON Data'!L:L,'ON Data'!$D:$D,$A$4,'ON Data'!$E:$E,6),SUMIFS('ON Data'!L:L,'ON Data'!$E:$E,6))</f>
        <v>435986</v>
      </c>
      <c r="I20" s="267">
        <f xml:space="preserve">
IF($A$4&lt;=12,SUMIFS('ON Data'!M:M,'ON Data'!$D:$D,$A$4,'ON Data'!$E:$E,6),SUMIFS('ON Data'!M:M,'ON Data'!$E:$E,6))</f>
        <v>0</v>
      </c>
      <c r="J20" s="267">
        <f xml:space="preserve">
IF($A$4&lt;=12,SUMIFS('ON Data'!N:N,'ON Data'!$D:$D,$A$4,'ON Data'!$E:$E,6),SUMIFS('ON Data'!N:N,'ON Data'!$E:$E,6))</f>
        <v>0</v>
      </c>
      <c r="K20" s="267">
        <f xml:space="preserve">
IF($A$4&lt;=12,SUMIFS('ON Data'!O:O,'ON Data'!$D:$D,$A$4,'ON Data'!$E:$E,6),SUMIFS('ON Data'!O:O,'ON Data'!$E:$E,6))</f>
        <v>0</v>
      </c>
      <c r="L20" s="267">
        <f xml:space="preserve">
IF($A$4&lt;=12,SUMIFS('ON Data'!P:P,'ON Data'!$D:$D,$A$4,'ON Data'!$E:$E,6),SUMIFS('ON Data'!P:P,'ON Data'!$E:$E,6))</f>
        <v>0</v>
      </c>
      <c r="M20" s="267">
        <f xml:space="preserve">
IF($A$4&lt;=12,SUMIFS('ON Data'!Q:Q,'ON Data'!$D:$D,$A$4,'ON Data'!$E:$E,6),SUMIFS('ON Data'!Q:Q,'ON Data'!$E:$E,6))</f>
        <v>58453</v>
      </c>
      <c r="N20" s="267">
        <f xml:space="preserve">
IF($A$4&lt;=12,SUMIFS('ON Data'!R:R,'ON Data'!$D:$D,$A$4,'ON Data'!$E:$E,6),SUMIFS('ON Data'!R:R,'ON Data'!$E:$E,6))</f>
        <v>0</v>
      </c>
      <c r="O20" s="267">
        <f xml:space="preserve">
IF($A$4&lt;=12,SUMIFS('ON Data'!S:S,'ON Data'!$D:$D,$A$4,'ON Data'!$E:$E,6),SUMIFS('ON Data'!S:S,'ON Data'!$E:$E,6))</f>
        <v>0</v>
      </c>
      <c r="P20" s="267">
        <f xml:space="preserve">
IF($A$4&lt;=12,SUMIFS('ON Data'!T:T,'ON Data'!$D:$D,$A$4,'ON Data'!$E:$E,6),SUMIFS('ON Data'!T:T,'ON Data'!$E:$E,6))</f>
        <v>0</v>
      </c>
      <c r="Q20" s="267">
        <f xml:space="preserve">
IF($A$4&lt;=12,SUMIFS('ON Data'!U:U,'ON Data'!$D:$D,$A$4,'ON Data'!$E:$E,6),SUMIFS('ON Data'!U:U,'ON Data'!$E:$E,6))</f>
        <v>0</v>
      </c>
      <c r="R20" s="267">
        <f xml:space="preserve">
IF($A$4&lt;=12,SUMIFS('ON Data'!V:V,'ON Data'!$D:$D,$A$4,'ON Data'!$E:$E,6),SUMIFS('ON Data'!V:V,'ON Data'!$E:$E,6))</f>
        <v>0</v>
      </c>
      <c r="S20" s="267">
        <f xml:space="preserve">
IF($A$4&lt;=12,SUMIFS('ON Data'!W:W,'ON Data'!$D:$D,$A$4,'ON Data'!$E:$E,6),SUMIFS('ON Data'!W:W,'ON Data'!$E:$E,6))</f>
        <v>776773</v>
      </c>
      <c r="T20" s="267">
        <f xml:space="preserve">
IF($A$4&lt;=12,SUMIFS('ON Data'!X:X,'ON Data'!$D:$D,$A$4,'ON Data'!$E:$E,6),SUMIFS('ON Data'!X:X,'ON Data'!$E:$E,6))</f>
        <v>0</v>
      </c>
      <c r="U20" s="267">
        <f xml:space="preserve">
IF($A$4&lt;=12,SUMIFS('ON Data'!Y:Y,'ON Data'!$D:$D,$A$4,'ON Data'!$E:$E,6),SUMIFS('ON Data'!Y:Y,'ON Data'!$E:$E,6))</f>
        <v>0</v>
      </c>
      <c r="V20" s="267">
        <f xml:space="preserve">
IF($A$4&lt;=12,SUMIFS('ON Data'!Z:Z,'ON Data'!$D:$D,$A$4,'ON Data'!$E:$E,6),SUMIFS('ON Data'!Z:Z,'ON Data'!$E:$E,6))</f>
        <v>0</v>
      </c>
      <c r="W20" s="267">
        <f xml:space="preserve">
IF($A$4&lt;=12,SUMIFS('ON Data'!AA:AA,'ON Data'!$D:$D,$A$4,'ON Data'!$E:$E,6),SUMIFS('ON Data'!AA:AA,'ON Data'!$E:$E,6))</f>
        <v>0</v>
      </c>
      <c r="X20" s="267">
        <f xml:space="preserve">
IF($A$4&lt;=12,SUMIFS('ON Data'!AB:AB,'ON Data'!$D:$D,$A$4,'ON Data'!$E:$E,6),SUMIFS('ON Data'!AB:AB,'ON Data'!$E:$E,6))</f>
        <v>0</v>
      </c>
      <c r="Y20" s="267">
        <f xml:space="preserve">
IF($A$4&lt;=12,SUMIFS('ON Data'!AC:AC,'ON Data'!$D:$D,$A$4,'ON Data'!$E:$E,6),SUMIFS('ON Data'!AC:AC,'ON Data'!$E:$E,6))</f>
        <v>0</v>
      </c>
      <c r="Z20" s="267">
        <f xml:space="preserve">
IF($A$4&lt;=12,SUMIFS('ON Data'!AD:AD,'ON Data'!$D:$D,$A$4,'ON Data'!$E:$E,6),SUMIFS('ON Data'!AD:AD,'ON Data'!$E:$E,6))</f>
        <v>0</v>
      </c>
      <c r="AA20" s="267"/>
      <c r="AB20" s="267">
        <f xml:space="preserve">
IF($A$4&lt;=12,SUMIFS('ON Data'!AF:AF,'ON Data'!$D:$D,$A$4,'ON Data'!$E:$E,6),SUMIFS('ON Data'!AF:AF,'ON Data'!$E:$E,6))</f>
        <v>0</v>
      </c>
      <c r="AC20" s="267">
        <f xml:space="preserve">
IF($A$4&lt;=12,SUMIFS('ON Data'!AG:AG,'ON Data'!$D:$D,$A$4,'ON Data'!$E:$E,6),SUMIFS('ON Data'!AG:AG,'ON Data'!$E:$E,6))</f>
        <v>0</v>
      </c>
      <c r="AD20" s="267">
        <f xml:space="preserve">
IF($A$4&lt;=12,SUMIFS('ON Data'!AH:AH,'ON Data'!$D:$D,$A$4,'ON Data'!$E:$E,6),SUMIFS('ON Data'!AH:AH,'ON Data'!$E:$E,6))</f>
        <v>0</v>
      </c>
      <c r="AE20" s="267">
        <f xml:space="preserve">
IF($A$4&lt;=12,SUMIFS('ON Data'!AI:AI,'ON Data'!$D:$D,$A$4,'ON Data'!$E:$E,6),SUMIFS('ON Data'!AI:AI,'ON Data'!$E:$E,6))</f>
        <v>0</v>
      </c>
      <c r="AF20" s="267">
        <f xml:space="preserve">
IF($A$4&lt;=12,SUMIFS('ON Data'!AJ:AJ,'ON Data'!$D:$D,$A$4,'ON Data'!$E:$E,6),SUMIFS('ON Data'!AJ:AJ,'ON Data'!$E:$E,6))</f>
        <v>0</v>
      </c>
      <c r="AG20" s="267">
        <f xml:space="preserve">
IF($A$4&lt;=12,SUMIFS('ON Data'!AK:AK,'ON Data'!$D:$D,$A$4,'ON Data'!$E:$E,6),SUMIFS('ON Data'!AK:AK,'ON Data'!$E:$E,6))</f>
        <v>0</v>
      </c>
      <c r="AH20" s="267">
        <f xml:space="preserve">
IF($A$4&lt;=12,SUMIFS('ON Data'!AL:AL,'ON Data'!$D:$D,$A$4,'ON Data'!$E:$E,6),SUMIFS('ON Data'!AL:AL,'ON Data'!$E:$E,6))</f>
        <v>784622</v>
      </c>
      <c r="AI20" s="267">
        <f xml:space="preserve">
IF($A$4&lt;=12,SUMIFS('ON Data'!AM:AM,'ON Data'!$D:$D,$A$4,'ON Data'!$E:$E,6),SUMIFS('ON Data'!AM:AM,'ON Data'!$E:$E,6))</f>
        <v>0</v>
      </c>
      <c r="AJ20" s="267">
        <f xml:space="preserve">
IF($A$4&lt;=12,SUMIFS('ON Data'!AN:AN,'ON Data'!$D:$D,$A$4,'ON Data'!$E:$E,6),SUMIFS('ON Data'!AN:AN,'ON Data'!$E:$E,6))</f>
        <v>0</v>
      </c>
      <c r="AK20" s="267">
        <f xml:space="preserve">
IF($A$4&lt;=12,SUMIFS('ON Data'!AO:AO,'ON Data'!$D:$D,$A$4,'ON Data'!$E:$E,6),SUMIFS('ON Data'!AO:AO,'ON Data'!$E:$E,6))</f>
        <v>0</v>
      </c>
      <c r="AL20" s="267">
        <f xml:space="preserve">
IF($A$4&lt;=12,SUMIFS('ON Data'!AP:AP,'ON Data'!$D:$D,$A$4,'ON Data'!$E:$E,6),SUMIFS('ON Data'!AP:AP,'ON Data'!$E:$E,6))</f>
        <v>46453</v>
      </c>
      <c r="AM20" s="267">
        <f xml:space="preserve">
IF($A$4&lt;=12,SUMIFS('ON Data'!AQ:AQ,'ON Data'!$D:$D,$A$4,'ON Data'!$E:$E,6),SUMIFS('ON Data'!AQ:AQ,'ON Data'!$E:$E,6))</f>
        <v>0</v>
      </c>
      <c r="AN20" s="266">
        <f xml:space="preserve">
IF($A$4&lt;=12,SUMIFS('ON Data'!AR:AR,'ON Data'!$D:$D,$A$4,'ON Data'!$E:$E,6),SUMIFS('ON Data'!AR:AR,'ON Data'!$E:$E,6))</f>
        <v>0</v>
      </c>
      <c r="AO20" s="267">
        <f xml:space="preserve">
IF($A$4&lt;=12,SUMIFS('ON Data'!AS:AS,'ON Data'!$D:$D,$A$4,'ON Data'!$E:$E,6),SUMIFS('ON Data'!AS:AS,'ON Data'!$E:$E,6))</f>
        <v>0</v>
      </c>
      <c r="AP20" s="267">
        <f xml:space="preserve">
IF($A$4&lt;=12,SUMIFS('ON Data'!AT:AT,'ON Data'!$D:$D,$A$4,'ON Data'!$E:$E,6),SUMIFS('ON Data'!AT:AT,'ON Data'!$E:$E,6))</f>
        <v>68951</v>
      </c>
      <c r="AQ20" s="267">
        <f xml:space="preserve">
IF($A$4&lt;=12,SUMIFS('ON Data'!AU:AU,'ON Data'!$D:$D,$A$4,'ON Data'!$E:$E,6),SUMIFS('ON Data'!AU:AU,'ON Data'!$E:$E,6))</f>
        <v>0</v>
      </c>
      <c r="AR20" s="267">
        <f xml:space="preserve">
IF($A$4&lt;=12,SUMIFS('ON Data'!AV:AV,'ON Data'!$D:$D,$A$4,'ON Data'!$E:$E,6),SUMIFS('ON Data'!AV:AV,'ON Data'!$E:$E,6))</f>
        <v>0</v>
      </c>
      <c r="AS20" s="557">
        <f xml:space="preserve">
IF($A$4&lt;=12,SUMIFS('ON Data'!AW:AW,'ON Data'!$D:$D,$A$4,'ON Data'!$E:$E,6),SUMIFS('ON Data'!AW:AW,'ON Data'!$E:$E,6))</f>
        <v>0</v>
      </c>
      <c r="AT20" s="562"/>
    </row>
    <row r="21" spans="1:46" ht="15" hidden="1" outlineLevel="1" thickBot="1" x14ac:dyDescent="0.35">
      <c r="A21" s="231" t="s">
        <v>107</v>
      </c>
      <c r="B21" s="251">
        <f xml:space="preserve">
IF($A$4&lt;=12,SUMIFS('ON Data'!F:F,'ON Data'!$D:$D,$A$4,'ON Data'!$E:$E,12),SUMIFS('ON Data'!F:F,'ON Data'!$E:$E,12))</f>
        <v>0</v>
      </c>
      <c r="C21" s="252">
        <f xml:space="preserve">
IF($A$4&lt;=12,SUMIFS('ON Data'!G:G,'ON Data'!$D:$D,$A$4,'ON Data'!$E:$E,12),SUMIFS('ON Data'!G:G,'ON Data'!$E:$E,12))</f>
        <v>0</v>
      </c>
      <c r="D21" s="253">
        <f xml:space="preserve">
IF($A$4&lt;=12,SUMIFS('ON Data'!H:H,'ON Data'!$D:$D,$A$4,'ON Data'!$E:$E,12),SUMIFS('ON Data'!H:H,'ON Data'!$E:$E,12))</f>
        <v>0</v>
      </c>
      <c r="E21" s="253"/>
      <c r="F21" s="253">
        <f xml:space="preserve">
IF($A$4&lt;=12,SUMIFS('ON Data'!J:J,'ON Data'!$D:$D,$A$4,'ON Data'!$E:$E,12),SUMIFS('ON Data'!J:J,'ON Data'!$E:$E,12))</f>
        <v>0</v>
      </c>
      <c r="G21" s="253">
        <f xml:space="preserve">
IF($A$4&lt;=12,SUMIFS('ON Data'!K:K,'ON Data'!$D:$D,$A$4,'ON Data'!$E:$E,12),SUMIFS('ON Data'!K:K,'ON Data'!$E:$E,12))</f>
        <v>0</v>
      </c>
      <c r="H21" s="253">
        <f xml:space="preserve">
IF($A$4&lt;=12,SUMIFS('ON Data'!L:L,'ON Data'!$D:$D,$A$4,'ON Data'!$E:$E,12),SUMIFS('ON Data'!L:L,'ON Data'!$E:$E,12))</f>
        <v>0</v>
      </c>
      <c r="I21" s="253">
        <f xml:space="preserve">
IF($A$4&lt;=12,SUMIFS('ON Data'!M:M,'ON Data'!$D:$D,$A$4,'ON Data'!$E:$E,12),SUMIFS('ON Data'!M:M,'ON Data'!$E:$E,12))</f>
        <v>0</v>
      </c>
      <c r="J21" s="253">
        <f xml:space="preserve">
IF($A$4&lt;=12,SUMIFS('ON Data'!N:N,'ON Data'!$D:$D,$A$4,'ON Data'!$E:$E,12),SUMIFS('ON Data'!N:N,'ON Data'!$E:$E,12))</f>
        <v>0</v>
      </c>
      <c r="K21" s="253">
        <f xml:space="preserve">
IF($A$4&lt;=12,SUMIFS('ON Data'!O:O,'ON Data'!$D:$D,$A$4,'ON Data'!$E:$E,12),SUMIFS('ON Data'!O:O,'ON Data'!$E:$E,12))</f>
        <v>0</v>
      </c>
      <c r="L21" s="253">
        <f xml:space="preserve">
IF($A$4&lt;=12,SUMIFS('ON Data'!P:P,'ON Data'!$D:$D,$A$4,'ON Data'!$E:$E,12),SUMIFS('ON Data'!P:P,'ON Data'!$E:$E,12))</f>
        <v>0</v>
      </c>
      <c r="M21" s="253">
        <f xml:space="preserve">
IF($A$4&lt;=12,SUMIFS('ON Data'!Q:Q,'ON Data'!$D:$D,$A$4,'ON Data'!$E:$E,12),SUMIFS('ON Data'!Q:Q,'ON Data'!$E:$E,12))</f>
        <v>0</v>
      </c>
      <c r="N21" s="253">
        <f xml:space="preserve">
IF($A$4&lt;=12,SUMIFS('ON Data'!R:R,'ON Data'!$D:$D,$A$4,'ON Data'!$E:$E,12),SUMIFS('ON Data'!R:R,'ON Data'!$E:$E,12))</f>
        <v>0</v>
      </c>
      <c r="O21" s="253">
        <f xml:space="preserve">
IF($A$4&lt;=12,SUMIFS('ON Data'!S:S,'ON Data'!$D:$D,$A$4,'ON Data'!$E:$E,12),SUMIFS('ON Data'!S:S,'ON Data'!$E:$E,12))</f>
        <v>0</v>
      </c>
      <c r="P21" s="253">
        <f xml:space="preserve">
IF($A$4&lt;=12,SUMIFS('ON Data'!T:T,'ON Data'!$D:$D,$A$4,'ON Data'!$E:$E,12),SUMIFS('ON Data'!T:T,'ON Data'!$E:$E,12))</f>
        <v>0</v>
      </c>
      <c r="Q21" s="253">
        <f xml:space="preserve">
IF($A$4&lt;=12,SUMIFS('ON Data'!U:U,'ON Data'!$D:$D,$A$4,'ON Data'!$E:$E,12),SUMIFS('ON Data'!U:U,'ON Data'!$E:$E,12))</f>
        <v>0</v>
      </c>
      <c r="R21" s="253">
        <f xml:space="preserve">
IF($A$4&lt;=12,SUMIFS('ON Data'!V:V,'ON Data'!$D:$D,$A$4,'ON Data'!$E:$E,12),SUMIFS('ON Data'!V:V,'ON Data'!$E:$E,12))</f>
        <v>0</v>
      </c>
      <c r="S21" s="253">
        <f xml:space="preserve">
IF($A$4&lt;=12,SUMIFS('ON Data'!W:W,'ON Data'!$D:$D,$A$4,'ON Data'!$E:$E,12),SUMIFS('ON Data'!W:W,'ON Data'!$E:$E,12))</f>
        <v>0</v>
      </c>
      <c r="T21" s="253">
        <f xml:space="preserve">
IF($A$4&lt;=12,SUMIFS('ON Data'!X:X,'ON Data'!$D:$D,$A$4,'ON Data'!$E:$E,12),SUMIFS('ON Data'!X:X,'ON Data'!$E:$E,12))</f>
        <v>0</v>
      </c>
      <c r="U21" s="253">
        <f xml:space="preserve">
IF($A$4&lt;=12,SUMIFS('ON Data'!Y:Y,'ON Data'!$D:$D,$A$4,'ON Data'!$E:$E,12),SUMIFS('ON Data'!Y:Y,'ON Data'!$E:$E,12))</f>
        <v>0</v>
      </c>
      <c r="V21" s="253">
        <f xml:space="preserve">
IF($A$4&lt;=12,SUMIFS('ON Data'!Z:Z,'ON Data'!$D:$D,$A$4,'ON Data'!$E:$E,12),SUMIFS('ON Data'!Z:Z,'ON Data'!$E:$E,12))</f>
        <v>0</v>
      </c>
      <c r="W21" s="253">
        <f xml:space="preserve">
IF($A$4&lt;=12,SUMIFS('ON Data'!AA:AA,'ON Data'!$D:$D,$A$4,'ON Data'!$E:$E,12),SUMIFS('ON Data'!AA:AA,'ON Data'!$E:$E,12))</f>
        <v>0</v>
      </c>
      <c r="X21" s="253">
        <f xml:space="preserve">
IF($A$4&lt;=12,SUMIFS('ON Data'!AB:AB,'ON Data'!$D:$D,$A$4,'ON Data'!$E:$E,12),SUMIFS('ON Data'!AB:AB,'ON Data'!$E:$E,12))</f>
        <v>0</v>
      </c>
      <c r="Y21" s="253">
        <f xml:space="preserve">
IF($A$4&lt;=12,SUMIFS('ON Data'!AC:AC,'ON Data'!$D:$D,$A$4,'ON Data'!$E:$E,12),SUMIFS('ON Data'!AC:AC,'ON Data'!$E:$E,12))</f>
        <v>0</v>
      </c>
      <c r="Z21" s="253">
        <f xml:space="preserve">
IF($A$4&lt;=12,SUMIFS('ON Data'!AD:AD,'ON Data'!$D:$D,$A$4,'ON Data'!$E:$E,12),SUMIFS('ON Data'!AD:AD,'ON Data'!$E:$E,12))</f>
        <v>0</v>
      </c>
      <c r="AA21" s="253"/>
      <c r="AB21" s="253">
        <f xml:space="preserve">
IF($A$4&lt;=12,SUMIFS('ON Data'!AF:AF,'ON Data'!$D:$D,$A$4,'ON Data'!$E:$E,12),SUMIFS('ON Data'!AF:AF,'ON Data'!$E:$E,12))</f>
        <v>0</v>
      </c>
      <c r="AC21" s="253">
        <f xml:space="preserve">
IF($A$4&lt;=12,SUMIFS('ON Data'!AG:AG,'ON Data'!$D:$D,$A$4,'ON Data'!$E:$E,12),SUMIFS('ON Data'!AG:AG,'ON Data'!$E:$E,12))</f>
        <v>0</v>
      </c>
      <c r="AD21" s="253">
        <f xml:space="preserve">
IF($A$4&lt;=12,SUMIFS('ON Data'!AH:AH,'ON Data'!$D:$D,$A$4,'ON Data'!$E:$E,12),SUMIFS('ON Data'!AH:AH,'ON Data'!$E:$E,12))</f>
        <v>0</v>
      </c>
      <c r="AE21" s="253">
        <f xml:space="preserve">
IF($A$4&lt;=12,SUMIFS('ON Data'!AI:AI,'ON Data'!$D:$D,$A$4,'ON Data'!$E:$E,12),SUMIFS('ON Data'!AI:AI,'ON Data'!$E:$E,12))</f>
        <v>0</v>
      </c>
      <c r="AF21" s="253">
        <f xml:space="preserve">
IF($A$4&lt;=12,SUMIFS('ON Data'!AJ:AJ,'ON Data'!$D:$D,$A$4,'ON Data'!$E:$E,12),SUMIFS('ON Data'!AJ:AJ,'ON Data'!$E:$E,12))</f>
        <v>0</v>
      </c>
      <c r="AG21" s="253">
        <f xml:space="preserve">
IF($A$4&lt;=12,SUMIFS('ON Data'!AK:AK,'ON Data'!$D:$D,$A$4,'ON Data'!$E:$E,12),SUMIFS('ON Data'!AK:AK,'ON Data'!$E:$E,12))</f>
        <v>0</v>
      </c>
      <c r="AH21" s="253">
        <f xml:space="preserve">
IF($A$4&lt;=12,SUMIFS('ON Data'!AL:AL,'ON Data'!$D:$D,$A$4,'ON Data'!$E:$E,12),SUMIFS('ON Data'!AL:AL,'ON Data'!$E:$E,12))</f>
        <v>0</v>
      </c>
      <c r="AI21" s="253">
        <f xml:space="preserve">
IF($A$4&lt;=12,SUMIFS('ON Data'!AM:AM,'ON Data'!$D:$D,$A$4,'ON Data'!$E:$E,12),SUMIFS('ON Data'!AM:AM,'ON Data'!$E:$E,12))</f>
        <v>0</v>
      </c>
      <c r="AJ21" s="253">
        <f xml:space="preserve">
IF($A$4&lt;=12,SUMIFS('ON Data'!AN:AN,'ON Data'!$D:$D,$A$4,'ON Data'!$E:$E,12),SUMIFS('ON Data'!AN:AN,'ON Data'!$E:$E,12))</f>
        <v>0</v>
      </c>
      <c r="AK21" s="253">
        <f xml:space="preserve">
IF($A$4&lt;=12,SUMIFS('ON Data'!AO:AO,'ON Data'!$D:$D,$A$4,'ON Data'!$E:$E,12),SUMIFS('ON Data'!AO:AO,'ON Data'!$E:$E,12))</f>
        <v>0</v>
      </c>
      <c r="AL21" s="253">
        <f xml:space="preserve">
IF($A$4&lt;=12,SUMIFS('ON Data'!AP:AP,'ON Data'!$D:$D,$A$4,'ON Data'!$E:$E,12),SUMIFS('ON Data'!AP:AP,'ON Data'!$E:$E,12))</f>
        <v>0</v>
      </c>
      <c r="AM21" s="254">
        <f xml:space="preserve">
IF($A$4&lt;=12,SUMIFS('ON Data'!AQ:AQ,'ON Data'!$D:$D,$A$4,'ON Data'!$E:$E,12),SUMIFS('ON Data'!AQ:AQ,'ON Data'!$E:$E,12))</f>
        <v>0</v>
      </c>
      <c r="AN21" s="326"/>
      <c r="AO21" s="326"/>
      <c r="AP21" s="326"/>
      <c r="AQ21" s="326"/>
      <c r="AR21" s="326"/>
      <c r="AS21" s="326"/>
      <c r="AT21" s="562"/>
    </row>
    <row r="22" spans="1:46" ht="15" hidden="1" outlineLevel="1" thickBot="1" x14ac:dyDescent="0.35">
      <c r="A22" s="231" t="s">
        <v>75</v>
      </c>
      <c r="B22" s="308" t="str">
        <f xml:space="preserve">
IF(OR(B21="",B21=0),"",B20/B21)</f>
        <v/>
      </c>
      <c r="C22" s="309" t="str">
        <f t="shared" ref="C22:I22" si="3" xml:space="preserve">
IF(OR(C21="",C21=0),"",C20/C21)</f>
        <v/>
      </c>
      <c r="D22" s="310" t="str">
        <f t="shared" si="3"/>
        <v/>
      </c>
      <c r="E22" s="310"/>
      <c r="F22" s="310" t="str">
        <f t="shared" si="3"/>
        <v/>
      </c>
      <c r="G22" s="310" t="str">
        <f t="shared" si="3"/>
        <v/>
      </c>
      <c r="H22" s="310" t="str">
        <f t="shared" si="3"/>
        <v/>
      </c>
      <c r="I22" s="310" t="str">
        <f t="shared" si="3"/>
        <v/>
      </c>
      <c r="J22" s="310" t="str">
        <f t="shared" ref="J22:AM22" si="4" xml:space="preserve">
IF(OR(J21="",J21=0),"",J20/J21)</f>
        <v/>
      </c>
      <c r="K22" s="310" t="str">
        <f t="shared" si="4"/>
        <v/>
      </c>
      <c r="L22" s="310" t="str">
        <f t="shared" si="4"/>
        <v/>
      </c>
      <c r="M22" s="310" t="str">
        <f t="shared" si="4"/>
        <v/>
      </c>
      <c r="N22" s="310" t="str">
        <f t="shared" si="4"/>
        <v/>
      </c>
      <c r="O22" s="310" t="str">
        <f t="shared" si="4"/>
        <v/>
      </c>
      <c r="P22" s="310" t="str">
        <f t="shared" si="4"/>
        <v/>
      </c>
      <c r="Q22" s="310" t="str">
        <f t="shared" si="4"/>
        <v/>
      </c>
      <c r="R22" s="310" t="str">
        <f t="shared" si="4"/>
        <v/>
      </c>
      <c r="S22" s="310" t="str">
        <f t="shared" si="4"/>
        <v/>
      </c>
      <c r="T22" s="310" t="str">
        <f t="shared" si="4"/>
        <v/>
      </c>
      <c r="U22" s="310" t="str">
        <f t="shared" si="4"/>
        <v/>
      </c>
      <c r="V22" s="310" t="str">
        <f t="shared" si="4"/>
        <v/>
      </c>
      <c r="W22" s="310" t="str">
        <f t="shared" si="4"/>
        <v/>
      </c>
      <c r="X22" s="310" t="str">
        <f t="shared" si="4"/>
        <v/>
      </c>
      <c r="Y22" s="310" t="str">
        <f t="shared" si="4"/>
        <v/>
      </c>
      <c r="Z22" s="310" t="str">
        <f t="shared" si="4"/>
        <v/>
      </c>
      <c r="AA22" s="310"/>
      <c r="AB22" s="310" t="str">
        <f t="shared" si="4"/>
        <v/>
      </c>
      <c r="AC22" s="310" t="str">
        <f t="shared" si="4"/>
        <v/>
      </c>
      <c r="AD22" s="310" t="str">
        <f t="shared" si="4"/>
        <v/>
      </c>
      <c r="AE22" s="310" t="str">
        <f t="shared" si="4"/>
        <v/>
      </c>
      <c r="AF22" s="310" t="str">
        <f t="shared" si="4"/>
        <v/>
      </c>
      <c r="AG22" s="310" t="str">
        <f t="shared" si="4"/>
        <v/>
      </c>
      <c r="AH22" s="310" t="str">
        <f t="shared" si="4"/>
        <v/>
      </c>
      <c r="AI22" s="310" t="str">
        <f t="shared" si="4"/>
        <v/>
      </c>
      <c r="AJ22" s="310" t="str">
        <f t="shared" si="4"/>
        <v/>
      </c>
      <c r="AK22" s="310" t="str">
        <f t="shared" si="4"/>
        <v/>
      </c>
      <c r="AL22" s="310" t="str">
        <f t="shared" si="4"/>
        <v/>
      </c>
      <c r="AM22" s="311" t="str">
        <f t="shared" si="4"/>
        <v/>
      </c>
      <c r="AN22" s="326"/>
      <c r="AO22" s="326"/>
      <c r="AP22" s="326"/>
      <c r="AQ22" s="326"/>
      <c r="AR22" s="326"/>
      <c r="AS22" s="326"/>
      <c r="AT22" s="562"/>
    </row>
    <row r="23" spans="1:46" ht="15" hidden="1" outlineLevel="1" thickBot="1" x14ac:dyDescent="0.35">
      <c r="A23" s="239" t="s">
        <v>68</v>
      </c>
      <c r="B23" s="255">
        <f xml:space="preserve">
IF(B21="","",B20-B21)</f>
        <v>2212279</v>
      </c>
      <c r="C23" s="256">
        <f t="shared" ref="C23:I23" si="5" xml:space="preserve">
IF(C21="","",C20-C21)</f>
        <v>0</v>
      </c>
      <c r="D23" s="257">
        <f t="shared" si="5"/>
        <v>0</v>
      </c>
      <c r="E23" s="257"/>
      <c r="F23" s="257">
        <f t="shared" si="5"/>
        <v>0</v>
      </c>
      <c r="G23" s="257">
        <f t="shared" si="5"/>
        <v>0</v>
      </c>
      <c r="H23" s="257">
        <f t="shared" si="5"/>
        <v>435986</v>
      </c>
      <c r="I23" s="257">
        <f t="shared" si="5"/>
        <v>0</v>
      </c>
      <c r="J23" s="257">
        <f t="shared" ref="J23:AM23" si="6" xml:space="preserve">
IF(J21="","",J20-J21)</f>
        <v>0</v>
      </c>
      <c r="K23" s="257">
        <f t="shared" si="6"/>
        <v>0</v>
      </c>
      <c r="L23" s="257">
        <f t="shared" si="6"/>
        <v>0</v>
      </c>
      <c r="M23" s="257">
        <f t="shared" si="6"/>
        <v>58453</v>
      </c>
      <c r="N23" s="257">
        <f t="shared" si="6"/>
        <v>0</v>
      </c>
      <c r="O23" s="257">
        <f t="shared" si="6"/>
        <v>0</v>
      </c>
      <c r="P23" s="257">
        <f t="shared" si="6"/>
        <v>0</v>
      </c>
      <c r="Q23" s="257">
        <f t="shared" si="6"/>
        <v>0</v>
      </c>
      <c r="R23" s="257">
        <f t="shared" si="6"/>
        <v>0</v>
      </c>
      <c r="S23" s="257">
        <f t="shared" si="6"/>
        <v>776773</v>
      </c>
      <c r="T23" s="257">
        <f t="shared" si="6"/>
        <v>0</v>
      </c>
      <c r="U23" s="257">
        <f t="shared" si="6"/>
        <v>0</v>
      </c>
      <c r="V23" s="257">
        <f t="shared" si="6"/>
        <v>0</v>
      </c>
      <c r="W23" s="257">
        <f t="shared" si="6"/>
        <v>0</v>
      </c>
      <c r="X23" s="257">
        <f t="shared" si="6"/>
        <v>0</v>
      </c>
      <c r="Y23" s="257">
        <f t="shared" si="6"/>
        <v>0</v>
      </c>
      <c r="Z23" s="257">
        <f t="shared" si="6"/>
        <v>0</v>
      </c>
      <c r="AA23" s="257"/>
      <c r="AB23" s="257">
        <f t="shared" si="6"/>
        <v>0</v>
      </c>
      <c r="AC23" s="257">
        <f t="shared" si="6"/>
        <v>0</v>
      </c>
      <c r="AD23" s="257">
        <f t="shared" si="6"/>
        <v>0</v>
      </c>
      <c r="AE23" s="257">
        <f t="shared" si="6"/>
        <v>0</v>
      </c>
      <c r="AF23" s="257">
        <f t="shared" si="6"/>
        <v>0</v>
      </c>
      <c r="AG23" s="257">
        <f t="shared" si="6"/>
        <v>0</v>
      </c>
      <c r="AH23" s="257">
        <f t="shared" si="6"/>
        <v>784622</v>
      </c>
      <c r="AI23" s="257">
        <f t="shared" si="6"/>
        <v>0</v>
      </c>
      <c r="AJ23" s="257">
        <f t="shared" si="6"/>
        <v>0</v>
      </c>
      <c r="AK23" s="257">
        <f t="shared" si="6"/>
        <v>0</v>
      </c>
      <c r="AL23" s="257">
        <f t="shared" si="6"/>
        <v>46453</v>
      </c>
      <c r="AM23" s="258">
        <f t="shared" si="6"/>
        <v>0</v>
      </c>
      <c r="AN23" s="326"/>
      <c r="AO23" s="326"/>
      <c r="AP23" s="326"/>
      <c r="AQ23" s="326"/>
      <c r="AR23" s="326"/>
      <c r="AS23" s="326"/>
      <c r="AT23" s="562"/>
    </row>
    <row r="24" spans="1:46" x14ac:dyDescent="0.3">
      <c r="A24" s="233" t="s">
        <v>182</v>
      </c>
      <c r="B24" s="282" t="s">
        <v>3</v>
      </c>
      <c r="C24" s="563" t="s">
        <v>194</v>
      </c>
      <c r="D24" s="534"/>
      <c r="E24" s="535"/>
      <c r="F24" s="536" t="s">
        <v>280</v>
      </c>
      <c r="G24" s="537"/>
      <c r="H24" s="537"/>
      <c r="I24" s="537"/>
      <c r="J24" s="537"/>
      <c r="K24" s="537"/>
      <c r="L24" s="536" t="s">
        <v>193</v>
      </c>
      <c r="M24" s="535"/>
      <c r="N24" s="535"/>
      <c r="O24" s="535"/>
      <c r="P24" s="535"/>
      <c r="Q24" s="535"/>
      <c r="R24" s="535"/>
      <c r="S24" s="535"/>
      <c r="T24" s="535"/>
      <c r="U24" s="535"/>
      <c r="V24" s="535"/>
      <c r="W24" s="535"/>
      <c r="X24" s="535"/>
      <c r="Y24" s="535"/>
      <c r="Z24" s="535"/>
      <c r="AA24" s="535"/>
      <c r="AB24" s="535"/>
      <c r="AC24" s="535"/>
      <c r="AD24" s="535"/>
      <c r="AE24" s="535"/>
      <c r="AF24" s="535"/>
      <c r="AG24" s="535"/>
      <c r="AH24" s="535"/>
      <c r="AI24" s="535"/>
      <c r="AJ24" s="535"/>
      <c r="AK24" s="535"/>
      <c r="AL24" s="535"/>
      <c r="AM24" s="535"/>
      <c r="AN24" s="535"/>
      <c r="AO24" s="535"/>
      <c r="AP24" s="535"/>
      <c r="AQ24" s="536" t="s">
        <v>281</v>
      </c>
      <c r="AR24" s="535"/>
      <c r="AS24" s="558"/>
      <c r="AT24" s="562"/>
    </row>
    <row r="25" spans="1:46" x14ac:dyDescent="0.3">
      <c r="A25" s="234" t="s">
        <v>73</v>
      </c>
      <c r="B25" s="251">
        <f xml:space="preserve">
SUM(C25:AS25)</f>
        <v>10250</v>
      </c>
      <c r="C25" s="564">
        <f xml:space="preserve">
IF($A$4&lt;=12,SUMIFS('ON Data'!$I:$I,'ON Data'!$D:$D,$A$4,'ON Data'!$E:$E,10),SUMIFS('ON Data'!$I:$I,'ON Data'!$E:$E,10))</f>
        <v>0</v>
      </c>
      <c r="D25" s="538"/>
      <c r="E25" s="539"/>
      <c r="F25" s="540">
        <f xml:space="preserve">
IF($A$4&lt;=12,SUMIFS('ON Data'!K:K,'ON Data'!$D:$D,$A$4,'ON Data'!$E:$E,10),SUMIFS('ON Data'!K:K,'ON Data'!$E:$E,10))</f>
        <v>0</v>
      </c>
      <c r="G25" s="539"/>
      <c r="H25" s="539"/>
      <c r="I25" s="539"/>
      <c r="J25" s="539"/>
      <c r="K25" s="539"/>
      <c r="L25" s="540">
        <f xml:space="preserve">
IF($A$4&lt;=12,SUMIFS('ON Data'!P:P,'ON Data'!$D:$D,$A$4,'ON Data'!$E:$E,10),SUMIFS('ON Data'!P:P,'ON Data'!$E:$E,10))</f>
        <v>4750</v>
      </c>
      <c r="M25" s="539"/>
      <c r="N25" s="539"/>
      <c r="O25" s="539"/>
      <c r="P25" s="539"/>
      <c r="Q25" s="539"/>
      <c r="R25" s="539"/>
      <c r="S25" s="539"/>
      <c r="T25" s="539"/>
      <c r="U25" s="539"/>
      <c r="V25" s="539"/>
      <c r="W25" s="539"/>
      <c r="X25" s="539"/>
      <c r="Y25" s="539"/>
      <c r="Z25" s="539"/>
      <c r="AA25" s="539"/>
      <c r="AB25" s="539"/>
      <c r="AC25" s="539"/>
      <c r="AD25" s="539"/>
      <c r="AE25" s="539"/>
      <c r="AF25" s="539"/>
      <c r="AG25" s="539"/>
      <c r="AH25" s="539"/>
      <c r="AI25" s="539"/>
      <c r="AJ25" s="539"/>
      <c r="AK25" s="539"/>
      <c r="AL25" s="539"/>
      <c r="AM25" s="539"/>
      <c r="AN25" s="539"/>
      <c r="AO25" s="539"/>
      <c r="AP25" s="539"/>
      <c r="AQ25" s="540">
        <f xml:space="preserve">
IF($A$4&lt;=12,SUMIFS('ON Data'!AW:AW,'ON Data'!$D:$D,$A$4,'ON Data'!$E:$E,10),SUMIFS('ON Data'!AW:AW,'ON Data'!$E:$E,10))</f>
        <v>5500</v>
      </c>
      <c r="AR25" s="539"/>
      <c r="AS25" s="559"/>
      <c r="AT25" s="562"/>
    </row>
    <row r="26" spans="1:46" x14ac:dyDescent="0.3">
      <c r="A26" s="240" t="s">
        <v>192</v>
      </c>
      <c r="B26" s="262">
        <f xml:space="preserve">
SUM(C26:AS26)</f>
        <v>7874.5640894786084</v>
      </c>
      <c r="C26" s="564">
        <f xml:space="preserve">
IF($A$4&lt;=12,SUMIFS('ON Data'!$I:$I,'ON Data'!$D:$D,$A$4,'ON Data'!$E:$E,11),SUMIFS('ON Data'!$I:$I,'ON Data'!$E:$E,11))</f>
        <v>0</v>
      </c>
      <c r="D26" s="538"/>
      <c r="E26" s="539"/>
      <c r="F26" s="540">
        <f xml:space="preserve">
IF($A$4&lt;=12,SUMIFS('ON Data'!K:K,'ON Data'!$D:$D,$A$4,'ON Data'!$E:$E,11),SUMIFS('ON Data'!K:K,'ON Data'!$E:$E,11))</f>
        <v>1624.5640894786081</v>
      </c>
      <c r="G26" s="539"/>
      <c r="H26" s="539"/>
      <c r="I26" s="539"/>
      <c r="J26" s="539"/>
      <c r="K26" s="539"/>
      <c r="L26" s="541">
        <f xml:space="preserve">
IF($A$4&lt;=12,SUMIFS('ON Data'!P:P,'ON Data'!$D:$D,$A$4,'ON Data'!$E:$E,11),SUMIFS('ON Data'!P:P,'ON Data'!$E:$E,11))</f>
        <v>1666.6666666666667</v>
      </c>
      <c r="M26" s="542"/>
      <c r="N26" s="542"/>
      <c r="O26" s="542"/>
      <c r="P26" s="542"/>
      <c r="Q26" s="542"/>
      <c r="R26" s="542"/>
      <c r="S26" s="542"/>
      <c r="T26" s="542"/>
      <c r="U26" s="542"/>
      <c r="V26" s="542"/>
      <c r="W26" s="542"/>
      <c r="X26" s="542"/>
      <c r="Y26" s="542"/>
      <c r="Z26" s="542"/>
      <c r="AA26" s="542"/>
      <c r="AB26" s="542"/>
      <c r="AC26" s="542"/>
      <c r="AD26" s="542"/>
      <c r="AE26" s="542"/>
      <c r="AF26" s="542"/>
      <c r="AG26" s="542"/>
      <c r="AH26" s="542"/>
      <c r="AI26" s="542"/>
      <c r="AJ26" s="542"/>
      <c r="AK26" s="542"/>
      <c r="AL26" s="542"/>
      <c r="AM26" s="542"/>
      <c r="AN26" s="542"/>
      <c r="AO26" s="542"/>
      <c r="AP26" s="542"/>
      <c r="AQ26" s="541">
        <f xml:space="preserve">
IF($A$4&lt;=12,SUMIFS('ON Data'!AW:AW,'ON Data'!$D:$D,$A$4,'ON Data'!$E:$E,11),SUMIFS('ON Data'!AW:AW,'ON Data'!$E:$E,11))</f>
        <v>4583.333333333333</v>
      </c>
      <c r="AR26" s="542"/>
      <c r="AS26" s="560"/>
      <c r="AT26" s="562"/>
    </row>
    <row r="27" spans="1:46" x14ac:dyDescent="0.3">
      <c r="A27" s="240" t="s">
        <v>75</v>
      </c>
      <c r="B27" s="283">
        <f xml:space="preserve">
IF(B26=0,0,B25/B26)</f>
        <v>1.3016593532707756</v>
      </c>
      <c r="C27" s="565">
        <f xml:space="preserve">
IF(C26=0,0,C25/C26)</f>
        <v>0</v>
      </c>
      <c r="D27" s="538"/>
      <c r="E27" s="539"/>
      <c r="F27" s="543">
        <f xml:space="preserve">
IF(F26=0,0,F25/F26)</f>
        <v>0</v>
      </c>
      <c r="G27" s="539"/>
      <c r="H27" s="539"/>
      <c r="I27" s="539"/>
      <c r="J27" s="539"/>
      <c r="K27" s="539"/>
      <c r="L27" s="543">
        <f xml:space="preserve">
IF(L26=0,0,L25/L26)</f>
        <v>2.85</v>
      </c>
      <c r="M27" s="539"/>
      <c r="N27" s="539"/>
      <c r="O27" s="539"/>
      <c r="P27" s="539"/>
      <c r="Q27" s="539"/>
      <c r="R27" s="539"/>
      <c r="S27" s="539"/>
      <c r="T27" s="539"/>
      <c r="U27" s="539"/>
      <c r="V27" s="539"/>
      <c r="W27" s="539"/>
      <c r="X27" s="539"/>
      <c r="Y27" s="539"/>
      <c r="Z27" s="539"/>
      <c r="AA27" s="539"/>
      <c r="AB27" s="539"/>
      <c r="AC27" s="539"/>
      <c r="AD27" s="539"/>
      <c r="AE27" s="539"/>
      <c r="AF27" s="539"/>
      <c r="AG27" s="539"/>
      <c r="AH27" s="539"/>
      <c r="AI27" s="539"/>
      <c r="AJ27" s="539"/>
      <c r="AK27" s="539"/>
      <c r="AL27" s="539"/>
      <c r="AM27" s="539"/>
      <c r="AN27" s="539"/>
      <c r="AO27" s="539"/>
      <c r="AP27" s="539"/>
      <c r="AQ27" s="543">
        <f xml:space="preserve">
IF(AQ26=0,0,AQ25/AQ26)</f>
        <v>1.2000000000000002</v>
      </c>
      <c r="AR27" s="539"/>
      <c r="AS27" s="559"/>
      <c r="AT27" s="562"/>
    </row>
    <row r="28" spans="1:46" ht="15" thickBot="1" x14ac:dyDescent="0.35">
      <c r="A28" s="240" t="s">
        <v>191</v>
      </c>
      <c r="B28" s="262">
        <f xml:space="preserve">
SUM(C28:AS28)</f>
        <v>-2375.4359105213916</v>
      </c>
      <c r="C28" s="566">
        <f xml:space="preserve">
C26-C25</f>
        <v>0</v>
      </c>
      <c r="D28" s="544"/>
      <c r="E28" s="545"/>
      <c r="F28" s="546">
        <f xml:space="preserve">
F26-F25</f>
        <v>1624.5640894786081</v>
      </c>
      <c r="G28" s="545"/>
      <c r="H28" s="545"/>
      <c r="I28" s="545"/>
      <c r="J28" s="545"/>
      <c r="K28" s="545"/>
      <c r="L28" s="546">
        <f xml:space="preserve">
L26-L25</f>
        <v>-3083.333333333333</v>
      </c>
      <c r="M28" s="545"/>
      <c r="N28" s="545"/>
      <c r="O28" s="545"/>
      <c r="P28" s="545"/>
      <c r="Q28" s="545"/>
      <c r="R28" s="545"/>
      <c r="S28" s="545"/>
      <c r="T28" s="545"/>
      <c r="U28" s="545"/>
      <c r="V28" s="545"/>
      <c r="W28" s="545"/>
      <c r="X28" s="545"/>
      <c r="Y28" s="545"/>
      <c r="Z28" s="545"/>
      <c r="AA28" s="545"/>
      <c r="AB28" s="545"/>
      <c r="AC28" s="545"/>
      <c r="AD28" s="545"/>
      <c r="AE28" s="545"/>
      <c r="AF28" s="545"/>
      <c r="AG28" s="545"/>
      <c r="AH28" s="545"/>
      <c r="AI28" s="545"/>
      <c r="AJ28" s="545"/>
      <c r="AK28" s="545"/>
      <c r="AL28" s="545"/>
      <c r="AM28" s="545"/>
      <c r="AN28" s="545"/>
      <c r="AO28" s="545"/>
      <c r="AP28" s="545"/>
      <c r="AQ28" s="546">
        <f xml:space="preserve">
AQ26-AQ25</f>
        <v>-916.66666666666697</v>
      </c>
      <c r="AR28" s="545"/>
      <c r="AS28" s="561"/>
      <c r="AT28" s="562"/>
    </row>
    <row r="29" spans="1:46" x14ac:dyDescent="0.3">
      <c r="A29" s="241"/>
      <c r="B29" s="241"/>
      <c r="C29" s="242"/>
      <c r="D29" s="241"/>
      <c r="E29" s="241"/>
      <c r="F29" s="241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1"/>
      <c r="AJ29" s="241"/>
      <c r="AK29" s="241"/>
      <c r="AL29" s="241"/>
      <c r="AM29" s="241"/>
    </row>
    <row r="30" spans="1:46" x14ac:dyDescent="0.3">
      <c r="A30" s="102" t="s">
        <v>149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39"/>
      <c r="AL30" s="139"/>
      <c r="AM30" s="139"/>
    </row>
    <row r="31" spans="1:46" x14ac:dyDescent="0.3">
      <c r="A31" s="103" t="s">
        <v>189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39"/>
      <c r="AL31" s="139"/>
      <c r="AM31" s="139"/>
    </row>
    <row r="32" spans="1:46" ht="14.4" customHeight="1" x14ac:dyDescent="0.3">
      <c r="A32" s="279" t="s">
        <v>186</v>
      </c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</row>
    <row r="33" spans="1:1" x14ac:dyDescent="0.3">
      <c r="A33" s="281" t="s">
        <v>276</v>
      </c>
    </row>
    <row r="34" spans="1:1" x14ac:dyDescent="0.3">
      <c r="A34" s="281" t="s">
        <v>277</v>
      </c>
    </row>
    <row r="35" spans="1:1" x14ac:dyDescent="0.3">
      <c r="A35" s="281" t="s">
        <v>278</v>
      </c>
    </row>
    <row r="36" spans="1:1" x14ac:dyDescent="0.3">
      <c r="A36" s="281" t="s">
        <v>279</v>
      </c>
    </row>
    <row r="37" spans="1:1" x14ac:dyDescent="0.3">
      <c r="A37" s="281" t="s">
        <v>195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10" priority="12" operator="greaterThan">
      <formula>1</formula>
    </cfRule>
  </conditionalFormatting>
  <conditionalFormatting sqref="C28">
    <cfRule type="cellIs" dxfId="9" priority="11" operator="lessThan">
      <formula>0</formula>
    </cfRule>
  </conditionalFormatting>
  <conditionalFormatting sqref="B22:AM22">
    <cfRule type="cellIs" dxfId="8" priority="10" operator="greaterThan">
      <formula>1</formula>
    </cfRule>
  </conditionalFormatting>
  <conditionalFormatting sqref="B23:AM23">
    <cfRule type="cellIs" dxfId="7" priority="9" operator="greaterThan">
      <formula>0</formula>
    </cfRule>
  </conditionalFormatting>
  <conditionalFormatting sqref="L28">
    <cfRule type="cellIs" dxfId="6" priority="5" operator="lessThan">
      <formula>0</formula>
    </cfRule>
  </conditionalFormatting>
  <conditionalFormatting sqref="L27">
    <cfRule type="cellIs" dxfId="5" priority="6" operator="greaterThan">
      <formula>1</formula>
    </cfRule>
  </conditionalFormatting>
  <conditionalFormatting sqref="F27">
    <cfRule type="cellIs" dxfId="4" priority="4" operator="greaterThan">
      <formula>1</formula>
    </cfRule>
  </conditionalFormatting>
  <conditionalFormatting sqref="F28">
    <cfRule type="cellIs" dxfId="3" priority="3" operator="lessThan">
      <formula>0</formula>
    </cfRule>
  </conditionalFormatting>
  <conditionalFormatting sqref="AQ28">
    <cfRule type="cellIs" dxfId="2" priority="1" operator="lessThan">
      <formula>0</formula>
    </cfRule>
  </conditionalFormatting>
  <conditionalFormatting sqref="AQ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1"/>
  <sheetViews>
    <sheetView showGridLines="0" showRowColHeaders="0" workbookViewId="0"/>
  </sheetViews>
  <sheetFormatPr defaultRowHeight="14.4" x14ac:dyDescent="0.3"/>
  <cols>
    <col min="1" max="16384" width="8.88671875" style="220"/>
  </cols>
  <sheetData>
    <row r="1" spans="1:49" x14ac:dyDescent="0.3">
      <c r="A1" s="220" t="s">
        <v>915</v>
      </c>
    </row>
    <row r="2" spans="1:49" x14ac:dyDescent="0.3">
      <c r="A2" s="224" t="s">
        <v>282</v>
      </c>
    </row>
    <row r="3" spans="1:49" x14ac:dyDescent="0.3">
      <c r="A3" s="220" t="s">
        <v>154</v>
      </c>
      <c r="B3" s="245">
        <v>2017</v>
      </c>
      <c r="D3" s="221">
        <f>MAX(D5:D1048576)</f>
        <v>2</v>
      </c>
      <c r="F3" s="221">
        <f>SUMIF($E5:$E1048576,"&lt;10",F5:F1048576)</f>
        <v>2235129.6</v>
      </c>
      <c r="G3" s="221">
        <f t="shared" ref="G3:AW3" si="0">SUMIF($E5:$E1048576,"&lt;10",G5:G1048576)</f>
        <v>200</v>
      </c>
      <c r="H3" s="221">
        <f t="shared" si="0"/>
        <v>0</v>
      </c>
      <c r="I3" s="221">
        <f t="shared" si="0"/>
        <v>32907.600000000006</v>
      </c>
      <c r="J3" s="221">
        <f t="shared" si="0"/>
        <v>0</v>
      </c>
      <c r="K3" s="221">
        <f t="shared" si="0"/>
        <v>0</v>
      </c>
      <c r="L3" s="221">
        <f t="shared" si="0"/>
        <v>436914</v>
      </c>
      <c r="M3" s="221">
        <f t="shared" si="0"/>
        <v>0</v>
      </c>
      <c r="N3" s="221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58751</v>
      </c>
      <c r="R3" s="221">
        <f t="shared" si="0"/>
        <v>0</v>
      </c>
      <c r="S3" s="221">
        <f t="shared" si="0"/>
        <v>0</v>
      </c>
      <c r="T3" s="221">
        <f t="shared" si="0"/>
        <v>0</v>
      </c>
      <c r="U3" s="221">
        <f t="shared" si="0"/>
        <v>0</v>
      </c>
      <c r="V3" s="221">
        <f t="shared" si="0"/>
        <v>0</v>
      </c>
      <c r="W3" s="221">
        <f t="shared" si="0"/>
        <v>786148.5</v>
      </c>
      <c r="X3" s="221">
        <f t="shared" si="0"/>
        <v>0</v>
      </c>
      <c r="Y3" s="221">
        <f t="shared" si="0"/>
        <v>0</v>
      </c>
      <c r="Z3" s="221">
        <f t="shared" si="0"/>
        <v>0</v>
      </c>
      <c r="AA3" s="221">
        <f t="shared" si="0"/>
        <v>0</v>
      </c>
      <c r="AB3" s="221">
        <f t="shared" si="0"/>
        <v>0</v>
      </c>
      <c r="AC3" s="221">
        <f t="shared" si="0"/>
        <v>0</v>
      </c>
      <c r="AD3" s="221">
        <f t="shared" si="0"/>
        <v>0</v>
      </c>
      <c r="AE3" s="221">
        <f t="shared" si="0"/>
        <v>8493.1999999999989</v>
      </c>
      <c r="AF3" s="221">
        <f t="shared" si="0"/>
        <v>0</v>
      </c>
      <c r="AG3" s="221">
        <f t="shared" si="0"/>
        <v>0</v>
      </c>
      <c r="AH3" s="221">
        <f t="shared" si="0"/>
        <v>0</v>
      </c>
      <c r="AI3" s="221">
        <f t="shared" si="0"/>
        <v>0</v>
      </c>
      <c r="AJ3" s="221">
        <f t="shared" si="0"/>
        <v>0</v>
      </c>
      <c r="AK3" s="221">
        <f t="shared" si="0"/>
        <v>0</v>
      </c>
      <c r="AL3" s="221">
        <f t="shared" si="0"/>
        <v>787843.3</v>
      </c>
      <c r="AM3" s="221">
        <f t="shared" si="0"/>
        <v>0</v>
      </c>
      <c r="AN3" s="221">
        <f t="shared" si="0"/>
        <v>0</v>
      </c>
      <c r="AO3" s="221">
        <f t="shared" si="0"/>
        <v>0</v>
      </c>
      <c r="AP3" s="221">
        <f t="shared" si="0"/>
        <v>54289</v>
      </c>
      <c r="AQ3" s="221">
        <f t="shared" si="0"/>
        <v>0</v>
      </c>
      <c r="AR3" s="221">
        <f t="shared" si="0"/>
        <v>0</v>
      </c>
      <c r="AS3" s="221">
        <f t="shared" si="0"/>
        <v>0</v>
      </c>
      <c r="AT3" s="221">
        <f t="shared" si="0"/>
        <v>69583</v>
      </c>
      <c r="AU3" s="221">
        <f t="shared" si="0"/>
        <v>0</v>
      </c>
      <c r="AV3" s="221">
        <f t="shared" si="0"/>
        <v>0</v>
      </c>
      <c r="AW3" s="221">
        <f t="shared" si="0"/>
        <v>0</v>
      </c>
    </row>
    <row r="4" spans="1:49" x14ac:dyDescent="0.3">
      <c r="A4" s="220" t="s">
        <v>155</v>
      </c>
      <c r="B4" s="245">
        <v>1</v>
      </c>
      <c r="C4" s="222" t="s">
        <v>5</v>
      </c>
      <c r="D4" s="223" t="s">
        <v>67</v>
      </c>
      <c r="E4" s="223" t="s">
        <v>153</v>
      </c>
      <c r="F4" s="223" t="s">
        <v>3</v>
      </c>
      <c r="G4" s="223">
        <v>0</v>
      </c>
      <c r="H4" s="223">
        <v>25</v>
      </c>
      <c r="I4" s="223">
        <v>30</v>
      </c>
      <c r="J4" s="223">
        <v>99</v>
      </c>
      <c r="K4" s="223">
        <v>100</v>
      </c>
      <c r="L4" s="223">
        <v>101</v>
      </c>
      <c r="M4" s="223">
        <v>102</v>
      </c>
      <c r="N4" s="223">
        <v>103</v>
      </c>
      <c r="O4" s="223">
        <v>203</v>
      </c>
      <c r="P4" s="223">
        <v>302</v>
      </c>
      <c r="Q4" s="223">
        <v>303</v>
      </c>
      <c r="R4" s="223">
        <v>304</v>
      </c>
      <c r="S4" s="223">
        <v>305</v>
      </c>
      <c r="T4" s="223">
        <v>306</v>
      </c>
      <c r="U4" s="223">
        <v>407</v>
      </c>
      <c r="V4" s="223">
        <v>408</v>
      </c>
      <c r="W4" s="223">
        <v>409</v>
      </c>
      <c r="X4" s="223">
        <v>410</v>
      </c>
      <c r="Y4" s="223">
        <v>415</v>
      </c>
      <c r="Z4" s="223">
        <v>416</v>
      </c>
      <c r="AA4" s="223">
        <v>418</v>
      </c>
      <c r="AB4" s="223">
        <v>419</v>
      </c>
      <c r="AC4" s="223">
        <v>420</v>
      </c>
      <c r="AD4" s="223">
        <v>421</v>
      </c>
      <c r="AE4" s="223">
        <v>422</v>
      </c>
      <c r="AF4" s="223">
        <v>520</v>
      </c>
      <c r="AG4" s="223">
        <v>521</v>
      </c>
      <c r="AH4" s="223">
        <v>522</v>
      </c>
      <c r="AI4" s="223">
        <v>523</v>
      </c>
      <c r="AJ4" s="223">
        <v>524</v>
      </c>
      <c r="AK4" s="223">
        <v>525</v>
      </c>
      <c r="AL4" s="223">
        <v>526</v>
      </c>
      <c r="AM4" s="223">
        <v>527</v>
      </c>
      <c r="AN4" s="223">
        <v>528</v>
      </c>
      <c r="AO4" s="223">
        <v>629</v>
      </c>
      <c r="AP4" s="223">
        <v>630</v>
      </c>
      <c r="AQ4" s="223">
        <v>636</v>
      </c>
      <c r="AR4" s="223">
        <v>637</v>
      </c>
      <c r="AS4" s="223">
        <v>640</v>
      </c>
      <c r="AT4" s="223">
        <v>642</v>
      </c>
      <c r="AU4" s="223">
        <v>743</v>
      </c>
      <c r="AV4" s="223">
        <v>745</v>
      </c>
      <c r="AW4" s="223">
        <v>746</v>
      </c>
    </row>
    <row r="5" spans="1:49" x14ac:dyDescent="0.3">
      <c r="A5" s="220" t="s">
        <v>156</v>
      </c>
      <c r="B5" s="245">
        <v>2</v>
      </c>
      <c r="C5" s="220">
        <v>41</v>
      </c>
      <c r="D5" s="220">
        <v>1</v>
      </c>
      <c r="E5" s="220">
        <v>1</v>
      </c>
      <c r="F5" s="220">
        <v>31.099999999999998</v>
      </c>
      <c r="G5" s="220">
        <v>0</v>
      </c>
      <c r="H5" s="220">
        <v>0</v>
      </c>
      <c r="I5" s="220">
        <v>0.7</v>
      </c>
      <c r="J5" s="220">
        <v>0</v>
      </c>
      <c r="K5" s="220">
        <v>0</v>
      </c>
      <c r="L5" s="220">
        <v>3.2</v>
      </c>
      <c r="M5" s="220">
        <v>0</v>
      </c>
      <c r="N5" s="220">
        <v>0</v>
      </c>
      <c r="O5" s="220">
        <v>0</v>
      </c>
      <c r="P5" s="220">
        <v>0</v>
      </c>
      <c r="Q5" s="220">
        <v>1</v>
      </c>
      <c r="R5" s="220">
        <v>0</v>
      </c>
      <c r="S5" s="220">
        <v>0</v>
      </c>
      <c r="T5" s="220">
        <v>0</v>
      </c>
      <c r="U5" s="220">
        <v>0</v>
      </c>
      <c r="V5" s="220">
        <v>0</v>
      </c>
      <c r="W5" s="220">
        <v>12.25</v>
      </c>
      <c r="X5" s="220">
        <v>0</v>
      </c>
      <c r="Y5" s="220">
        <v>0</v>
      </c>
      <c r="Z5" s="220">
        <v>0</v>
      </c>
      <c r="AA5" s="220">
        <v>0</v>
      </c>
      <c r="AB5" s="220">
        <v>0</v>
      </c>
      <c r="AC5" s="220">
        <v>0</v>
      </c>
      <c r="AD5" s="220">
        <v>0</v>
      </c>
      <c r="AE5" s="220">
        <v>0.4</v>
      </c>
      <c r="AF5" s="220">
        <v>0</v>
      </c>
      <c r="AG5" s="220">
        <v>0</v>
      </c>
      <c r="AH5" s="220">
        <v>0</v>
      </c>
      <c r="AI5" s="220">
        <v>0</v>
      </c>
      <c r="AJ5" s="220">
        <v>0</v>
      </c>
      <c r="AK5" s="220">
        <v>0</v>
      </c>
      <c r="AL5" s="220">
        <v>9.5500000000000007</v>
      </c>
      <c r="AM5" s="220">
        <v>0</v>
      </c>
      <c r="AN5" s="220">
        <v>0</v>
      </c>
      <c r="AO5" s="220">
        <v>0</v>
      </c>
      <c r="AP5" s="220">
        <v>2</v>
      </c>
      <c r="AQ5" s="220">
        <v>0</v>
      </c>
      <c r="AR5" s="220">
        <v>0</v>
      </c>
      <c r="AS5" s="220">
        <v>0</v>
      </c>
      <c r="AT5" s="220">
        <v>2</v>
      </c>
      <c r="AU5" s="220">
        <v>0</v>
      </c>
      <c r="AV5" s="220">
        <v>0</v>
      </c>
      <c r="AW5" s="220">
        <v>0</v>
      </c>
    </row>
    <row r="6" spans="1:49" x14ac:dyDescent="0.3">
      <c r="A6" s="220" t="s">
        <v>157</v>
      </c>
      <c r="B6" s="245">
        <v>3</v>
      </c>
      <c r="C6" s="220">
        <v>41</v>
      </c>
      <c r="D6" s="220">
        <v>1</v>
      </c>
      <c r="E6" s="220">
        <v>2</v>
      </c>
      <c r="F6" s="220">
        <v>4753</v>
      </c>
      <c r="G6" s="220">
        <v>0</v>
      </c>
      <c r="H6" s="220">
        <v>0</v>
      </c>
      <c r="I6" s="220">
        <v>115.2</v>
      </c>
      <c r="J6" s="220">
        <v>0</v>
      </c>
      <c r="K6" s="220">
        <v>0</v>
      </c>
      <c r="L6" s="220">
        <v>479.2</v>
      </c>
      <c r="M6" s="220">
        <v>0</v>
      </c>
      <c r="N6" s="220">
        <v>0</v>
      </c>
      <c r="O6" s="220">
        <v>0</v>
      </c>
      <c r="P6" s="220">
        <v>0</v>
      </c>
      <c r="Q6" s="220">
        <v>176</v>
      </c>
      <c r="R6" s="220">
        <v>0</v>
      </c>
      <c r="S6" s="220">
        <v>0</v>
      </c>
      <c r="T6" s="220">
        <v>0</v>
      </c>
      <c r="U6" s="220">
        <v>0</v>
      </c>
      <c r="V6" s="220">
        <v>0</v>
      </c>
      <c r="W6" s="220">
        <v>1808</v>
      </c>
      <c r="X6" s="220">
        <v>0</v>
      </c>
      <c r="Y6" s="220">
        <v>0</v>
      </c>
      <c r="Z6" s="220">
        <v>0</v>
      </c>
      <c r="AA6" s="220">
        <v>0</v>
      </c>
      <c r="AB6" s="220">
        <v>0</v>
      </c>
      <c r="AC6" s="220">
        <v>0</v>
      </c>
      <c r="AD6" s="220">
        <v>0</v>
      </c>
      <c r="AE6" s="220">
        <v>70.400000000000006</v>
      </c>
      <c r="AF6" s="220">
        <v>0</v>
      </c>
      <c r="AG6" s="220">
        <v>0</v>
      </c>
      <c r="AH6" s="220">
        <v>0</v>
      </c>
      <c r="AI6" s="220">
        <v>0</v>
      </c>
      <c r="AJ6" s="220">
        <v>0</v>
      </c>
      <c r="AK6" s="220">
        <v>0</v>
      </c>
      <c r="AL6" s="220">
        <v>1644.2</v>
      </c>
      <c r="AM6" s="220">
        <v>0</v>
      </c>
      <c r="AN6" s="220">
        <v>0</v>
      </c>
      <c r="AO6" s="220">
        <v>0</v>
      </c>
      <c r="AP6" s="220">
        <v>120</v>
      </c>
      <c r="AQ6" s="220">
        <v>0</v>
      </c>
      <c r="AR6" s="220">
        <v>0</v>
      </c>
      <c r="AS6" s="220">
        <v>0</v>
      </c>
      <c r="AT6" s="220">
        <v>340</v>
      </c>
      <c r="AU6" s="220">
        <v>0</v>
      </c>
      <c r="AV6" s="220">
        <v>0</v>
      </c>
      <c r="AW6" s="220">
        <v>0</v>
      </c>
    </row>
    <row r="7" spans="1:49" x14ac:dyDescent="0.3">
      <c r="A7" s="220" t="s">
        <v>158</v>
      </c>
      <c r="B7" s="245">
        <v>4</v>
      </c>
      <c r="C7" s="220">
        <v>41</v>
      </c>
      <c r="D7" s="220">
        <v>1</v>
      </c>
      <c r="E7" s="220">
        <v>3</v>
      </c>
      <c r="F7" s="220">
        <v>38</v>
      </c>
      <c r="G7" s="220">
        <v>0</v>
      </c>
      <c r="H7" s="220">
        <v>0</v>
      </c>
      <c r="I7" s="220">
        <v>0</v>
      </c>
      <c r="J7" s="220">
        <v>0</v>
      </c>
      <c r="K7" s="220">
        <v>0</v>
      </c>
      <c r="L7" s="220">
        <v>0</v>
      </c>
      <c r="M7" s="220">
        <v>0</v>
      </c>
      <c r="N7" s="220">
        <v>0</v>
      </c>
      <c r="O7" s="220">
        <v>0</v>
      </c>
      <c r="P7" s="220">
        <v>0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0">
        <v>0</v>
      </c>
      <c r="W7" s="220">
        <v>4</v>
      </c>
      <c r="X7" s="220">
        <v>0</v>
      </c>
      <c r="Y7" s="220">
        <v>0</v>
      </c>
      <c r="Z7" s="220">
        <v>0</v>
      </c>
      <c r="AA7" s="220">
        <v>0</v>
      </c>
      <c r="AB7" s="220">
        <v>0</v>
      </c>
      <c r="AC7" s="220">
        <v>0</v>
      </c>
      <c r="AD7" s="220">
        <v>0</v>
      </c>
      <c r="AE7" s="220">
        <v>0</v>
      </c>
      <c r="AF7" s="220">
        <v>0</v>
      </c>
      <c r="AG7" s="220">
        <v>0</v>
      </c>
      <c r="AH7" s="220">
        <v>0</v>
      </c>
      <c r="AI7" s="220">
        <v>0</v>
      </c>
      <c r="AJ7" s="220">
        <v>0</v>
      </c>
      <c r="AK7" s="220">
        <v>0</v>
      </c>
      <c r="AL7" s="220">
        <v>34</v>
      </c>
      <c r="AM7" s="220">
        <v>0</v>
      </c>
      <c r="AN7" s="220">
        <v>0</v>
      </c>
      <c r="AO7" s="220">
        <v>0</v>
      </c>
      <c r="AP7" s="220">
        <v>0</v>
      </c>
      <c r="AQ7" s="220">
        <v>0</v>
      </c>
      <c r="AR7" s="220">
        <v>0</v>
      </c>
      <c r="AS7" s="220">
        <v>0</v>
      </c>
      <c r="AT7" s="220">
        <v>0</v>
      </c>
      <c r="AU7" s="220">
        <v>0</v>
      </c>
      <c r="AV7" s="220">
        <v>0</v>
      </c>
      <c r="AW7" s="220">
        <v>0</v>
      </c>
    </row>
    <row r="8" spans="1:49" x14ac:dyDescent="0.3">
      <c r="A8" s="220" t="s">
        <v>159</v>
      </c>
      <c r="B8" s="245">
        <v>5</v>
      </c>
      <c r="C8" s="220">
        <v>41</v>
      </c>
      <c r="D8" s="220">
        <v>1</v>
      </c>
      <c r="E8" s="220">
        <v>4</v>
      </c>
      <c r="F8" s="220">
        <v>56</v>
      </c>
      <c r="G8" s="220">
        <v>0</v>
      </c>
      <c r="H8" s="220">
        <v>0</v>
      </c>
      <c r="I8" s="220">
        <v>0</v>
      </c>
      <c r="J8" s="220">
        <v>0</v>
      </c>
      <c r="K8" s="220">
        <v>0</v>
      </c>
      <c r="L8" s="220">
        <v>4</v>
      </c>
      <c r="M8" s="220">
        <v>0</v>
      </c>
      <c r="N8" s="220">
        <v>0</v>
      </c>
      <c r="O8" s="220">
        <v>0</v>
      </c>
      <c r="P8" s="220">
        <v>0</v>
      </c>
      <c r="Q8" s="220">
        <v>0</v>
      </c>
      <c r="R8" s="220">
        <v>0</v>
      </c>
      <c r="S8" s="220">
        <v>0</v>
      </c>
      <c r="T8" s="220">
        <v>0</v>
      </c>
      <c r="U8" s="220">
        <v>0</v>
      </c>
      <c r="V8" s="220">
        <v>0</v>
      </c>
      <c r="W8" s="220">
        <v>48</v>
      </c>
      <c r="X8" s="220">
        <v>0</v>
      </c>
      <c r="Y8" s="220">
        <v>0</v>
      </c>
      <c r="Z8" s="220">
        <v>0</v>
      </c>
      <c r="AA8" s="220">
        <v>0</v>
      </c>
      <c r="AB8" s="220">
        <v>0</v>
      </c>
      <c r="AC8" s="220">
        <v>0</v>
      </c>
      <c r="AD8" s="220">
        <v>0</v>
      </c>
      <c r="AE8" s="220">
        <v>0</v>
      </c>
      <c r="AF8" s="220">
        <v>0</v>
      </c>
      <c r="AG8" s="220">
        <v>0</v>
      </c>
      <c r="AH8" s="220">
        <v>0</v>
      </c>
      <c r="AI8" s="220">
        <v>0</v>
      </c>
      <c r="AJ8" s="220">
        <v>0</v>
      </c>
      <c r="AK8" s="220">
        <v>0</v>
      </c>
      <c r="AL8" s="220">
        <v>4</v>
      </c>
      <c r="AM8" s="220">
        <v>0</v>
      </c>
      <c r="AN8" s="220">
        <v>0</v>
      </c>
      <c r="AO8" s="220">
        <v>0</v>
      </c>
      <c r="AP8" s="220">
        <v>0</v>
      </c>
      <c r="AQ8" s="220">
        <v>0</v>
      </c>
      <c r="AR8" s="220">
        <v>0</v>
      </c>
      <c r="AS8" s="220">
        <v>0</v>
      </c>
      <c r="AT8" s="220">
        <v>0</v>
      </c>
      <c r="AU8" s="220">
        <v>0</v>
      </c>
      <c r="AV8" s="220">
        <v>0</v>
      </c>
      <c r="AW8" s="220">
        <v>0</v>
      </c>
    </row>
    <row r="9" spans="1:49" x14ac:dyDescent="0.3">
      <c r="A9" s="220" t="s">
        <v>160</v>
      </c>
      <c r="B9" s="245">
        <v>6</v>
      </c>
      <c r="C9" s="220">
        <v>41</v>
      </c>
      <c r="D9" s="220">
        <v>1</v>
      </c>
      <c r="E9" s="220">
        <v>5</v>
      </c>
      <c r="F9" s="220">
        <v>100</v>
      </c>
      <c r="G9" s="220">
        <v>100</v>
      </c>
      <c r="H9" s="220">
        <v>0</v>
      </c>
      <c r="I9" s="220">
        <v>0</v>
      </c>
      <c r="J9" s="220">
        <v>0</v>
      </c>
      <c r="K9" s="220">
        <v>0</v>
      </c>
      <c r="L9" s="220">
        <v>0</v>
      </c>
      <c r="M9" s="220">
        <v>0</v>
      </c>
      <c r="N9" s="220">
        <v>0</v>
      </c>
      <c r="O9" s="220">
        <v>0</v>
      </c>
      <c r="P9" s="220">
        <v>0</v>
      </c>
      <c r="Q9" s="220">
        <v>0</v>
      </c>
      <c r="R9" s="220">
        <v>0</v>
      </c>
      <c r="S9" s="220">
        <v>0</v>
      </c>
      <c r="T9" s="220">
        <v>0</v>
      </c>
      <c r="U9" s="220">
        <v>0</v>
      </c>
      <c r="V9" s="220">
        <v>0</v>
      </c>
      <c r="W9" s="220">
        <v>0</v>
      </c>
      <c r="X9" s="220">
        <v>0</v>
      </c>
      <c r="Y9" s="220">
        <v>0</v>
      </c>
      <c r="Z9" s="220">
        <v>0</v>
      </c>
      <c r="AA9" s="220">
        <v>0</v>
      </c>
      <c r="AB9" s="220">
        <v>0</v>
      </c>
      <c r="AC9" s="220">
        <v>0</v>
      </c>
      <c r="AD9" s="220">
        <v>0</v>
      </c>
      <c r="AE9" s="220">
        <v>0</v>
      </c>
      <c r="AF9" s="220">
        <v>0</v>
      </c>
      <c r="AG9" s="220">
        <v>0</v>
      </c>
      <c r="AH9" s="220">
        <v>0</v>
      </c>
      <c r="AI9" s="220">
        <v>0</v>
      </c>
      <c r="AJ9" s="220">
        <v>0</v>
      </c>
      <c r="AK9" s="220">
        <v>0</v>
      </c>
      <c r="AL9" s="220">
        <v>0</v>
      </c>
      <c r="AM9" s="220">
        <v>0</v>
      </c>
      <c r="AN9" s="220">
        <v>0</v>
      </c>
      <c r="AO9" s="220">
        <v>0</v>
      </c>
      <c r="AP9" s="220">
        <v>0</v>
      </c>
      <c r="AQ9" s="220">
        <v>0</v>
      </c>
      <c r="AR9" s="220">
        <v>0</v>
      </c>
      <c r="AS9" s="220">
        <v>0</v>
      </c>
      <c r="AT9" s="220">
        <v>0</v>
      </c>
      <c r="AU9" s="220">
        <v>0</v>
      </c>
      <c r="AV9" s="220">
        <v>0</v>
      </c>
      <c r="AW9" s="220">
        <v>0</v>
      </c>
    </row>
    <row r="10" spans="1:49" x14ac:dyDescent="0.3">
      <c r="A10" s="220" t="s">
        <v>161</v>
      </c>
      <c r="B10" s="245">
        <v>7</v>
      </c>
      <c r="C10" s="220">
        <v>41</v>
      </c>
      <c r="D10" s="220">
        <v>1</v>
      </c>
      <c r="E10" s="220">
        <v>6</v>
      </c>
      <c r="F10" s="220">
        <v>1171156</v>
      </c>
      <c r="G10" s="220">
        <v>0</v>
      </c>
      <c r="H10" s="220">
        <v>0</v>
      </c>
      <c r="I10" s="220">
        <v>19218</v>
      </c>
      <c r="J10" s="220">
        <v>0</v>
      </c>
      <c r="K10" s="220">
        <v>0</v>
      </c>
      <c r="L10" s="220">
        <v>225220</v>
      </c>
      <c r="M10" s="220">
        <v>0</v>
      </c>
      <c r="N10" s="220">
        <v>0</v>
      </c>
      <c r="O10" s="220">
        <v>0</v>
      </c>
      <c r="P10" s="220">
        <v>0</v>
      </c>
      <c r="Q10" s="220">
        <v>30880</v>
      </c>
      <c r="R10" s="220">
        <v>0</v>
      </c>
      <c r="S10" s="220">
        <v>0</v>
      </c>
      <c r="T10" s="220">
        <v>0</v>
      </c>
      <c r="U10" s="220">
        <v>0</v>
      </c>
      <c r="V10" s="220">
        <v>0</v>
      </c>
      <c r="W10" s="220">
        <v>416749</v>
      </c>
      <c r="X10" s="220">
        <v>0</v>
      </c>
      <c r="Y10" s="220">
        <v>0</v>
      </c>
      <c r="Z10" s="220">
        <v>0</v>
      </c>
      <c r="AA10" s="220">
        <v>0</v>
      </c>
      <c r="AB10" s="220">
        <v>0</v>
      </c>
      <c r="AC10" s="220">
        <v>0</v>
      </c>
      <c r="AD10" s="220">
        <v>0</v>
      </c>
      <c r="AE10" s="220">
        <v>10079</v>
      </c>
      <c r="AF10" s="220">
        <v>0</v>
      </c>
      <c r="AG10" s="220">
        <v>0</v>
      </c>
      <c r="AH10" s="220">
        <v>0</v>
      </c>
      <c r="AI10" s="220">
        <v>0</v>
      </c>
      <c r="AJ10" s="220">
        <v>0</v>
      </c>
      <c r="AK10" s="220">
        <v>0</v>
      </c>
      <c r="AL10" s="220">
        <v>406881</v>
      </c>
      <c r="AM10" s="220">
        <v>0</v>
      </c>
      <c r="AN10" s="220">
        <v>0</v>
      </c>
      <c r="AO10" s="220">
        <v>0</v>
      </c>
      <c r="AP10" s="220">
        <v>26710</v>
      </c>
      <c r="AQ10" s="220">
        <v>0</v>
      </c>
      <c r="AR10" s="220">
        <v>0</v>
      </c>
      <c r="AS10" s="220">
        <v>0</v>
      </c>
      <c r="AT10" s="220">
        <v>35419</v>
      </c>
      <c r="AU10" s="220">
        <v>0</v>
      </c>
      <c r="AV10" s="220">
        <v>0</v>
      </c>
      <c r="AW10" s="220">
        <v>0</v>
      </c>
    </row>
    <row r="11" spans="1:49" x14ac:dyDescent="0.3">
      <c r="A11" s="220" t="s">
        <v>162</v>
      </c>
      <c r="B11" s="245">
        <v>8</v>
      </c>
      <c r="C11" s="220">
        <v>41</v>
      </c>
      <c r="D11" s="220">
        <v>1</v>
      </c>
      <c r="E11" s="220">
        <v>9</v>
      </c>
      <c r="F11" s="220">
        <v>6788</v>
      </c>
      <c r="G11" s="220">
        <v>0</v>
      </c>
      <c r="H11" s="220">
        <v>0</v>
      </c>
      <c r="I11" s="220">
        <v>0</v>
      </c>
      <c r="J11" s="220">
        <v>0</v>
      </c>
      <c r="K11" s="220">
        <v>0</v>
      </c>
      <c r="L11" s="220">
        <v>0</v>
      </c>
      <c r="M11" s="220">
        <v>0</v>
      </c>
      <c r="N11" s="220">
        <v>0</v>
      </c>
      <c r="O11" s="220">
        <v>0</v>
      </c>
      <c r="P11" s="220">
        <v>0</v>
      </c>
      <c r="Q11" s="220">
        <v>0</v>
      </c>
      <c r="R11" s="220">
        <v>0</v>
      </c>
      <c r="S11" s="220">
        <v>0</v>
      </c>
      <c r="T11" s="220">
        <v>0</v>
      </c>
      <c r="U11" s="220">
        <v>0</v>
      </c>
      <c r="V11" s="220">
        <v>0</v>
      </c>
      <c r="W11" s="220">
        <v>3000</v>
      </c>
      <c r="X11" s="220">
        <v>0</v>
      </c>
      <c r="Y11" s="220">
        <v>0</v>
      </c>
      <c r="Z11" s="220">
        <v>0</v>
      </c>
      <c r="AA11" s="220">
        <v>0</v>
      </c>
      <c r="AB11" s="220">
        <v>0</v>
      </c>
      <c r="AC11" s="220">
        <v>0</v>
      </c>
      <c r="AD11" s="220">
        <v>0</v>
      </c>
      <c r="AE11" s="220">
        <v>0</v>
      </c>
      <c r="AF11" s="220">
        <v>0</v>
      </c>
      <c r="AG11" s="220">
        <v>0</v>
      </c>
      <c r="AH11" s="220">
        <v>0</v>
      </c>
      <c r="AI11" s="220">
        <v>0</v>
      </c>
      <c r="AJ11" s="220">
        <v>0</v>
      </c>
      <c r="AK11" s="220">
        <v>0</v>
      </c>
      <c r="AL11" s="220">
        <v>0</v>
      </c>
      <c r="AM11" s="220">
        <v>0</v>
      </c>
      <c r="AN11" s="220">
        <v>0</v>
      </c>
      <c r="AO11" s="220">
        <v>0</v>
      </c>
      <c r="AP11" s="220">
        <v>3788</v>
      </c>
      <c r="AQ11" s="220">
        <v>0</v>
      </c>
      <c r="AR11" s="220">
        <v>0</v>
      </c>
      <c r="AS11" s="220">
        <v>0</v>
      </c>
      <c r="AT11" s="220">
        <v>0</v>
      </c>
      <c r="AU11" s="220">
        <v>0</v>
      </c>
      <c r="AV11" s="220">
        <v>0</v>
      </c>
      <c r="AW11" s="220">
        <v>0</v>
      </c>
    </row>
    <row r="12" spans="1:49" x14ac:dyDescent="0.3">
      <c r="A12" s="220" t="s">
        <v>163</v>
      </c>
      <c r="B12" s="245">
        <v>9</v>
      </c>
      <c r="C12" s="220">
        <v>41</v>
      </c>
      <c r="D12" s="220">
        <v>1</v>
      </c>
      <c r="E12" s="220">
        <v>11</v>
      </c>
      <c r="F12" s="220">
        <v>3937.2820447393042</v>
      </c>
      <c r="G12" s="220">
        <v>0</v>
      </c>
      <c r="H12" s="220">
        <v>0</v>
      </c>
      <c r="I12" s="220">
        <v>0</v>
      </c>
      <c r="J12" s="220">
        <v>0</v>
      </c>
      <c r="K12" s="220">
        <v>812.28204473930407</v>
      </c>
      <c r="L12" s="220">
        <v>0</v>
      </c>
      <c r="M12" s="220">
        <v>0</v>
      </c>
      <c r="N12" s="220">
        <v>0</v>
      </c>
      <c r="O12" s="220">
        <v>0</v>
      </c>
      <c r="P12" s="220">
        <v>833.33333333333337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0">
        <v>0</v>
      </c>
      <c r="W12" s="220">
        <v>0</v>
      </c>
      <c r="X12" s="220">
        <v>0</v>
      </c>
      <c r="Y12" s="220">
        <v>0</v>
      </c>
      <c r="Z12" s="220">
        <v>0</v>
      </c>
      <c r="AA12" s="220">
        <v>0</v>
      </c>
      <c r="AB12" s="220">
        <v>0</v>
      </c>
      <c r="AC12" s="220">
        <v>0</v>
      </c>
      <c r="AD12" s="220">
        <v>0</v>
      </c>
      <c r="AE12" s="220">
        <v>0</v>
      </c>
      <c r="AF12" s="220">
        <v>0</v>
      </c>
      <c r="AG12" s="220">
        <v>0</v>
      </c>
      <c r="AH12" s="220">
        <v>0</v>
      </c>
      <c r="AI12" s="220">
        <v>0</v>
      </c>
      <c r="AJ12" s="220">
        <v>0</v>
      </c>
      <c r="AK12" s="220">
        <v>0</v>
      </c>
      <c r="AL12" s="220">
        <v>0</v>
      </c>
      <c r="AM12" s="220">
        <v>0</v>
      </c>
      <c r="AN12" s="220">
        <v>0</v>
      </c>
      <c r="AO12" s="220">
        <v>0</v>
      </c>
      <c r="AP12" s="220">
        <v>0</v>
      </c>
      <c r="AQ12" s="220">
        <v>0</v>
      </c>
      <c r="AR12" s="220">
        <v>0</v>
      </c>
      <c r="AS12" s="220">
        <v>0</v>
      </c>
      <c r="AT12" s="220">
        <v>0</v>
      </c>
      <c r="AU12" s="220">
        <v>0</v>
      </c>
      <c r="AV12" s="220">
        <v>0</v>
      </c>
      <c r="AW12" s="220">
        <v>2291.6666666666665</v>
      </c>
    </row>
    <row r="13" spans="1:49" x14ac:dyDescent="0.3">
      <c r="A13" s="220" t="s">
        <v>164</v>
      </c>
      <c r="B13" s="245">
        <v>10</v>
      </c>
      <c r="C13" s="220">
        <v>41</v>
      </c>
      <c r="D13" s="220">
        <v>2</v>
      </c>
      <c r="E13" s="220">
        <v>1</v>
      </c>
      <c r="F13" s="220">
        <v>30.099999999999998</v>
      </c>
      <c r="G13" s="220">
        <v>0</v>
      </c>
      <c r="H13" s="220">
        <v>0</v>
      </c>
      <c r="I13" s="220">
        <v>0.7</v>
      </c>
      <c r="J13" s="220">
        <v>0</v>
      </c>
      <c r="K13" s="220">
        <v>0</v>
      </c>
      <c r="L13" s="220">
        <v>3.2</v>
      </c>
      <c r="M13" s="220">
        <v>0</v>
      </c>
      <c r="N13" s="220">
        <v>0</v>
      </c>
      <c r="O13" s="220">
        <v>0</v>
      </c>
      <c r="P13" s="220">
        <v>0</v>
      </c>
      <c r="Q13" s="220">
        <v>1</v>
      </c>
      <c r="R13" s="220">
        <v>0</v>
      </c>
      <c r="S13" s="220">
        <v>0</v>
      </c>
      <c r="T13" s="220">
        <v>0</v>
      </c>
      <c r="U13" s="220">
        <v>0</v>
      </c>
      <c r="V13" s="220">
        <v>0</v>
      </c>
      <c r="W13" s="220">
        <v>11.25</v>
      </c>
      <c r="X13" s="220">
        <v>0</v>
      </c>
      <c r="Y13" s="220">
        <v>0</v>
      </c>
      <c r="Z13" s="220">
        <v>0</v>
      </c>
      <c r="AA13" s="220">
        <v>0</v>
      </c>
      <c r="AB13" s="220">
        <v>0</v>
      </c>
      <c r="AC13" s="220">
        <v>0</v>
      </c>
      <c r="AD13" s="220">
        <v>0</v>
      </c>
      <c r="AE13" s="220">
        <v>0.4</v>
      </c>
      <c r="AF13" s="220">
        <v>0</v>
      </c>
      <c r="AG13" s="220">
        <v>0</v>
      </c>
      <c r="AH13" s="220">
        <v>0</v>
      </c>
      <c r="AI13" s="220">
        <v>0</v>
      </c>
      <c r="AJ13" s="220">
        <v>0</v>
      </c>
      <c r="AK13" s="220">
        <v>0</v>
      </c>
      <c r="AL13" s="220">
        <v>9.5500000000000007</v>
      </c>
      <c r="AM13" s="220">
        <v>0</v>
      </c>
      <c r="AN13" s="220">
        <v>0</v>
      </c>
      <c r="AO13" s="220">
        <v>0</v>
      </c>
      <c r="AP13" s="220">
        <v>2</v>
      </c>
      <c r="AQ13" s="220">
        <v>0</v>
      </c>
      <c r="AR13" s="220">
        <v>0</v>
      </c>
      <c r="AS13" s="220">
        <v>0</v>
      </c>
      <c r="AT13" s="220">
        <v>2</v>
      </c>
      <c r="AU13" s="220">
        <v>0</v>
      </c>
      <c r="AV13" s="220">
        <v>0</v>
      </c>
      <c r="AW13" s="220">
        <v>0</v>
      </c>
    </row>
    <row r="14" spans="1:49" x14ac:dyDescent="0.3">
      <c r="A14" s="220" t="s">
        <v>165</v>
      </c>
      <c r="B14" s="245">
        <v>11</v>
      </c>
      <c r="C14" s="220">
        <v>41</v>
      </c>
      <c r="D14" s="220">
        <v>2</v>
      </c>
      <c r="E14" s="220">
        <v>2</v>
      </c>
      <c r="F14" s="220">
        <v>4100.3999999999996</v>
      </c>
      <c r="G14" s="220">
        <v>0</v>
      </c>
      <c r="H14" s="220">
        <v>0</v>
      </c>
      <c r="I14" s="220">
        <v>108</v>
      </c>
      <c r="J14" s="220">
        <v>0</v>
      </c>
      <c r="K14" s="220">
        <v>0</v>
      </c>
      <c r="L14" s="220">
        <v>438.40000000000003</v>
      </c>
      <c r="M14" s="220">
        <v>0</v>
      </c>
      <c r="N14" s="220">
        <v>0</v>
      </c>
      <c r="O14" s="220">
        <v>0</v>
      </c>
      <c r="P14" s="220">
        <v>0</v>
      </c>
      <c r="Q14" s="220">
        <v>120</v>
      </c>
      <c r="R14" s="220">
        <v>0</v>
      </c>
      <c r="S14" s="220">
        <v>0</v>
      </c>
      <c r="T14" s="220">
        <v>0</v>
      </c>
      <c r="U14" s="220">
        <v>0</v>
      </c>
      <c r="V14" s="220">
        <v>0</v>
      </c>
      <c r="W14" s="220">
        <v>1468</v>
      </c>
      <c r="X14" s="220">
        <v>0</v>
      </c>
      <c r="Y14" s="220">
        <v>0</v>
      </c>
      <c r="Z14" s="220">
        <v>0</v>
      </c>
      <c r="AA14" s="220">
        <v>0</v>
      </c>
      <c r="AB14" s="220">
        <v>0</v>
      </c>
      <c r="AC14" s="220">
        <v>0</v>
      </c>
      <c r="AD14" s="220">
        <v>0</v>
      </c>
      <c r="AE14" s="220">
        <v>64</v>
      </c>
      <c r="AF14" s="220">
        <v>0</v>
      </c>
      <c r="AG14" s="220">
        <v>0</v>
      </c>
      <c r="AH14" s="220">
        <v>0</v>
      </c>
      <c r="AI14" s="220">
        <v>0</v>
      </c>
      <c r="AJ14" s="220">
        <v>0</v>
      </c>
      <c r="AK14" s="220">
        <v>0</v>
      </c>
      <c r="AL14" s="220">
        <v>1478</v>
      </c>
      <c r="AM14" s="220">
        <v>0</v>
      </c>
      <c r="AN14" s="220">
        <v>0</v>
      </c>
      <c r="AO14" s="220">
        <v>0</v>
      </c>
      <c r="AP14" s="220">
        <v>136</v>
      </c>
      <c r="AQ14" s="220">
        <v>0</v>
      </c>
      <c r="AR14" s="220">
        <v>0</v>
      </c>
      <c r="AS14" s="220">
        <v>0</v>
      </c>
      <c r="AT14" s="220">
        <v>288</v>
      </c>
      <c r="AU14" s="220">
        <v>0</v>
      </c>
      <c r="AV14" s="220">
        <v>0</v>
      </c>
      <c r="AW14" s="220">
        <v>0</v>
      </c>
    </row>
    <row r="15" spans="1:49" x14ac:dyDescent="0.3">
      <c r="A15" s="220" t="s">
        <v>166</v>
      </c>
      <c r="B15" s="245">
        <v>12</v>
      </c>
      <c r="C15" s="220">
        <v>41</v>
      </c>
      <c r="D15" s="220">
        <v>2</v>
      </c>
      <c r="E15" s="220">
        <v>3</v>
      </c>
      <c r="F15" s="220">
        <v>34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0">
        <v>0</v>
      </c>
      <c r="W15" s="220">
        <v>0</v>
      </c>
      <c r="X15" s="220">
        <v>0</v>
      </c>
      <c r="Y15" s="220">
        <v>0</v>
      </c>
      <c r="Z15" s="220">
        <v>0</v>
      </c>
      <c r="AA15" s="220">
        <v>0</v>
      </c>
      <c r="AB15" s="220">
        <v>0</v>
      </c>
      <c r="AC15" s="220">
        <v>0</v>
      </c>
      <c r="AD15" s="220">
        <v>0</v>
      </c>
      <c r="AE15" s="220">
        <v>0</v>
      </c>
      <c r="AF15" s="220">
        <v>0</v>
      </c>
      <c r="AG15" s="220">
        <v>0</v>
      </c>
      <c r="AH15" s="220">
        <v>0</v>
      </c>
      <c r="AI15" s="220">
        <v>0</v>
      </c>
      <c r="AJ15" s="220">
        <v>0</v>
      </c>
      <c r="AK15" s="220">
        <v>0</v>
      </c>
      <c r="AL15" s="220">
        <v>34</v>
      </c>
      <c r="AM15" s="220">
        <v>0</v>
      </c>
      <c r="AN15" s="220">
        <v>0</v>
      </c>
      <c r="AO15" s="220">
        <v>0</v>
      </c>
      <c r="AP15" s="220">
        <v>0</v>
      </c>
      <c r="AQ15" s="220">
        <v>0</v>
      </c>
      <c r="AR15" s="220">
        <v>0</v>
      </c>
      <c r="AS15" s="220">
        <v>0</v>
      </c>
      <c r="AT15" s="220">
        <v>0</v>
      </c>
      <c r="AU15" s="220">
        <v>0</v>
      </c>
      <c r="AV15" s="220">
        <v>0</v>
      </c>
      <c r="AW15" s="220">
        <v>0</v>
      </c>
    </row>
    <row r="16" spans="1:49" x14ac:dyDescent="0.3">
      <c r="A16" s="220" t="s">
        <v>154</v>
      </c>
      <c r="B16" s="245">
        <v>2017</v>
      </c>
      <c r="C16" s="220">
        <v>41</v>
      </c>
      <c r="D16" s="220">
        <v>2</v>
      </c>
      <c r="E16" s="220">
        <v>4</v>
      </c>
      <c r="F16" s="220">
        <v>32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220">
        <v>0</v>
      </c>
      <c r="M16" s="220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0">
        <v>0</v>
      </c>
      <c r="W16" s="220">
        <v>24</v>
      </c>
      <c r="X16" s="220">
        <v>0</v>
      </c>
      <c r="Y16" s="220">
        <v>0</v>
      </c>
      <c r="Z16" s="220">
        <v>0</v>
      </c>
      <c r="AA16" s="220">
        <v>0</v>
      </c>
      <c r="AB16" s="220">
        <v>0</v>
      </c>
      <c r="AC16" s="220">
        <v>0</v>
      </c>
      <c r="AD16" s="220">
        <v>0</v>
      </c>
      <c r="AE16" s="220">
        <v>0</v>
      </c>
      <c r="AF16" s="220">
        <v>0</v>
      </c>
      <c r="AG16" s="220">
        <v>0</v>
      </c>
      <c r="AH16" s="220">
        <v>0</v>
      </c>
      <c r="AI16" s="220">
        <v>0</v>
      </c>
      <c r="AJ16" s="220">
        <v>0</v>
      </c>
      <c r="AK16" s="220">
        <v>0</v>
      </c>
      <c r="AL16" s="220">
        <v>8</v>
      </c>
      <c r="AM16" s="220">
        <v>0</v>
      </c>
      <c r="AN16" s="220">
        <v>0</v>
      </c>
      <c r="AO16" s="220">
        <v>0</v>
      </c>
      <c r="AP16" s="220">
        <v>0</v>
      </c>
      <c r="AQ16" s="220">
        <v>0</v>
      </c>
      <c r="AR16" s="220">
        <v>0</v>
      </c>
      <c r="AS16" s="220">
        <v>0</v>
      </c>
      <c r="AT16" s="220">
        <v>0</v>
      </c>
      <c r="AU16" s="220">
        <v>0</v>
      </c>
      <c r="AV16" s="220">
        <v>0</v>
      </c>
      <c r="AW16" s="220">
        <v>0</v>
      </c>
    </row>
    <row r="17" spans="3:49" x14ac:dyDescent="0.3">
      <c r="C17" s="220">
        <v>41</v>
      </c>
      <c r="D17" s="220">
        <v>2</v>
      </c>
      <c r="E17" s="220">
        <v>5</v>
      </c>
      <c r="F17" s="220">
        <v>100</v>
      </c>
      <c r="G17" s="220">
        <v>100</v>
      </c>
      <c r="H17" s="220">
        <v>0</v>
      </c>
      <c r="I17" s="220">
        <v>0</v>
      </c>
      <c r="J17" s="220">
        <v>0</v>
      </c>
      <c r="K17" s="220">
        <v>0</v>
      </c>
      <c r="L17" s="220">
        <v>0</v>
      </c>
      <c r="M17" s="220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0">
        <v>0</v>
      </c>
      <c r="W17" s="220">
        <v>0</v>
      </c>
      <c r="X17" s="220">
        <v>0</v>
      </c>
      <c r="Y17" s="220">
        <v>0</v>
      </c>
      <c r="Z17" s="220">
        <v>0</v>
      </c>
      <c r="AA17" s="220">
        <v>0</v>
      </c>
      <c r="AB17" s="220">
        <v>0</v>
      </c>
      <c r="AC17" s="220">
        <v>0</v>
      </c>
      <c r="AD17" s="220">
        <v>0</v>
      </c>
      <c r="AE17" s="220">
        <v>0</v>
      </c>
      <c r="AF17" s="220">
        <v>0</v>
      </c>
      <c r="AG17" s="220">
        <v>0</v>
      </c>
      <c r="AH17" s="220">
        <v>0</v>
      </c>
      <c r="AI17" s="220">
        <v>0</v>
      </c>
      <c r="AJ17" s="220">
        <v>0</v>
      </c>
      <c r="AK17" s="220">
        <v>0</v>
      </c>
      <c r="AL17" s="220">
        <v>0</v>
      </c>
      <c r="AM17" s="220">
        <v>0</v>
      </c>
      <c r="AN17" s="220">
        <v>0</v>
      </c>
      <c r="AO17" s="220">
        <v>0</v>
      </c>
      <c r="AP17" s="220">
        <v>0</v>
      </c>
      <c r="AQ17" s="220">
        <v>0</v>
      </c>
      <c r="AR17" s="220">
        <v>0</v>
      </c>
      <c r="AS17" s="220">
        <v>0</v>
      </c>
      <c r="AT17" s="220">
        <v>0</v>
      </c>
      <c r="AU17" s="220">
        <v>0</v>
      </c>
      <c r="AV17" s="220">
        <v>0</v>
      </c>
      <c r="AW17" s="220">
        <v>0</v>
      </c>
    </row>
    <row r="18" spans="3:49" x14ac:dyDescent="0.3">
      <c r="C18" s="220">
        <v>41</v>
      </c>
      <c r="D18" s="220">
        <v>2</v>
      </c>
      <c r="E18" s="220">
        <v>6</v>
      </c>
      <c r="F18" s="220">
        <v>1041123</v>
      </c>
      <c r="G18" s="220">
        <v>0</v>
      </c>
      <c r="H18" s="220">
        <v>0</v>
      </c>
      <c r="I18" s="220">
        <v>13465</v>
      </c>
      <c r="J18" s="220">
        <v>0</v>
      </c>
      <c r="K18" s="220">
        <v>0</v>
      </c>
      <c r="L18" s="220">
        <v>210766</v>
      </c>
      <c r="M18" s="220">
        <v>0</v>
      </c>
      <c r="N18" s="220">
        <v>0</v>
      </c>
      <c r="O18" s="220">
        <v>0</v>
      </c>
      <c r="P18" s="220">
        <v>0</v>
      </c>
      <c r="Q18" s="220">
        <v>27573</v>
      </c>
      <c r="R18" s="220">
        <v>0</v>
      </c>
      <c r="S18" s="220">
        <v>0</v>
      </c>
      <c r="T18" s="220">
        <v>0</v>
      </c>
      <c r="U18" s="220">
        <v>0</v>
      </c>
      <c r="V18" s="220">
        <v>0</v>
      </c>
      <c r="W18" s="220">
        <v>360024</v>
      </c>
      <c r="X18" s="220">
        <v>0</v>
      </c>
      <c r="Y18" s="220">
        <v>0</v>
      </c>
      <c r="Z18" s="220">
        <v>0</v>
      </c>
      <c r="AA18" s="220">
        <v>0</v>
      </c>
      <c r="AB18" s="220">
        <v>0</v>
      </c>
      <c r="AC18" s="220">
        <v>0</v>
      </c>
      <c r="AD18" s="220">
        <v>0</v>
      </c>
      <c r="AE18" s="220">
        <v>-1721</v>
      </c>
      <c r="AF18" s="220">
        <v>0</v>
      </c>
      <c r="AG18" s="220">
        <v>0</v>
      </c>
      <c r="AH18" s="220">
        <v>0</v>
      </c>
      <c r="AI18" s="220">
        <v>0</v>
      </c>
      <c r="AJ18" s="220">
        <v>0</v>
      </c>
      <c r="AK18" s="220">
        <v>0</v>
      </c>
      <c r="AL18" s="220">
        <v>377741</v>
      </c>
      <c r="AM18" s="220">
        <v>0</v>
      </c>
      <c r="AN18" s="220">
        <v>0</v>
      </c>
      <c r="AO18" s="220">
        <v>0</v>
      </c>
      <c r="AP18" s="220">
        <v>19743</v>
      </c>
      <c r="AQ18" s="220">
        <v>0</v>
      </c>
      <c r="AR18" s="220">
        <v>0</v>
      </c>
      <c r="AS18" s="220">
        <v>0</v>
      </c>
      <c r="AT18" s="220">
        <v>33532</v>
      </c>
      <c r="AU18" s="220">
        <v>0</v>
      </c>
      <c r="AV18" s="220">
        <v>0</v>
      </c>
      <c r="AW18" s="220">
        <v>0</v>
      </c>
    </row>
    <row r="19" spans="3:49" x14ac:dyDescent="0.3">
      <c r="C19" s="220">
        <v>41</v>
      </c>
      <c r="D19" s="220">
        <v>2</v>
      </c>
      <c r="E19" s="220">
        <v>9</v>
      </c>
      <c r="F19" s="220">
        <v>6788</v>
      </c>
      <c r="G19" s="220">
        <v>0</v>
      </c>
      <c r="H19" s="220">
        <v>0</v>
      </c>
      <c r="I19" s="220">
        <v>0</v>
      </c>
      <c r="J19" s="220">
        <v>0</v>
      </c>
      <c r="K19" s="220">
        <v>0</v>
      </c>
      <c r="L19" s="220">
        <v>0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0">
        <v>0</v>
      </c>
      <c r="W19" s="220">
        <v>3000</v>
      </c>
      <c r="X19" s="220">
        <v>0</v>
      </c>
      <c r="Y19" s="220">
        <v>0</v>
      </c>
      <c r="Z19" s="220">
        <v>0</v>
      </c>
      <c r="AA19" s="220">
        <v>0</v>
      </c>
      <c r="AB19" s="220">
        <v>0</v>
      </c>
      <c r="AC19" s="220">
        <v>0</v>
      </c>
      <c r="AD19" s="220">
        <v>0</v>
      </c>
      <c r="AE19" s="220">
        <v>0</v>
      </c>
      <c r="AF19" s="220">
        <v>0</v>
      </c>
      <c r="AG19" s="220">
        <v>0</v>
      </c>
      <c r="AH19" s="220">
        <v>0</v>
      </c>
      <c r="AI19" s="220">
        <v>0</v>
      </c>
      <c r="AJ19" s="220">
        <v>0</v>
      </c>
      <c r="AK19" s="220">
        <v>0</v>
      </c>
      <c r="AL19" s="220">
        <v>0</v>
      </c>
      <c r="AM19" s="220">
        <v>0</v>
      </c>
      <c r="AN19" s="220">
        <v>0</v>
      </c>
      <c r="AO19" s="220">
        <v>0</v>
      </c>
      <c r="AP19" s="220">
        <v>3788</v>
      </c>
      <c r="AQ19" s="220">
        <v>0</v>
      </c>
      <c r="AR19" s="220">
        <v>0</v>
      </c>
      <c r="AS19" s="220">
        <v>0</v>
      </c>
      <c r="AT19" s="220">
        <v>0</v>
      </c>
      <c r="AU19" s="220">
        <v>0</v>
      </c>
      <c r="AV19" s="220">
        <v>0</v>
      </c>
      <c r="AW19" s="220">
        <v>0</v>
      </c>
    </row>
    <row r="20" spans="3:49" x14ac:dyDescent="0.3">
      <c r="C20" s="220">
        <v>41</v>
      </c>
      <c r="D20" s="220">
        <v>2</v>
      </c>
      <c r="E20" s="220">
        <v>10</v>
      </c>
      <c r="F20" s="220">
        <v>10250</v>
      </c>
      <c r="G20" s="220">
        <v>0</v>
      </c>
      <c r="H20" s="220">
        <v>0</v>
      </c>
      <c r="I20" s="220">
        <v>0</v>
      </c>
      <c r="J20" s="220">
        <v>0</v>
      </c>
      <c r="K20" s="220">
        <v>0</v>
      </c>
      <c r="L20" s="220">
        <v>0</v>
      </c>
      <c r="M20" s="220">
        <v>0</v>
      </c>
      <c r="N20" s="220">
        <v>0</v>
      </c>
      <c r="O20" s="220">
        <v>0</v>
      </c>
      <c r="P20" s="220">
        <v>4750</v>
      </c>
      <c r="Q20" s="220">
        <v>0</v>
      </c>
      <c r="R20" s="220">
        <v>0</v>
      </c>
      <c r="S20" s="220">
        <v>0</v>
      </c>
      <c r="T20" s="220">
        <v>0</v>
      </c>
      <c r="U20" s="220">
        <v>0</v>
      </c>
      <c r="V20" s="220">
        <v>0</v>
      </c>
      <c r="W20" s="220">
        <v>0</v>
      </c>
      <c r="X20" s="220">
        <v>0</v>
      </c>
      <c r="Y20" s="220">
        <v>0</v>
      </c>
      <c r="Z20" s="220">
        <v>0</v>
      </c>
      <c r="AA20" s="220">
        <v>0</v>
      </c>
      <c r="AB20" s="220">
        <v>0</v>
      </c>
      <c r="AC20" s="220">
        <v>0</v>
      </c>
      <c r="AD20" s="220">
        <v>0</v>
      </c>
      <c r="AE20" s="220">
        <v>0</v>
      </c>
      <c r="AF20" s="220">
        <v>0</v>
      </c>
      <c r="AG20" s="220">
        <v>0</v>
      </c>
      <c r="AH20" s="220">
        <v>0</v>
      </c>
      <c r="AI20" s="220">
        <v>0</v>
      </c>
      <c r="AJ20" s="220">
        <v>0</v>
      </c>
      <c r="AK20" s="220">
        <v>0</v>
      </c>
      <c r="AL20" s="220">
        <v>0</v>
      </c>
      <c r="AM20" s="220">
        <v>0</v>
      </c>
      <c r="AN20" s="220">
        <v>0</v>
      </c>
      <c r="AO20" s="220">
        <v>0</v>
      </c>
      <c r="AP20" s="220">
        <v>0</v>
      </c>
      <c r="AQ20" s="220">
        <v>0</v>
      </c>
      <c r="AR20" s="220">
        <v>0</v>
      </c>
      <c r="AS20" s="220">
        <v>0</v>
      </c>
      <c r="AT20" s="220">
        <v>0</v>
      </c>
      <c r="AU20" s="220">
        <v>0</v>
      </c>
      <c r="AV20" s="220">
        <v>0</v>
      </c>
      <c r="AW20" s="220">
        <v>5500</v>
      </c>
    </row>
    <row r="21" spans="3:49" x14ac:dyDescent="0.3">
      <c r="C21" s="220">
        <v>41</v>
      </c>
      <c r="D21" s="220">
        <v>2</v>
      </c>
      <c r="E21" s="220">
        <v>11</v>
      </c>
      <c r="F21" s="220">
        <v>3937.2820447393042</v>
      </c>
      <c r="G21" s="220">
        <v>0</v>
      </c>
      <c r="H21" s="220">
        <v>0</v>
      </c>
      <c r="I21" s="220">
        <v>0</v>
      </c>
      <c r="J21" s="220">
        <v>0</v>
      </c>
      <c r="K21" s="220">
        <v>812.28204473930407</v>
      </c>
      <c r="L21" s="220">
        <v>0</v>
      </c>
      <c r="M21" s="220">
        <v>0</v>
      </c>
      <c r="N21" s="220">
        <v>0</v>
      </c>
      <c r="O21" s="220">
        <v>0</v>
      </c>
      <c r="P21" s="220">
        <v>833.33333333333337</v>
      </c>
      <c r="Q21" s="220">
        <v>0</v>
      </c>
      <c r="R21" s="220">
        <v>0</v>
      </c>
      <c r="S21" s="220">
        <v>0</v>
      </c>
      <c r="T21" s="220">
        <v>0</v>
      </c>
      <c r="U21" s="220">
        <v>0</v>
      </c>
      <c r="V21" s="220">
        <v>0</v>
      </c>
      <c r="W21" s="220">
        <v>0</v>
      </c>
      <c r="X21" s="220">
        <v>0</v>
      </c>
      <c r="Y21" s="220">
        <v>0</v>
      </c>
      <c r="Z21" s="220">
        <v>0</v>
      </c>
      <c r="AA21" s="220">
        <v>0</v>
      </c>
      <c r="AB21" s="220">
        <v>0</v>
      </c>
      <c r="AC21" s="220">
        <v>0</v>
      </c>
      <c r="AD21" s="220">
        <v>0</v>
      </c>
      <c r="AE21" s="220">
        <v>0</v>
      </c>
      <c r="AF21" s="220">
        <v>0</v>
      </c>
      <c r="AG21" s="220">
        <v>0</v>
      </c>
      <c r="AH21" s="220">
        <v>0</v>
      </c>
      <c r="AI21" s="220">
        <v>0</v>
      </c>
      <c r="AJ21" s="220">
        <v>0</v>
      </c>
      <c r="AK21" s="220">
        <v>0</v>
      </c>
      <c r="AL21" s="220">
        <v>0</v>
      </c>
      <c r="AM21" s="220">
        <v>0</v>
      </c>
      <c r="AN21" s="220">
        <v>0</v>
      </c>
      <c r="AO21" s="220">
        <v>0</v>
      </c>
      <c r="AP21" s="220">
        <v>0</v>
      </c>
      <c r="AQ21" s="220">
        <v>0</v>
      </c>
      <c r="AR21" s="220">
        <v>0</v>
      </c>
      <c r="AS21" s="220">
        <v>0</v>
      </c>
      <c r="AT21" s="220">
        <v>0</v>
      </c>
      <c r="AU21" s="220">
        <v>0</v>
      </c>
      <c r="AV21" s="220">
        <v>0</v>
      </c>
      <c r="AW21" s="220">
        <v>2291.6666666666665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8" customWidth="1" collapsed="1"/>
    <col min="2" max="2" width="7.77734375" style="95" hidden="1" customWidth="1" outlineLevel="1"/>
    <col min="3" max="4" width="5.44140625" style="118" hidden="1" customWidth="1"/>
    <col min="5" max="5" width="7.77734375" style="95" customWidth="1"/>
    <col min="6" max="6" width="7.77734375" style="95" hidden="1" customWidth="1"/>
    <col min="7" max="7" width="5.44140625" style="118" hidden="1" customWidth="1"/>
    <col min="8" max="8" width="7.77734375" style="95" customWidth="1" collapsed="1"/>
    <col min="9" max="9" width="7.77734375" style="199" hidden="1" customWidth="1" outlineLevel="1"/>
    <col min="10" max="10" width="7.77734375" style="199" customWidth="1" collapsed="1"/>
    <col min="11" max="12" width="7.77734375" style="95" hidden="1" customWidth="1"/>
    <col min="13" max="13" width="5.44140625" style="118" hidden="1" customWidth="1"/>
    <col min="14" max="14" width="7.77734375" style="95" customWidth="1"/>
    <col min="15" max="15" width="7.77734375" style="95" hidden="1" customWidth="1"/>
    <col min="16" max="16" width="5.44140625" style="118" hidden="1" customWidth="1"/>
    <col min="17" max="17" width="7.77734375" style="95" customWidth="1" collapsed="1"/>
    <col min="18" max="18" width="7.77734375" style="199" hidden="1" customWidth="1" outlineLevel="1"/>
    <col min="19" max="19" width="7.77734375" style="199" customWidth="1" collapsed="1"/>
    <col min="20" max="21" width="7.77734375" style="95" hidden="1" customWidth="1"/>
    <col min="22" max="22" width="5" style="118" hidden="1" customWidth="1"/>
    <col min="23" max="23" width="7.77734375" style="95" customWidth="1"/>
    <col min="24" max="24" width="7.77734375" style="95" hidden="1" customWidth="1"/>
    <col min="25" max="25" width="5" style="118" hidden="1" customWidth="1"/>
    <col min="26" max="26" width="7.77734375" style="95" customWidth="1" collapsed="1"/>
    <col min="27" max="27" width="7.77734375" style="199" hidden="1" customWidth="1" outlineLevel="1"/>
    <col min="28" max="28" width="7.77734375" style="199" customWidth="1" collapsed="1"/>
    <col min="29" max="16384" width="8.88671875" style="118"/>
  </cols>
  <sheetData>
    <row r="1" spans="1:28" ht="18.600000000000001" customHeight="1" thickBot="1" x14ac:dyDescent="0.4">
      <c r="A1" s="398" t="s">
        <v>918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</row>
    <row r="2" spans="1:28" ht="14.4" customHeight="1" thickBot="1" x14ac:dyDescent="0.35">
      <c r="A2" s="224" t="s">
        <v>282</v>
      </c>
      <c r="B2" s="100"/>
      <c r="C2" s="100"/>
      <c r="D2" s="100"/>
      <c r="E2" s="100"/>
      <c r="F2" s="100"/>
      <c r="G2" s="100"/>
      <c r="H2" s="100"/>
      <c r="I2" s="216"/>
      <c r="J2" s="216"/>
      <c r="K2" s="100"/>
      <c r="L2" s="100"/>
      <c r="M2" s="100"/>
      <c r="N2" s="100"/>
      <c r="O2" s="100"/>
      <c r="P2" s="100"/>
      <c r="Q2" s="100"/>
      <c r="R2" s="216"/>
      <c r="S2" s="216"/>
      <c r="T2" s="100"/>
      <c r="U2" s="100"/>
      <c r="V2" s="100"/>
      <c r="W2" s="100"/>
      <c r="X2" s="100"/>
      <c r="Y2" s="100"/>
      <c r="Z2" s="100"/>
      <c r="AA2" s="216"/>
      <c r="AB2" s="216"/>
    </row>
    <row r="3" spans="1:28" ht="14.4" customHeight="1" thickBot="1" x14ac:dyDescent="0.35">
      <c r="A3" s="209" t="s">
        <v>128</v>
      </c>
      <c r="B3" s="210">
        <f>SUBTOTAL(9,B6:B1048576)/4</f>
        <v>8828433</v>
      </c>
      <c r="C3" s="211">
        <f t="shared" ref="C3:Z3" si="0">SUBTOTAL(9,C6:C1048576)</f>
        <v>6</v>
      </c>
      <c r="D3" s="211"/>
      <c r="E3" s="211">
        <f>SUBTOTAL(9,E6:E1048576)/4</f>
        <v>4340021</v>
      </c>
      <c r="F3" s="211"/>
      <c r="G3" s="211">
        <f t="shared" si="0"/>
        <v>6</v>
      </c>
      <c r="H3" s="211">
        <f>SUBTOTAL(9,H6:H1048576)/4</f>
        <v>10435909</v>
      </c>
      <c r="I3" s="214">
        <f>IF(B3&lt;&gt;0,H3/B3,"")</f>
        <v>1.1820794245139539</v>
      </c>
      <c r="J3" s="212">
        <f>IF(E3&lt;&gt;0,H3/E3,"")</f>
        <v>2.4045756921452686</v>
      </c>
      <c r="K3" s="213">
        <f t="shared" si="0"/>
        <v>0</v>
      </c>
      <c r="L3" s="213"/>
      <c r="M3" s="211">
        <f t="shared" si="0"/>
        <v>0</v>
      </c>
      <c r="N3" s="211">
        <f t="shared" si="0"/>
        <v>0</v>
      </c>
      <c r="O3" s="211"/>
      <c r="P3" s="211">
        <f t="shared" si="0"/>
        <v>0</v>
      </c>
      <c r="Q3" s="211">
        <f t="shared" si="0"/>
        <v>0</v>
      </c>
      <c r="R3" s="214" t="str">
        <f>IF(K3&lt;&gt;0,Q3/K3,"")</f>
        <v/>
      </c>
      <c r="S3" s="214" t="str">
        <f>IF(N3&lt;&gt;0,Q3/N3,"")</f>
        <v/>
      </c>
      <c r="T3" s="210">
        <f t="shared" si="0"/>
        <v>0</v>
      </c>
      <c r="U3" s="213"/>
      <c r="V3" s="211">
        <f t="shared" si="0"/>
        <v>0</v>
      </c>
      <c r="W3" s="211">
        <f t="shared" si="0"/>
        <v>0</v>
      </c>
      <c r="X3" s="211"/>
      <c r="Y3" s="211">
        <f t="shared" si="0"/>
        <v>0</v>
      </c>
      <c r="Z3" s="211">
        <f t="shared" si="0"/>
        <v>0</v>
      </c>
      <c r="AA3" s="214" t="str">
        <f>IF(T3&lt;&gt;0,Z3/T3,"")</f>
        <v/>
      </c>
      <c r="AB3" s="212" t="str">
        <f>IF(W3&lt;&gt;0,Z3/W3,"")</f>
        <v/>
      </c>
    </row>
    <row r="4" spans="1:28" ht="14.4" customHeight="1" x14ac:dyDescent="0.3">
      <c r="A4" s="399" t="s">
        <v>237</v>
      </c>
      <c r="B4" s="400" t="s">
        <v>99</v>
      </c>
      <c r="C4" s="401"/>
      <c r="D4" s="402"/>
      <c r="E4" s="401"/>
      <c r="F4" s="402"/>
      <c r="G4" s="401"/>
      <c r="H4" s="401"/>
      <c r="I4" s="402"/>
      <c r="J4" s="403"/>
      <c r="K4" s="400" t="s">
        <v>100</v>
      </c>
      <c r="L4" s="402"/>
      <c r="M4" s="401"/>
      <c r="N4" s="401"/>
      <c r="O4" s="402"/>
      <c r="P4" s="401"/>
      <c r="Q4" s="401"/>
      <c r="R4" s="402"/>
      <c r="S4" s="403"/>
      <c r="T4" s="400" t="s">
        <v>101</v>
      </c>
      <c r="U4" s="402"/>
      <c r="V4" s="401"/>
      <c r="W4" s="401"/>
      <c r="X4" s="402"/>
      <c r="Y4" s="401"/>
      <c r="Z4" s="401"/>
      <c r="AA4" s="402"/>
      <c r="AB4" s="403"/>
    </row>
    <row r="5" spans="1:28" ht="14.4" customHeight="1" thickBot="1" x14ac:dyDescent="0.35">
      <c r="A5" s="567"/>
      <c r="B5" s="568">
        <v>2015</v>
      </c>
      <c r="C5" s="569"/>
      <c r="D5" s="569"/>
      <c r="E5" s="569">
        <v>2016</v>
      </c>
      <c r="F5" s="569"/>
      <c r="G5" s="569"/>
      <c r="H5" s="569">
        <v>2017</v>
      </c>
      <c r="I5" s="570" t="s">
        <v>269</v>
      </c>
      <c r="J5" s="571" t="s">
        <v>2</v>
      </c>
      <c r="K5" s="568">
        <v>2015</v>
      </c>
      <c r="L5" s="569"/>
      <c r="M5" s="569"/>
      <c r="N5" s="569">
        <v>2016</v>
      </c>
      <c r="O5" s="569"/>
      <c r="P5" s="569"/>
      <c r="Q5" s="569">
        <v>2017</v>
      </c>
      <c r="R5" s="570" t="s">
        <v>269</v>
      </c>
      <c r="S5" s="571" t="s">
        <v>2</v>
      </c>
      <c r="T5" s="568">
        <v>2015</v>
      </c>
      <c r="U5" s="569"/>
      <c r="V5" s="569"/>
      <c r="W5" s="569">
        <v>2016</v>
      </c>
      <c r="X5" s="569"/>
      <c r="Y5" s="569"/>
      <c r="Z5" s="569">
        <v>2017</v>
      </c>
      <c r="AA5" s="570" t="s">
        <v>269</v>
      </c>
      <c r="AB5" s="571" t="s">
        <v>2</v>
      </c>
    </row>
    <row r="6" spans="1:28" ht="14.4" customHeight="1" x14ac:dyDescent="0.3">
      <c r="A6" s="572" t="s">
        <v>916</v>
      </c>
      <c r="B6" s="573">
        <v>8828433</v>
      </c>
      <c r="C6" s="574">
        <v>1</v>
      </c>
      <c r="D6" s="574">
        <v>2.034191309212559</v>
      </c>
      <c r="E6" s="573">
        <v>4340021</v>
      </c>
      <c r="F6" s="574">
        <v>0.491595847190549</v>
      </c>
      <c r="G6" s="574">
        <v>1</v>
      </c>
      <c r="H6" s="573">
        <v>10435909</v>
      </c>
      <c r="I6" s="574">
        <v>1.1820794245139539</v>
      </c>
      <c r="J6" s="574">
        <v>2.4045756921452686</v>
      </c>
      <c r="K6" s="573"/>
      <c r="L6" s="574"/>
      <c r="M6" s="574"/>
      <c r="N6" s="573"/>
      <c r="O6" s="574"/>
      <c r="P6" s="574"/>
      <c r="Q6" s="573"/>
      <c r="R6" s="574"/>
      <c r="S6" s="574"/>
      <c r="T6" s="573"/>
      <c r="U6" s="574"/>
      <c r="V6" s="574"/>
      <c r="W6" s="573"/>
      <c r="X6" s="574"/>
      <c r="Y6" s="574"/>
      <c r="Z6" s="573"/>
      <c r="AA6" s="574"/>
      <c r="AB6" s="575"/>
    </row>
    <row r="7" spans="1:28" ht="14.4" customHeight="1" thickBot="1" x14ac:dyDescent="0.35">
      <c r="A7" s="579" t="s">
        <v>917</v>
      </c>
      <c r="B7" s="576">
        <v>8828433</v>
      </c>
      <c r="C7" s="577">
        <v>1</v>
      </c>
      <c r="D7" s="577">
        <v>2.034191309212559</v>
      </c>
      <c r="E7" s="576">
        <v>4340021</v>
      </c>
      <c r="F7" s="577">
        <v>0.491595847190549</v>
      </c>
      <c r="G7" s="577">
        <v>1</v>
      </c>
      <c r="H7" s="576">
        <v>10435909</v>
      </c>
      <c r="I7" s="577">
        <v>1.1820794245139539</v>
      </c>
      <c r="J7" s="577">
        <v>2.4045756921452686</v>
      </c>
      <c r="K7" s="576"/>
      <c r="L7" s="577"/>
      <c r="M7" s="577"/>
      <c r="N7" s="576"/>
      <c r="O7" s="577"/>
      <c r="P7" s="577"/>
      <c r="Q7" s="576"/>
      <c r="R7" s="577"/>
      <c r="S7" s="577"/>
      <c r="T7" s="576"/>
      <c r="U7" s="577"/>
      <c r="V7" s="577"/>
      <c r="W7" s="576"/>
      <c r="X7" s="577"/>
      <c r="Y7" s="577"/>
      <c r="Z7" s="576"/>
      <c r="AA7" s="577"/>
      <c r="AB7" s="578"/>
    </row>
    <row r="8" spans="1:28" ht="14.4" customHeight="1" thickBot="1" x14ac:dyDescent="0.35"/>
    <row r="9" spans="1:28" ht="14.4" customHeight="1" x14ac:dyDescent="0.3">
      <c r="A9" s="572" t="s">
        <v>456</v>
      </c>
      <c r="B9" s="573">
        <v>8667923</v>
      </c>
      <c r="C9" s="574">
        <v>1</v>
      </c>
      <c r="D9" s="574">
        <v>2.0294305158540715</v>
      </c>
      <c r="E9" s="573">
        <v>4271111</v>
      </c>
      <c r="F9" s="574">
        <v>0.49274907033668852</v>
      </c>
      <c r="G9" s="574">
        <v>1</v>
      </c>
      <c r="H9" s="573">
        <v>10263413</v>
      </c>
      <c r="I9" s="574">
        <v>1.1840683171735604</v>
      </c>
      <c r="J9" s="575">
        <v>2.4029843757280016</v>
      </c>
    </row>
    <row r="10" spans="1:28" ht="14.4" customHeight="1" x14ac:dyDescent="0.3">
      <c r="A10" s="587" t="s">
        <v>919</v>
      </c>
      <c r="B10" s="580">
        <v>8667923</v>
      </c>
      <c r="C10" s="581">
        <v>1</v>
      </c>
      <c r="D10" s="581">
        <v>2.0294305158540715</v>
      </c>
      <c r="E10" s="580">
        <v>4271111</v>
      </c>
      <c r="F10" s="581">
        <v>0.49274907033668852</v>
      </c>
      <c r="G10" s="581">
        <v>1</v>
      </c>
      <c r="H10" s="580">
        <v>10263413</v>
      </c>
      <c r="I10" s="581">
        <v>1.1840683171735604</v>
      </c>
      <c r="J10" s="582">
        <v>2.4029843757280016</v>
      </c>
    </row>
    <row r="11" spans="1:28" ht="14.4" customHeight="1" x14ac:dyDescent="0.3">
      <c r="A11" s="583" t="s">
        <v>920</v>
      </c>
      <c r="B11" s="584">
        <v>160510</v>
      </c>
      <c r="C11" s="585">
        <v>1</v>
      </c>
      <c r="D11" s="585">
        <v>2.3292700624002323</v>
      </c>
      <c r="E11" s="584">
        <v>68910</v>
      </c>
      <c r="F11" s="585">
        <v>0.4293190455423338</v>
      </c>
      <c r="G11" s="585">
        <v>1</v>
      </c>
      <c r="H11" s="584">
        <v>172496</v>
      </c>
      <c r="I11" s="585">
        <v>1.074674475110585</v>
      </c>
      <c r="J11" s="586">
        <v>2.503207081700769</v>
      </c>
    </row>
    <row r="12" spans="1:28" ht="14.4" customHeight="1" thickBot="1" x14ac:dyDescent="0.35">
      <c r="A12" s="579" t="s">
        <v>919</v>
      </c>
      <c r="B12" s="576">
        <v>160510</v>
      </c>
      <c r="C12" s="577">
        <v>1</v>
      </c>
      <c r="D12" s="577">
        <v>2.3292700624002323</v>
      </c>
      <c r="E12" s="576">
        <v>68910</v>
      </c>
      <c r="F12" s="577">
        <v>0.4293190455423338</v>
      </c>
      <c r="G12" s="577">
        <v>1</v>
      </c>
      <c r="H12" s="576">
        <v>172496</v>
      </c>
      <c r="I12" s="577">
        <v>1.074674475110585</v>
      </c>
      <c r="J12" s="578">
        <v>2.503207081700769</v>
      </c>
    </row>
    <row r="13" spans="1:28" ht="14.4" customHeight="1" x14ac:dyDescent="0.3">
      <c r="A13" s="495" t="s">
        <v>485</v>
      </c>
    </row>
    <row r="14" spans="1:28" ht="14.4" customHeight="1" x14ac:dyDescent="0.3">
      <c r="A14" s="496" t="s">
        <v>486</v>
      </c>
    </row>
    <row r="15" spans="1:28" ht="14.4" customHeight="1" x14ac:dyDescent="0.3">
      <c r="A15" s="495" t="s">
        <v>921</v>
      </c>
    </row>
    <row r="16" spans="1:28" ht="14.4" customHeight="1" x14ac:dyDescent="0.3">
      <c r="A16" s="495" t="s">
        <v>922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8" bestFit="1" customWidth="1"/>
    <col min="2" max="2" width="7.77734375" style="196" hidden="1" customWidth="1" outlineLevel="1"/>
    <col min="3" max="3" width="7.77734375" style="196" customWidth="1" collapsed="1"/>
    <col min="4" max="4" width="7.77734375" style="196" customWidth="1"/>
    <col min="5" max="5" width="7.77734375" style="95" hidden="1" customWidth="1" outlineLevel="1"/>
    <col min="6" max="6" width="7.77734375" style="95" customWidth="1" collapsed="1"/>
    <col min="7" max="7" width="7.77734375" style="95" customWidth="1"/>
    <col min="8" max="16384" width="8.88671875" style="118"/>
  </cols>
  <sheetData>
    <row r="1" spans="1:7" ht="18.600000000000001" customHeight="1" thickBot="1" x14ac:dyDescent="0.4">
      <c r="A1" s="398" t="s">
        <v>923</v>
      </c>
      <c r="B1" s="335"/>
      <c r="C1" s="335"/>
      <c r="D1" s="335"/>
      <c r="E1" s="335"/>
      <c r="F1" s="335"/>
      <c r="G1" s="335"/>
    </row>
    <row r="2" spans="1:7" ht="14.4" customHeight="1" thickBot="1" x14ac:dyDescent="0.35">
      <c r="A2" s="224" t="s">
        <v>282</v>
      </c>
      <c r="B2" s="100"/>
      <c r="C2" s="100"/>
      <c r="D2" s="100"/>
      <c r="E2" s="100"/>
      <c r="F2" s="100"/>
      <c r="G2" s="100"/>
    </row>
    <row r="3" spans="1:7" ht="14.4" customHeight="1" thickBot="1" x14ac:dyDescent="0.35">
      <c r="A3" s="330" t="s">
        <v>128</v>
      </c>
      <c r="B3" s="305">
        <f t="shared" ref="B3:G3" si="0">SUBTOTAL(9,B6:B1048576)</f>
        <v>20436</v>
      </c>
      <c r="C3" s="306">
        <f t="shared" si="0"/>
        <v>10422</v>
      </c>
      <c r="D3" s="329">
        <f t="shared" si="0"/>
        <v>22035</v>
      </c>
      <c r="E3" s="213">
        <f t="shared" si="0"/>
        <v>8828433</v>
      </c>
      <c r="F3" s="211">
        <f t="shared" si="0"/>
        <v>4340021</v>
      </c>
      <c r="G3" s="307">
        <f t="shared" si="0"/>
        <v>10435909</v>
      </c>
    </row>
    <row r="4" spans="1:7" ht="14.4" customHeight="1" x14ac:dyDescent="0.3">
      <c r="A4" s="399" t="s">
        <v>129</v>
      </c>
      <c r="B4" s="404" t="s">
        <v>234</v>
      </c>
      <c r="C4" s="402"/>
      <c r="D4" s="405"/>
      <c r="E4" s="404" t="s">
        <v>99</v>
      </c>
      <c r="F4" s="402"/>
      <c r="G4" s="405"/>
    </row>
    <row r="5" spans="1:7" ht="14.4" customHeight="1" thickBot="1" x14ac:dyDescent="0.35">
      <c r="A5" s="567"/>
      <c r="B5" s="568">
        <v>2015</v>
      </c>
      <c r="C5" s="569">
        <v>2016</v>
      </c>
      <c r="D5" s="588">
        <v>2017</v>
      </c>
      <c r="E5" s="568">
        <v>2015</v>
      </c>
      <c r="F5" s="569">
        <v>2016</v>
      </c>
      <c r="G5" s="588">
        <v>2017</v>
      </c>
    </row>
    <row r="6" spans="1:7" ht="14.4" customHeight="1" thickBot="1" x14ac:dyDescent="0.35">
      <c r="A6" s="591" t="s">
        <v>919</v>
      </c>
      <c r="B6" s="503">
        <v>20436</v>
      </c>
      <c r="C6" s="503">
        <v>10422</v>
      </c>
      <c r="D6" s="503">
        <v>22035</v>
      </c>
      <c r="E6" s="589">
        <v>8828433</v>
      </c>
      <c r="F6" s="589">
        <v>4340021</v>
      </c>
      <c r="G6" s="590">
        <v>10435909</v>
      </c>
    </row>
    <row r="7" spans="1:7" ht="14.4" customHeight="1" x14ac:dyDescent="0.3">
      <c r="A7" s="495" t="s">
        <v>485</v>
      </c>
    </row>
    <row r="8" spans="1:7" ht="14.4" customHeight="1" x14ac:dyDescent="0.3">
      <c r="A8" s="496" t="s">
        <v>486</v>
      </c>
    </row>
    <row r="9" spans="1:7" ht="14.4" customHeight="1" x14ac:dyDescent="0.3">
      <c r="A9" s="495" t="s">
        <v>921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8" customWidth="1"/>
    <col min="2" max="2" width="8.6640625" style="118" bestFit="1" customWidth="1"/>
    <col min="3" max="3" width="6.109375" style="118" customWidth="1"/>
    <col min="4" max="4" width="2.109375" style="118" bestFit="1" customWidth="1"/>
    <col min="5" max="5" width="8" style="118" customWidth="1"/>
    <col min="6" max="6" width="50.88671875" style="118" bestFit="1" customWidth="1" collapsed="1"/>
    <col min="7" max="8" width="11.109375" style="196" hidden="1" customWidth="1" outlineLevel="1"/>
    <col min="9" max="10" width="9.33203125" style="118" hidden="1" customWidth="1"/>
    <col min="11" max="12" width="11.109375" style="196" customWidth="1"/>
    <col min="13" max="14" width="9.33203125" style="118" hidden="1" customWidth="1"/>
    <col min="15" max="16" width="11.109375" style="196" customWidth="1"/>
    <col min="17" max="17" width="11.109375" style="199" customWidth="1"/>
    <col min="18" max="18" width="11.109375" style="196" customWidth="1"/>
    <col min="19" max="16384" width="8.88671875" style="118"/>
  </cols>
  <sheetData>
    <row r="1" spans="1:18" ht="18.600000000000001" customHeight="1" thickBot="1" x14ac:dyDescent="0.4">
      <c r="A1" s="335" t="s">
        <v>1080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18" ht="14.4" customHeight="1" thickBot="1" x14ac:dyDescent="0.35">
      <c r="A2" s="224" t="s">
        <v>282</v>
      </c>
      <c r="B2" s="186"/>
      <c r="C2" s="186"/>
      <c r="D2" s="100"/>
      <c r="E2" s="100"/>
      <c r="F2" s="100"/>
      <c r="G2" s="219"/>
      <c r="H2" s="219"/>
      <c r="I2" s="100"/>
      <c r="J2" s="100"/>
      <c r="K2" s="219"/>
      <c r="L2" s="219"/>
      <c r="M2" s="100"/>
      <c r="N2" s="100"/>
      <c r="O2" s="219"/>
      <c r="P2" s="219"/>
      <c r="Q2" s="216"/>
      <c r="R2" s="219"/>
    </row>
    <row r="3" spans="1:18" ht="14.4" customHeight="1" thickBot="1" x14ac:dyDescent="0.35">
      <c r="F3" s="77" t="s">
        <v>128</v>
      </c>
      <c r="G3" s="91">
        <f t="shared" ref="G3:P3" si="0">SUBTOTAL(9,G6:G1048576)</f>
        <v>20436</v>
      </c>
      <c r="H3" s="92">
        <f t="shared" si="0"/>
        <v>8828433</v>
      </c>
      <c r="I3" s="66"/>
      <c r="J3" s="66"/>
      <c r="K3" s="92">
        <f t="shared" si="0"/>
        <v>10422</v>
      </c>
      <c r="L3" s="92">
        <f t="shared" si="0"/>
        <v>4340021</v>
      </c>
      <c r="M3" s="66"/>
      <c r="N3" s="66"/>
      <c r="O3" s="92">
        <f t="shared" si="0"/>
        <v>22035</v>
      </c>
      <c r="P3" s="92">
        <f t="shared" si="0"/>
        <v>10435909</v>
      </c>
      <c r="Q3" s="67">
        <f>IF(L3=0,0,P3/L3)</f>
        <v>2.4045756921452686</v>
      </c>
      <c r="R3" s="93">
        <f>IF(O3=0,0,P3/O3)</f>
        <v>473.60603585205354</v>
      </c>
    </row>
    <row r="4" spans="1:18" ht="14.4" customHeight="1" x14ac:dyDescent="0.3">
      <c r="A4" s="406" t="s">
        <v>270</v>
      </c>
      <c r="B4" s="406" t="s">
        <v>95</v>
      </c>
      <c r="C4" s="414" t="s">
        <v>0</v>
      </c>
      <c r="D4" s="408" t="s">
        <v>96</v>
      </c>
      <c r="E4" s="413" t="s">
        <v>71</v>
      </c>
      <c r="F4" s="409" t="s">
        <v>70</v>
      </c>
      <c r="G4" s="410">
        <v>2015</v>
      </c>
      <c r="H4" s="411"/>
      <c r="I4" s="90"/>
      <c r="J4" s="90"/>
      <c r="K4" s="410">
        <v>2016</v>
      </c>
      <c r="L4" s="411"/>
      <c r="M4" s="90"/>
      <c r="N4" s="90"/>
      <c r="O4" s="410">
        <v>2017</v>
      </c>
      <c r="P4" s="411"/>
      <c r="Q4" s="412" t="s">
        <v>2</v>
      </c>
      <c r="R4" s="407" t="s">
        <v>98</v>
      </c>
    </row>
    <row r="5" spans="1:18" ht="14.4" customHeight="1" thickBot="1" x14ac:dyDescent="0.35">
      <c r="A5" s="592"/>
      <c r="B5" s="592"/>
      <c r="C5" s="593"/>
      <c r="D5" s="594"/>
      <c r="E5" s="595"/>
      <c r="F5" s="596"/>
      <c r="G5" s="597" t="s">
        <v>72</v>
      </c>
      <c r="H5" s="598" t="s">
        <v>14</v>
      </c>
      <c r="I5" s="599"/>
      <c r="J5" s="599"/>
      <c r="K5" s="597" t="s">
        <v>72</v>
      </c>
      <c r="L5" s="598" t="s">
        <v>14</v>
      </c>
      <c r="M5" s="599"/>
      <c r="N5" s="599"/>
      <c r="O5" s="597" t="s">
        <v>72</v>
      </c>
      <c r="P5" s="598" t="s">
        <v>14</v>
      </c>
      <c r="Q5" s="600"/>
      <c r="R5" s="601"/>
    </row>
    <row r="6" spans="1:18" ht="14.4" customHeight="1" x14ac:dyDescent="0.3">
      <c r="A6" s="517" t="s">
        <v>924</v>
      </c>
      <c r="B6" s="518" t="s">
        <v>925</v>
      </c>
      <c r="C6" s="518" t="s">
        <v>456</v>
      </c>
      <c r="D6" s="518" t="s">
        <v>926</v>
      </c>
      <c r="E6" s="518" t="s">
        <v>927</v>
      </c>
      <c r="F6" s="518" t="s">
        <v>928</v>
      </c>
      <c r="G6" s="105">
        <v>41</v>
      </c>
      <c r="H6" s="105">
        <v>48544</v>
      </c>
      <c r="I6" s="518">
        <v>2.9211698158623181</v>
      </c>
      <c r="J6" s="518">
        <v>1184</v>
      </c>
      <c r="K6" s="105">
        <v>14</v>
      </c>
      <c r="L6" s="105">
        <v>16618</v>
      </c>
      <c r="M6" s="518">
        <v>1</v>
      </c>
      <c r="N6" s="518">
        <v>1187</v>
      </c>
      <c r="O6" s="105">
        <v>58</v>
      </c>
      <c r="P6" s="105">
        <v>86014</v>
      </c>
      <c r="Q6" s="602">
        <v>5.1759537850523527</v>
      </c>
      <c r="R6" s="521">
        <v>1483</v>
      </c>
    </row>
    <row r="7" spans="1:18" ht="14.4" customHeight="1" x14ac:dyDescent="0.3">
      <c r="A7" s="522" t="s">
        <v>924</v>
      </c>
      <c r="B7" s="465" t="s">
        <v>925</v>
      </c>
      <c r="C7" s="465" t="s">
        <v>456</v>
      </c>
      <c r="D7" s="465" t="s">
        <v>926</v>
      </c>
      <c r="E7" s="465" t="s">
        <v>929</v>
      </c>
      <c r="F7" s="465" t="s">
        <v>930</v>
      </c>
      <c r="G7" s="468">
        <v>35</v>
      </c>
      <c r="H7" s="468">
        <v>135835</v>
      </c>
      <c r="I7" s="465">
        <v>1.446777010906612</v>
      </c>
      <c r="J7" s="465">
        <v>3881</v>
      </c>
      <c r="K7" s="468">
        <v>24</v>
      </c>
      <c r="L7" s="468">
        <v>93888</v>
      </c>
      <c r="M7" s="465">
        <v>1</v>
      </c>
      <c r="N7" s="465">
        <v>3912</v>
      </c>
      <c r="O7" s="468">
        <v>43</v>
      </c>
      <c r="P7" s="468">
        <v>168302</v>
      </c>
      <c r="Q7" s="603">
        <v>1.7925826516700749</v>
      </c>
      <c r="R7" s="469">
        <v>3914</v>
      </c>
    </row>
    <row r="8" spans="1:18" ht="14.4" customHeight="1" x14ac:dyDescent="0.3">
      <c r="A8" s="522" t="s">
        <v>924</v>
      </c>
      <c r="B8" s="465" t="s">
        <v>925</v>
      </c>
      <c r="C8" s="465" t="s">
        <v>456</v>
      </c>
      <c r="D8" s="465" t="s">
        <v>926</v>
      </c>
      <c r="E8" s="465" t="s">
        <v>931</v>
      </c>
      <c r="F8" s="465" t="s">
        <v>932</v>
      </c>
      <c r="G8" s="468">
        <v>61</v>
      </c>
      <c r="H8" s="468">
        <v>39894</v>
      </c>
      <c r="I8" s="465">
        <v>1.6867072552004059</v>
      </c>
      <c r="J8" s="465">
        <v>654</v>
      </c>
      <c r="K8" s="468">
        <v>36</v>
      </c>
      <c r="L8" s="468">
        <v>23652</v>
      </c>
      <c r="M8" s="465">
        <v>1</v>
      </c>
      <c r="N8" s="465">
        <v>657</v>
      </c>
      <c r="O8" s="468">
        <v>70</v>
      </c>
      <c r="P8" s="468">
        <v>46060</v>
      </c>
      <c r="Q8" s="603">
        <v>1.9474040250295959</v>
      </c>
      <c r="R8" s="469">
        <v>658</v>
      </c>
    </row>
    <row r="9" spans="1:18" ht="14.4" customHeight="1" x14ac:dyDescent="0.3">
      <c r="A9" s="522" t="s">
        <v>924</v>
      </c>
      <c r="B9" s="465" t="s">
        <v>925</v>
      </c>
      <c r="C9" s="465" t="s">
        <v>456</v>
      </c>
      <c r="D9" s="465" t="s">
        <v>926</v>
      </c>
      <c r="E9" s="465" t="s">
        <v>933</v>
      </c>
      <c r="F9" s="465" t="s">
        <v>934</v>
      </c>
      <c r="G9" s="468">
        <v>2</v>
      </c>
      <c r="H9" s="468">
        <v>636</v>
      </c>
      <c r="I9" s="465"/>
      <c r="J9" s="465">
        <v>318</v>
      </c>
      <c r="K9" s="468"/>
      <c r="L9" s="468"/>
      <c r="M9" s="465"/>
      <c r="N9" s="465"/>
      <c r="O9" s="468"/>
      <c r="P9" s="468"/>
      <c r="Q9" s="603"/>
      <c r="R9" s="469"/>
    </row>
    <row r="10" spans="1:18" ht="14.4" customHeight="1" x14ac:dyDescent="0.3">
      <c r="A10" s="522" t="s">
        <v>924</v>
      </c>
      <c r="B10" s="465" t="s">
        <v>925</v>
      </c>
      <c r="C10" s="465" t="s">
        <v>456</v>
      </c>
      <c r="D10" s="465" t="s">
        <v>926</v>
      </c>
      <c r="E10" s="465" t="s">
        <v>935</v>
      </c>
      <c r="F10" s="465" t="s">
        <v>936</v>
      </c>
      <c r="G10" s="468">
        <v>3</v>
      </c>
      <c r="H10" s="468">
        <v>3045</v>
      </c>
      <c r="I10" s="465">
        <v>0.19747081712062256</v>
      </c>
      <c r="J10" s="465">
        <v>1015</v>
      </c>
      <c r="K10" s="468">
        <v>15</v>
      </c>
      <c r="L10" s="468">
        <v>15420</v>
      </c>
      <c r="M10" s="465">
        <v>1</v>
      </c>
      <c r="N10" s="465">
        <v>1028</v>
      </c>
      <c r="O10" s="468">
        <v>17</v>
      </c>
      <c r="P10" s="468">
        <v>17510</v>
      </c>
      <c r="Q10" s="603">
        <v>1.1355382619974059</v>
      </c>
      <c r="R10" s="469">
        <v>1030</v>
      </c>
    </row>
    <row r="11" spans="1:18" ht="14.4" customHeight="1" x14ac:dyDescent="0.3">
      <c r="A11" s="522" t="s">
        <v>924</v>
      </c>
      <c r="B11" s="465" t="s">
        <v>925</v>
      </c>
      <c r="C11" s="465" t="s">
        <v>456</v>
      </c>
      <c r="D11" s="465" t="s">
        <v>926</v>
      </c>
      <c r="E11" s="465" t="s">
        <v>937</v>
      </c>
      <c r="F11" s="465" t="s">
        <v>938</v>
      </c>
      <c r="G11" s="468">
        <v>3</v>
      </c>
      <c r="H11" s="468">
        <v>3129</v>
      </c>
      <c r="I11" s="465"/>
      <c r="J11" s="465">
        <v>1043</v>
      </c>
      <c r="K11" s="468"/>
      <c r="L11" s="468"/>
      <c r="M11" s="465"/>
      <c r="N11" s="465"/>
      <c r="O11" s="468">
        <v>1</v>
      </c>
      <c r="P11" s="468">
        <v>1085</v>
      </c>
      <c r="Q11" s="603"/>
      <c r="R11" s="469">
        <v>1085</v>
      </c>
    </row>
    <row r="12" spans="1:18" ht="14.4" customHeight="1" x14ac:dyDescent="0.3">
      <c r="A12" s="522" t="s">
        <v>924</v>
      </c>
      <c r="B12" s="465" t="s">
        <v>925</v>
      </c>
      <c r="C12" s="465" t="s">
        <v>456</v>
      </c>
      <c r="D12" s="465" t="s">
        <v>926</v>
      </c>
      <c r="E12" s="465" t="s">
        <v>939</v>
      </c>
      <c r="F12" s="465" t="s">
        <v>940</v>
      </c>
      <c r="G12" s="468">
        <v>150</v>
      </c>
      <c r="H12" s="468">
        <v>124650</v>
      </c>
      <c r="I12" s="465">
        <v>9.2525237529691218</v>
      </c>
      <c r="J12" s="465">
        <v>831</v>
      </c>
      <c r="K12" s="468">
        <v>16</v>
      </c>
      <c r="L12" s="468">
        <v>13472</v>
      </c>
      <c r="M12" s="465">
        <v>1</v>
      </c>
      <c r="N12" s="465">
        <v>842</v>
      </c>
      <c r="O12" s="468">
        <v>204</v>
      </c>
      <c r="P12" s="468">
        <v>171972</v>
      </c>
      <c r="Q12" s="603">
        <v>12.765142517814727</v>
      </c>
      <c r="R12" s="469">
        <v>843</v>
      </c>
    </row>
    <row r="13" spans="1:18" ht="14.4" customHeight="1" x14ac:dyDescent="0.3">
      <c r="A13" s="522" t="s">
        <v>924</v>
      </c>
      <c r="B13" s="465" t="s">
        <v>925</v>
      </c>
      <c r="C13" s="465" t="s">
        <v>456</v>
      </c>
      <c r="D13" s="465" t="s">
        <v>926</v>
      </c>
      <c r="E13" s="465" t="s">
        <v>941</v>
      </c>
      <c r="F13" s="465" t="s">
        <v>942</v>
      </c>
      <c r="G13" s="468">
        <v>4</v>
      </c>
      <c r="H13" s="468">
        <v>812</v>
      </c>
      <c r="I13" s="465"/>
      <c r="J13" s="465">
        <v>203</v>
      </c>
      <c r="K13" s="468"/>
      <c r="L13" s="468"/>
      <c r="M13" s="465"/>
      <c r="N13" s="465"/>
      <c r="O13" s="468"/>
      <c r="P13" s="468"/>
      <c r="Q13" s="603"/>
      <c r="R13" s="469"/>
    </row>
    <row r="14" spans="1:18" ht="14.4" customHeight="1" x14ac:dyDescent="0.3">
      <c r="A14" s="522" t="s">
        <v>924</v>
      </c>
      <c r="B14" s="465" t="s">
        <v>925</v>
      </c>
      <c r="C14" s="465" t="s">
        <v>456</v>
      </c>
      <c r="D14" s="465" t="s">
        <v>926</v>
      </c>
      <c r="E14" s="465" t="s">
        <v>943</v>
      </c>
      <c r="F14" s="465" t="s">
        <v>944</v>
      </c>
      <c r="G14" s="468">
        <v>57</v>
      </c>
      <c r="H14" s="468">
        <v>46284</v>
      </c>
      <c r="I14" s="465">
        <v>2.5877222408587723</v>
      </c>
      <c r="J14" s="465">
        <v>812</v>
      </c>
      <c r="K14" s="468">
        <v>22</v>
      </c>
      <c r="L14" s="468">
        <v>17886</v>
      </c>
      <c r="M14" s="465">
        <v>1</v>
      </c>
      <c r="N14" s="465">
        <v>813</v>
      </c>
      <c r="O14" s="468">
        <v>129</v>
      </c>
      <c r="P14" s="468">
        <v>105006</v>
      </c>
      <c r="Q14" s="603">
        <v>5.8708487084870846</v>
      </c>
      <c r="R14" s="469">
        <v>814</v>
      </c>
    </row>
    <row r="15" spans="1:18" ht="14.4" customHeight="1" x14ac:dyDescent="0.3">
      <c r="A15" s="522" t="s">
        <v>924</v>
      </c>
      <c r="B15" s="465" t="s">
        <v>925</v>
      </c>
      <c r="C15" s="465" t="s">
        <v>456</v>
      </c>
      <c r="D15" s="465" t="s">
        <v>926</v>
      </c>
      <c r="E15" s="465" t="s">
        <v>945</v>
      </c>
      <c r="F15" s="465" t="s">
        <v>946</v>
      </c>
      <c r="G15" s="468">
        <v>57</v>
      </c>
      <c r="H15" s="468">
        <v>46284</v>
      </c>
      <c r="I15" s="465">
        <v>2.5877222408587723</v>
      </c>
      <c r="J15" s="465">
        <v>812</v>
      </c>
      <c r="K15" s="468">
        <v>22</v>
      </c>
      <c r="L15" s="468">
        <v>17886</v>
      </c>
      <c r="M15" s="465">
        <v>1</v>
      </c>
      <c r="N15" s="465">
        <v>813</v>
      </c>
      <c r="O15" s="468">
        <v>129</v>
      </c>
      <c r="P15" s="468">
        <v>105006</v>
      </c>
      <c r="Q15" s="603">
        <v>5.8708487084870846</v>
      </c>
      <c r="R15" s="469">
        <v>814</v>
      </c>
    </row>
    <row r="16" spans="1:18" ht="14.4" customHeight="1" x14ac:dyDescent="0.3">
      <c r="A16" s="522" t="s">
        <v>924</v>
      </c>
      <c r="B16" s="465" t="s">
        <v>925</v>
      </c>
      <c r="C16" s="465" t="s">
        <v>456</v>
      </c>
      <c r="D16" s="465" t="s">
        <v>926</v>
      </c>
      <c r="E16" s="465" t="s">
        <v>947</v>
      </c>
      <c r="F16" s="465" t="s">
        <v>948</v>
      </c>
      <c r="G16" s="468">
        <v>748</v>
      </c>
      <c r="H16" s="468">
        <v>124916</v>
      </c>
      <c r="I16" s="465">
        <v>1.9987839221710189</v>
      </c>
      <c r="J16" s="465">
        <v>167</v>
      </c>
      <c r="K16" s="468">
        <v>372</v>
      </c>
      <c r="L16" s="468">
        <v>62496</v>
      </c>
      <c r="M16" s="465">
        <v>1</v>
      </c>
      <c r="N16" s="465">
        <v>168</v>
      </c>
      <c r="O16" s="468">
        <v>889</v>
      </c>
      <c r="P16" s="468">
        <v>149352</v>
      </c>
      <c r="Q16" s="603">
        <v>2.389784946236559</v>
      </c>
      <c r="R16" s="469">
        <v>168</v>
      </c>
    </row>
    <row r="17" spans="1:18" ht="14.4" customHeight="1" x14ac:dyDescent="0.3">
      <c r="A17" s="522" t="s">
        <v>924</v>
      </c>
      <c r="B17" s="465" t="s">
        <v>925</v>
      </c>
      <c r="C17" s="465" t="s">
        <v>456</v>
      </c>
      <c r="D17" s="465" t="s">
        <v>926</v>
      </c>
      <c r="E17" s="465" t="s">
        <v>949</v>
      </c>
      <c r="F17" s="465" t="s">
        <v>950</v>
      </c>
      <c r="G17" s="468">
        <v>529</v>
      </c>
      <c r="H17" s="468">
        <v>91517</v>
      </c>
      <c r="I17" s="465">
        <v>1.9479991485738613</v>
      </c>
      <c r="J17" s="465">
        <v>173</v>
      </c>
      <c r="K17" s="468">
        <v>270</v>
      </c>
      <c r="L17" s="468">
        <v>46980</v>
      </c>
      <c r="M17" s="465">
        <v>1</v>
      </c>
      <c r="N17" s="465">
        <v>174</v>
      </c>
      <c r="O17" s="468">
        <v>624</v>
      </c>
      <c r="P17" s="468">
        <v>108576</v>
      </c>
      <c r="Q17" s="603">
        <v>2.3111111111111109</v>
      </c>
      <c r="R17" s="469">
        <v>174</v>
      </c>
    </row>
    <row r="18" spans="1:18" ht="14.4" customHeight="1" x14ac:dyDescent="0.3">
      <c r="A18" s="522" t="s">
        <v>924</v>
      </c>
      <c r="B18" s="465" t="s">
        <v>925</v>
      </c>
      <c r="C18" s="465" t="s">
        <v>456</v>
      </c>
      <c r="D18" s="465" t="s">
        <v>926</v>
      </c>
      <c r="E18" s="465" t="s">
        <v>951</v>
      </c>
      <c r="F18" s="465" t="s">
        <v>952</v>
      </c>
      <c r="G18" s="468">
        <v>605</v>
      </c>
      <c r="H18" s="468">
        <v>212355</v>
      </c>
      <c r="I18" s="465">
        <v>1.7041843220338984</v>
      </c>
      <c r="J18" s="465">
        <v>351</v>
      </c>
      <c r="K18" s="468">
        <v>354</v>
      </c>
      <c r="L18" s="468">
        <v>124608</v>
      </c>
      <c r="M18" s="465">
        <v>1</v>
      </c>
      <c r="N18" s="465">
        <v>352</v>
      </c>
      <c r="O18" s="468">
        <v>843</v>
      </c>
      <c r="P18" s="468">
        <v>296736</v>
      </c>
      <c r="Q18" s="603">
        <v>2.3813559322033897</v>
      </c>
      <c r="R18" s="469">
        <v>352</v>
      </c>
    </row>
    <row r="19" spans="1:18" ht="14.4" customHeight="1" x14ac:dyDescent="0.3">
      <c r="A19" s="522" t="s">
        <v>924</v>
      </c>
      <c r="B19" s="465" t="s">
        <v>925</v>
      </c>
      <c r="C19" s="465" t="s">
        <v>456</v>
      </c>
      <c r="D19" s="465" t="s">
        <v>926</v>
      </c>
      <c r="E19" s="465" t="s">
        <v>953</v>
      </c>
      <c r="F19" s="465" t="s">
        <v>954</v>
      </c>
      <c r="G19" s="468">
        <v>171</v>
      </c>
      <c r="H19" s="468">
        <v>32319</v>
      </c>
      <c r="I19" s="465">
        <v>1.3393700787401575</v>
      </c>
      <c r="J19" s="465">
        <v>189</v>
      </c>
      <c r="K19" s="468">
        <v>127</v>
      </c>
      <c r="L19" s="468">
        <v>24130</v>
      </c>
      <c r="M19" s="465">
        <v>1</v>
      </c>
      <c r="N19" s="465">
        <v>190</v>
      </c>
      <c r="O19" s="468">
        <v>223</v>
      </c>
      <c r="P19" s="468">
        <v>42370</v>
      </c>
      <c r="Q19" s="603">
        <v>1.7559055118110236</v>
      </c>
      <c r="R19" s="469">
        <v>190</v>
      </c>
    </row>
    <row r="20" spans="1:18" ht="14.4" customHeight="1" x14ac:dyDescent="0.3">
      <c r="A20" s="522" t="s">
        <v>924</v>
      </c>
      <c r="B20" s="465" t="s">
        <v>925</v>
      </c>
      <c r="C20" s="465" t="s">
        <v>456</v>
      </c>
      <c r="D20" s="465" t="s">
        <v>926</v>
      </c>
      <c r="E20" s="465" t="s">
        <v>955</v>
      </c>
      <c r="F20" s="465" t="s">
        <v>956</v>
      </c>
      <c r="G20" s="468">
        <v>654</v>
      </c>
      <c r="H20" s="468">
        <v>537588</v>
      </c>
      <c r="I20" s="465">
        <v>2.1701174295483261</v>
      </c>
      <c r="J20" s="465">
        <v>822</v>
      </c>
      <c r="K20" s="468">
        <v>301</v>
      </c>
      <c r="L20" s="468">
        <v>247723</v>
      </c>
      <c r="M20" s="465">
        <v>1</v>
      </c>
      <c r="N20" s="465">
        <v>823</v>
      </c>
      <c r="O20" s="468">
        <v>605</v>
      </c>
      <c r="P20" s="468">
        <v>497915</v>
      </c>
      <c r="Q20" s="603">
        <v>2.0099667774086378</v>
      </c>
      <c r="R20" s="469">
        <v>823</v>
      </c>
    </row>
    <row r="21" spans="1:18" ht="14.4" customHeight="1" x14ac:dyDescent="0.3">
      <c r="A21" s="522" t="s">
        <v>924</v>
      </c>
      <c r="B21" s="465" t="s">
        <v>925</v>
      </c>
      <c r="C21" s="465" t="s">
        <v>456</v>
      </c>
      <c r="D21" s="465" t="s">
        <v>926</v>
      </c>
      <c r="E21" s="465" t="s">
        <v>957</v>
      </c>
      <c r="F21" s="465" t="s">
        <v>958</v>
      </c>
      <c r="G21" s="468">
        <v>10</v>
      </c>
      <c r="H21" s="468">
        <v>13860</v>
      </c>
      <c r="I21" s="465">
        <v>3.3309300648882481</v>
      </c>
      <c r="J21" s="465">
        <v>1386</v>
      </c>
      <c r="K21" s="468">
        <v>3</v>
      </c>
      <c r="L21" s="468">
        <v>4161</v>
      </c>
      <c r="M21" s="465">
        <v>1</v>
      </c>
      <c r="N21" s="465">
        <v>1387</v>
      </c>
      <c r="O21" s="468"/>
      <c r="P21" s="468"/>
      <c r="Q21" s="603"/>
      <c r="R21" s="469"/>
    </row>
    <row r="22" spans="1:18" ht="14.4" customHeight="1" x14ac:dyDescent="0.3">
      <c r="A22" s="522" t="s">
        <v>924</v>
      </c>
      <c r="B22" s="465" t="s">
        <v>925</v>
      </c>
      <c r="C22" s="465" t="s">
        <v>456</v>
      </c>
      <c r="D22" s="465" t="s">
        <v>926</v>
      </c>
      <c r="E22" s="465" t="s">
        <v>959</v>
      </c>
      <c r="F22" s="465" t="s">
        <v>960</v>
      </c>
      <c r="G22" s="468">
        <v>404</v>
      </c>
      <c r="H22" s="468">
        <v>220988</v>
      </c>
      <c r="I22" s="465">
        <v>1.8809730521083363</v>
      </c>
      <c r="J22" s="465">
        <v>547</v>
      </c>
      <c r="K22" s="468">
        <v>214</v>
      </c>
      <c r="L22" s="468">
        <v>117486</v>
      </c>
      <c r="M22" s="465">
        <v>1</v>
      </c>
      <c r="N22" s="465">
        <v>549</v>
      </c>
      <c r="O22" s="468">
        <v>483</v>
      </c>
      <c r="P22" s="468">
        <v>265167</v>
      </c>
      <c r="Q22" s="603">
        <v>2.2570093457943927</v>
      </c>
      <c r="R22" s="469">
        <v>549</v>
      </c>
    </row>
    <row r="23" spans="1:18" ht="14.4" customHeight="1" x14ac:dyDescent="0.3">
      <c r="A23" s="522" t="s">
        <v>924</v>
      </c>
      <c r="B23" s="465" t="s">
        <v>925</v>
      </c>
      <c r="C23" s="465" t="s">
        <v>456</v>
      </c>
      <c r="D23" s="465" t="s">
        <v>926</v>
      </c>
      <c r="E23" s="465" t="s">
        <v>961</v>
      </c>
      <c r="F23" s="465" t="s">
        <v>962</v>
      </c>
      <c r="G23" s="468">
        <v>53</v>
      </c>
      <c r="H23" s="468">
        <v>34556</v>
      </c>
      <c r="I23" s="465">
        <v>1.6511850152905199</v>
      </c>
      <c r="J23" s="465">
        <v>652</v>
      </c>
      <c r="K23" s="468">
        <v>32</v>
      </c>
      <c r="L23" s="468">
        <v>20928</v>
      </c>
      <c r="M23" s="465">
        <v>1</v>
      </c>
      <c r="N23" s="465">
        <v>654</v>
      </c>
      <c r="O23" s="468">
        <v>71</v>
      </c>
      <c r="P23" s="468">
        <v>46434</v>
      </c>
      <c r="Q23" s="603">
        <v>2.21875</v>
      </c>
      <c r="R23" s="469">
        <v>654</v>
      </c>
    </row>
    <row r="24" spans="1:18" ht="14.4" customHeight="1" x14ac:dyDescent="0.3">
      <c r="A24" s="522" t="s">
        <v>924</v>
      </c>
      <c r="B24" s="465" t="s">
        <v>925</v>
      </c>
      <c r="C24" s="465" t="s">
        <v>456</v>
      </c>
      <c r="D24" s="465" t="s">
        <v>926</v>
      </c>
      <c r="E24" s="465" t="s">
        <v>963</v>
      </c>
      <c r="F24" s="465" t="s">
        <v>964</v>
      </c>
      <c r="G24" s="468">
        <v>53</v>
      </c>
      <c r="H24" s="468">
        <v>34556</v>
      </c>
      <c r="I24" s="465">
        <v>1.6511850152905199</v>
      </c>
      <c r="J24" s="465">
        <v>652</v>
      </c>
      <c r="K24" s="468">
        <v>32</v>
      </c>
      <c r="L24" s="468">
        <v>20928</v>
      </c>
      <c r="M24" s="465">
        <v>1</v>
      </c>
      <c r="N24" s="465">
        <v>654</v>
      </c>
      <c r="O24" s="468">
        <v>71</v>
      </c>
      <c r="P24" s="468">
        <v>46434</v>
      </c>
      <c r="Q24" s="603">
        <v>2.21875</v>
      </c>
      <c r="R24" s="469">
        <v>654</v>
      </c>
    </row>
    <row r="25" spans="1:18" ht="14.4" customHeight="1" x14ac:dyDescent="0.3">
      <c r="A25" s="522" t="s">
        <v>924</v>
      </c>
      <c r="B25" s="465" t="s">
        <v>925</v>
      </c>
      <c r="C25" s="465" t="s">
        <v>456</v>
      </c>
      <c r="D25" s="465" t="s">
        <v>926</v>
      </c>
      <c r="E25" s="465" t="s">
        <v>965</v>
      </c>
      <c r="F25" s="465" t="s">
        <v>966</v>
      </c>
      <c r="G25" s="468">
        <v>45</v>
      </c>
      <c r="H25" s="468">
        <v>30420</v>
      </c>
      <c r="I25" s="465">
        <v>1.3596138374899436</v>
      </c>
      <c r="J25" s="465">
        <v>676</v>
      </c>
      <c r="K25" s="468">
        <v>33</v>
      </c>
      <c r="L25" s="468">
        <v>22374</v>
      </c>
      <c r="M25" s="465">
        <v>1</v>
      </c>
      <c r="N25" s="465">
        <v>678</v>
      </c>
      <c r="O25" s="468">
        <v>47</v>
      </c>
      <c r="P25" s="468">
        <v>31866</v>
      </c>
      <c r="Q25" s="603">
        <v>1.4242424242424243</v>
      </c>
      <c r="R25" s="469">
        <v>678</v>
      </c>
    </row>
    <row r="26" spans="1:18" ht="14.4" customHeight="1" x14ac:dyDescent="0.3">
      <c r="A26" s="522" t="s">
        <v>924</v>
      </c>
      <c r="B26" s="465" t="s">
        <v>925</v>
      </c>
      <c r="C26" s="465" t="s">
        <v>456</v>
      </c>
      <c r="D26" s="465" t="s">
        <v>926</v>
      </c>
      <c r="E26" s="465" t="s">
        <v>967</v>
      </c>
      <c r="F26" s="465" t="s">
        <v>968</v>
      </c>
      <c r="G26" s="468">
        <v>54</v>
      </c>
      <c r="H26" s="468">
        <v>27594</v>
      </c>
      <c r="I26" s="465">
        <v>1.379217273954116</v>
      </c>
      <c r="J26" s="465">
        <v>511</v>
      </c>
      <c r="K26" s="468">
        <v>39</v>
      </c>
      <c r="L26" s="468">
        <v>20007</v>
      </c>
      <c r="M26" s="465">
        <v>1</v>
      </c>
      <c r="N26" s="465">
        <v>513</v>
      </c>
      <c r="O26" s="468">
        <v>97</v>
      </c>
      <c r="P26" s="468">
        <v>49761</v>
      </c>
      <c r="Q26" s="603">
        <v>2.4871794871794872</v>
      </c>
      <c r="R26" s="469">
        <v>513</v>
      </c>
    </row>
    <row r="27" spans="1:18" ht="14.4" customHeight="1" x14ac:dyDescent="0.3">
      <c r="A27" s="522" t="s">
        <v>924</v>
      </c>
      <c r="B27" s="465" t="s">
        <v>925</v>
      </c>
      <c r="C27" s="465" t="s">
        <v>456</v>
      </c>
      <c r="D27" s="465" t="s">
        <v>926</v>
      </c>
      <c r="E27" s="465" t="s">
        <v>969</v>
      </c>
      <c r="F27" s="465" t="s">
        <v>970</v>
      </c>
      <c r="G27" s="468">
        <v>54</v>
      </c>
      <c r="H27" s="468">
        <v>22734</v>
      </c>
      <c r="I27" s="465">
        <v>1.3780687397708675</v>
      </c>
      <c r="J27" s="465">
        <v>421</v>
      </c>
      <c r="K27" s="468">
        <v>39</v>
      </c>
      <c r="L27" s="468">
        <v>16497</v>
      </c>
      <c r="M27" s="465">
        <v>1</v>
      </c>
      <c r="N27" s="465">
        <v>423</v>
      </c>
      <c r="O27" s="468">
        <v>97</v>
      </c>
      <c r="P27" s="468">
        <v>41031</v>
      </c>
      <c r="Q27" s="603">
        <v>2.4871794871794872</v>
      </c>
      <c r="R27" s="469">
        <v>423</v>
      </c>
    </row>
    <row r="28" spans="1:18" ht="14.4" customHeight="1" x14ac:dyDescent="0.3">
      <c r="A28" s="522" t="s">
        <v>924</v>
      </c>
      <c r="B28" s="465" t="s">
        <v>925</v>
      </c>
      <c r="C28" s="465" t="s">
        <v>456</v>
      </c>
      <c r="D28" s="465" t="s">
        <v>926</v>
      </c>
      <c r="E28" s="465" t="s">
        <v>971</v>
      </c>
      <c r="F28" s="465" t="s">
        <v>972</v>
      </c>
      <c r="G28" s="468">
        <v>653</v>
      </c>
      <c r="H28" s="468">
        <v>226591</v>
      </c>
      <c r="I28" s="465">
        <v>1.8444826126595468</v>
      </c>
      <c r="J28" s="465">
        <v>347</v>
      </c>
      <c r="K28" s="468">
        <v>352</v>
      </c>
      <c r="L28" s="468">
        <v>122848</v>
      </c>
      <c r="M28" s="465">
        <v>1</v>
      </c>
      <c r="N28" s="465">
        <v>349</v>
      </c>
      <c r="O28" s="468">
        <v>807</v>
      </c>
      <c r="P28" s="468">
        <v>281643</v>
      </c>
      <c r="Q28" s="603">
        <v>2.2926136363636362</v>
      </c>
      <c r="R28" s="469">
        <v>349</v>
      </c>
    </row>
    <row r="29" spans="1:18" ht="14.4" customHeight="1" x14ac:dyDescent="0.3">
      <c r="A29" s="522" t="s">
        <v>924</v>
      </c>
      <c r="B29" s="465" t="s">
        <v>925</v>
      </c>
      <c r="C29" s="465" t="s">
        <v>456</v>
      </c>
      <c r="D29" s="465" t="s">
        <v>926</v>
      </c>
      <c r="E29" s="465" t="s">
        <v>973</v>
      </c>
      <c r="F29" s="465" t="s">
        <v>974</v>
      </c>
      <c r="G29" s="468">
        <v>95</v>
      </c>
      <c r="H29" s="468">
        <v>20805</v>
      </c>
      <c r="I29" s="465">
        <v>1.5690045248868778</v>
      </c>
      <c r="J29" s="465">
        <v>219</v>
      </c>
      <c r="K29" s="468">
        <v>60</v>
      </c>
      <c r="L29" s="468">
        <v>13260</v>
      </c>
      <c r="M29" s="465">
        <v>1</v>
      </c>
      <c r="N29" s="465">
        <v>221</v>
      </c>
      <c r="O29" s="468">
        <v>113</v>
      </c>
      <c r="P29" s="468">
        <v>24973</v>
      </c>
      <c r="Q29" s="603">
        <v>1.8833333333333333</v>
      </c>
      <c r="R29" s="469">
        <v>221</v>
      </c>
    </row>
    <row r="30" spans="1:18" ht="14.4" customHeight="1" x14ac:dyDescent="0.3">
      <c r="A30" s="522" t="s">
        <v>924</v>
      </c>
      <c r="B30" s="465" t="s">
        <v>925</v>
      </c>
      <c r="C30" s="465" t="s">
        <v>456</v>
      </c>
      <c r="D30" s="465" t="s">
        <v>926</v>
      </c>
      <c r="E30" s="465" t="s">
        <v>975</v>
      </c>
      <c r="F30" s="465" t="s">
        <v>976</v>
      </c>
      <c r="G30" s="468">
        <v>22</v>
      </c>
      <c r="H30" s="468">
        <v>11066</v>
      </c>
      <c r="I30" s="465">
        <v>0.99015748031496065</v>
      </c>
      <c r="J30" s="465">
        <v>503</v>
      </c>
      <c r="K30" s="468">
        <v>22</v>
      </c>
      <c r="L30" s="468">
        <v>11176</v>
      </c>
      <c r="M30" s="465">
        <v>1</v>
      </c>
      <c r="N30" s="465">
        <v>508</v>
      </c>
      <c r="O30" s="468">
        <v>44</v>
      </c>
      <c r="P30" s="468">
        <v>22352</v>
      </c>
      <c r="Q30" s="603">
        <v>2</v>
      </c>
      <c r="R30" s="469">
        <v>508</v>
      </c>
    </row>
    <row r="31" spans="1:18" ht="14.4" customHeight="1" x14ac:dyDescent="0.3">
      <c r="A31" s="522" t="s">
        <v>924</v>
      </c>
      <c r="B31" s="465" t="s">
        <v>925</v>
      </c>
      <c r="C31" s="465" t="s">
        <v>456</v>
      </c>
      <c r="D31" s="465" t="s">
        <v>926</v>
      </c>
      <c r="E31" s="465" t="s">
        <v>977</v>
      </c>
      <c r="F31" s="465" t="s">
        <v>978</v>
      </c>
      <c r="G31" s="468">
        <v>38</v>
      </c>
      <c r="H31" s="468">
        <v>5624</v>
      </c>
      <c r="I31" s="465">
        <v>2.6780952380952381</v>
      </c>
      <c r="J31" s="465">
        <v>148</v>
      </c>
      <c r="K31" s="468">
        <v>14</v>
      </c>
      <c r="L31" s="468">
        <v>2100</v>
      </c>
      <c r="M31" s="465">
        <v>1</v>
      </c>
      <c r="N31" s="465">
        <v>150</v>
      </c>
      <c r="O31" s="468">
        <v>17</v>
      </c>
      <c r="P31" s="468">
        <v>2550</v>
      </c>
      <c r="Q31" s="603">
        <v>1.2142857142857142</v>
      </c>
      <c r="R31" s="469">
        <v>150</v>
      </c>
    </row>
    <row r="32" spans="1:18" ht="14.4" customHeight="1" x14ac:dyDescent="0.3">
      <c r="A32" s="522" t="s">
        <v>924</v>
      </c>
      <c r="B32" s="465" t="s">
        <v>925</v>
      </c>
      <c r="C32" s="465" t="s">
        <v>456</v>
      </c>
      <c r="D32" s="465" t="s">
        <v>926</v>
      </c>
      <c r="E32" s="465" t="s">
        <v>979</v>
      </c>
      <c r="F32" s="465" t="s">
        <v>980</v>
      </c>
      <c r="G32" s="468">
        <v>416</v>
      </c>
      <c r="H32" s="468">
        <v>99008</v>
      </c>
      <c r="I32" s="465">
        <v>1.6570376569037657</v>
      </c>
      <c r="J32" s="465">
        <v>238</v>
      </c>
      <c r="K32" s="468">
        <v>250</v>
      </c>
      <c r="L32" s="468">
        <v>59750</v>
      </c>
      <c r="M32" s="465">
        <v>1</v>
      </c>
      <c r="N32" s="465">
        <v>239</v>
      </c>
      <c r="O32" s="468">
        <v>535</v>
      </c>
      <c r="P32" s="468">
        <v>127865</v>
      </c>
      <c r="Q32" s="603">
        <v>2.14</v>
      </c>
      <c r="R32" s="469">
        <v>239</v>
      </c>
    </row>
    <row r="33" spans="1:18" ht="14.4" customHeight="1" x14ac:dyDescent="0.3">
      <c r="A33" s="522" t="s">
        <v>924</v>
      </c>
      <c r="B33" s="465" t="s">
        <v>925</v>
      </c>
      <c r="C33" s="465" t="s">
        <v>456</v>
      </c>
      <c r="D33" s="465" t="s">
        <v>926</v>
      </c>
      <c r="E33" s="465" t="s">
        <v>981</v>
      </c>
      <c r="F33" s="465" t="s">
        <v>982</v>
      </c>
      <c r="G33" s="468">
        <v>388</v>
      </c>
      <c r="H33" s="468">
        <v>43068</v>
      </c>
      <c r="I33" s="465">
        <v>1.7092511013215859</v>
      </c>
      <c r="J33" s="465">
        <v>111</v>
      </c>
      <c r="K33" s="468">
        <v>227</v>
      </c>
      <c r="L33" s="468">
        <v>25197</v>
      </c>
      <c r="M33" s="465">
        <v>1</v>
      </c>
      <c r="N33" s="465">
        <v>111</v>
      </c>
      <c r="O33" s="468">
        <v>504</v>
      </c>
      <c r="P33" s="468">
        <v>55944</v>
      </c>
      <c r="Q33" s="603">
        <v>2.2202643171806167</v>
      </c>
      <c r="R33" s="469">
        <v>111</v>
      </c>
    </row>
    <row r="34" spans="1:18" ht="14.4" customHeight="1" x14ac:dyDescent="0.3">
      <c r="A34" s="522" t="s">
        <v>924</v>
      </c>
      <c r="B34" s="465" t="s">
        <v>925</v>
      </c>
      <c r="C34" s="465" t="s">
        <v>456</v>
      </c>
      <c r="D34" s="465" t="s">
        <v>926</v>
      </c>
      <c r="E34" s="465" t="s">
        <v>983</v>
      </c>
      <c r="F34" s="465" t="s">
        <v>984</v>
      </c>
      <c r="G34" s="468">
        <v>47</v>
      </c>
      <c r="H34" s="468">
        <v>15463</v>
      </c>
      <c r="I34" s="465">
        <v>1.4156367298361257</v>
      </c>
      <c r="J34" s="465">
        <v>329</v>
      </c>
      <c r="K34" s="468">
        <v>33</v>
      </c>
      <c r="L34" s="468">
        <v>10923</v>
      </c>
      <c r="M34" s="465">
        <v>1</v>
      </c>
      <c r="N34" s="465">
        <v>331</v>
      </c>
      <c r="O34" s="468">
        <v>51</v>
      </c>
      <c r="P34" s="468">
        <v>16881</v>
      </c>
      <c r="Q34" s="603">
        <v>1.5454545454545454</v>
      </c>
      <c r="R34" s="469">
        <v>331</v>
      </c>
    </row>
    <row r="35" spans="1:18" ht="14.4" customHeight="1" x14ac:dyDescent="0.3">
      <c r="A35" s="522" t="s">
        <v>924</v>
      </c>
      <c r="B35" s="465" t="s">
        <v>925</v>
      </c>
      <c r="C35" s="465" t="s">
        <v>456</v>
      </c>
      <c r="D35" s="465" t="s">
        <v>926</v>
      </c>
      <c r="E35" s="465" t="s">
        <v>985</v>
      </c>
      <c r="F35" s="465" t="s">
        <v>986</v>
      </c>
      <c r="G35" s="468">
        <v>121</v>
      </c>
      <c r="H35" s="468">
        <v>37631</v>
      </c>
      <c r="I35" s="465">
        <v>2.7411858974358974</v>
      </c>
      <c r="J35" s="465">
        <v>311</v>
      </c>
      <c r="K35" s="468">
        <v>44</v>
      </c>
      <c r="L35" s="468">
        <v>13728</v>
      </c>
      <c r="M35" s="465">
        <v>1</v>
      </c>
      <c r="N35" s="465">
        <v>312</v>
      </c>
      <c r="O35" s="468">
        <v>94</v>
      </c>
      <c r="P35" s="468">
        <v>29328</v>
      </c>
      <c r="Q35" s="603">
        <v>2.1363636363636362</v>
      </c>
      <c r="R35" s="469">
        <v>312</v>
      </c>
    </row>
    <row r="36" spans="1:18" ht="14.4" customHeight="1" x14ac:dyDescent="0.3">
      <c r="A36" s="522" t="s">
        <v>924</v>
      </c>
      <c r="B36" s="465" t="s">
        <v>925</v>
      </c>
      <c r="C36" s="465" t="s">
        <v>456</v>
      </c>
      <c r="D36" s="465" t="s">
        <v>926</v>
      </c>
      <c r="E36" s="465" t="s">
        <v>987</v>
      </c>
      <c r="F36" s="465" t="s">
        <v>988</v>
      </c>
      <c r="G36" s="468">
        <v>62</v>
      </c>
      <c r="H36" s="468">
        <v>1426</v>
      </c>
      <c r="I36" s="465">
        <v>1.441860465116279</v>
      </c>
      <c r="J36" s="465">
        <v>23</v>
      </c>
      <c r="K36" s="468">
        <v>43</v>
      </c>
      <c r="L36" s="468">
        <v>989</v>
      </c>
      <c r="M36" s="465">
        <v>1</v>
      </c>
      <c r="N36" s="465">
        <v>23</v>
      </c>
      <c r="O36" s="468">
        <v>100</v>
      </c>
      <c r="P36" s="468">
        <v>2300</v>
      </c>
      <c r="Q36" s="603">
        <v>2.3255813953488373</v>
      </c>
      <c r="R36" s="469">
        <v>23</v>
      </c>
    </row>
    <row r="37" spans="1:18" ht="14.4" customHeight="1" x14ac:dyDescent="0.3">
      <c r="A37" s="522" t="s">
        <v>924</v>
      </c>
      <c r="B37" s="465" t="s">
        <v>925</v>
      </c>
      <c r="C37" s="465" t="s">
        <v>456</v>
      </c>
      <c r="D37" s="465" t="s">
        <v>926</v>
      </c>
      <c r="E37" s="465" t="s">
        <v>989</v>
      </c>
      <c r="F37" s="465" t="s">
        <v>990</v>
      </c>
      <c r="G37" s="468">
        <v>1555</v>
      </c>
      <c r="H37" s="468">
        <v>24880</v>
      </c>
      <c r="I37" s="465">
        <v>1.8455604183665899</v>
      </c>
      <c r="J37" s="465">
        <v>16</v>
      </c>
      <c r="K37" s="468">
        <v>793</v>
      </c>
      <c r="L37" s="468">
        <v>13481</v>
      </c>
      <c r="M37" s="465">
        <v>1</v>
      </c>
      <c r="N37" s="465">
        <v>17</v>
      </c>
      <c r="O37" s="468">
        <v>1888</v>
      </c>
      <c r="P37" s="468">
        <v>32096</v>
      </c>
      <c r="Q37" s="603">
        <v>2.3808322824716268</v>
      </c>
      <c r="R37" s="469">
        <v>17</v>
      </c>
    </row>
    <row r="38" spans="1:18" ht="14.4" customHeight="1" x14ac:dyDescent="0.3">
      <c r="A38" s="522" t="s">
        <v>924</v>
      </c>
      <c r="B38" s="465" t="s">
        <v>925</v>
      </c>
      <c r="C38" s="465" t="s">
        <v>456</v>
      </c>
      <c r="D38" s="465" t="s">
        <v>926</v>
      </c>
      <c r="E38" s="465" t="s">
        <v>991</v>
      </c>
      <c r="F38" s="465" t="s">
        <v>992</v>
      </c>
      <c r="G38" s="468">
        <v>2</v>
      </c>
      <c r="H38" s="468">
        <v>3012</v>
      </c>
      <c r="I38" s="465"/>
      <c r="J38" s="465">
        <v>1506</v>
      </c>
      <c r="K38" s="468"/>
      <c r="L38" s="468"/>
      <c r="M38" s="465"/>
      <c r="N38" s="465"/>
      <c r="O38" s="468"/>
      <c r="P38" s="468"/>
      <c r="Q38" s="603"/>
      <c r="R38" s="469"/>
    </row>
    <row r="39" spans="1:18" ht="14.4" customHeight="1" x14ac:dyDescent="0.3">
      <c r="A39" s="522" t="s">
        <v>924</v>
      </c>
      <c r="B39" s="465" t="s">
        <v>925</v>
      </c>
      <c r="C39" s="465" t="s">
        <v>456</v>
      </c>
      <c r="D39" s="465" t="s">
        <v>926</v>
      </c>
      <c r="E39" s="465" t="s">
        <v>993</v>
      </c>
      <c r="F39" s="465" t="s">
        <v>994</v>
      </c>
      <c r="G39" s="468">
        <v>2399</v>
      </c>
      <c r="H39" s="468">
        <v>837251</v>
      </c>
      <c r="I39" s="465">
        <v>1.9511792123048239</v>
      </c>
      <c r="J39" s="465">
        <v>349</v>
      </c>
      <c r="K39" s="468">
        <v>1226</v>
      </c>
      <c r="L39" s="468">
        <v>429100</v>
      </c>
      <c r="M39" s="465">
        <v>1</v>
      </c>
      <c r="N39" s="465">
        <v>350</v>
      </c>
      <c r="O39" s="468">
        <v>2500</v>
      </c>
      <c r="P39" s="468">
        <v>875000</v>
      </c>
      <c r="Q39" s="603">
        <v>2.0391517128874388</v>
      </c>
      <c r="R39" s="469">
        <v>350</v>
      </c>
    </row>
    <row r="40" spans="1:18" ht="14.4" customHeight="1" x14ac:dyDescent="0.3">
      <c r="A40" s="522" t="s">
        <v>924</v>
      </c>
      <c r="B40" s="465" t="s">
        <v>925</v>
      </c>
      <c r="C40" s="465" t="s">
        <v>456</v>
      </c>
      <c r="D40" s="465" t="s">
        <v>926</v>
      </c>
      <c r="E40" s="465" t="s">
        <v>995</v>
      </c>
      <c r="F40" s="465" t="s">
        <v>996</v>
      </c>
      <c r="G40" s="468">
        <v>63</v>
      </c>
      <c r="H40" s="468">
        <v>79884</v>
      </c>
      <c r="I40" s="465">
        <v>2.306053520394908</v>
      </c>
      <c r="J40" s="465">
        <v>1268</v>
      </c>
      <c r="K40" s="468">
        <v>27</v>
      </c>
      <c r="L40" s="468">
        <v>34641</v>
      </c>
      <c r="M40" s="465">
        <v>1</v>
      </c>
      <c r="N40" s="465">
        <v>1283</v>
      </c>
      <c r="O40" s="468">
        <v>36</v>
      </c>
      <c r="P40" s="468">
        <v>46260</v>
      </c>
      <c r="Q40" s="603">
        <v>1.335411795271499</v>
      </c>
      <c r="R40" s="469">
        <v>1285</v>
      </c>
    </row>
    <row r="41" spans="1:18" ht="14.4" customHeight="1" x14ac:dyDescent="0.3">
      <c r="A41" s="522" t="s">
        <v>924</v>
      </c>
      <c r="B41" s="465" t="s">
        <v>925</v>
      </c>
      <c r="C41" s="465" t="s">
        <v>456</v>
      </c>
      <c r="D41" s="465" t="s">
        <v>926</v>
      </c>
      <c r="E41" s="465" t="s">
        <v>997</v>
      </c>
      <c r="F41" s="465" t="s">
        <v>998</v>
      </c>
      <c r="G41" s="468">
        <v>339</v>
      </c>
      <c r="H41" s="468">
        <v>50172</v>
      </c>
      <c r="I41" s="465">
        <v>2.104530201342282</v>
      </c>
      <c r="J41" s="465">
        <v>148</v>
      </c>
      <c r="K41" s="468">
        <v>160</v>
      </c>
      <c r="L41" s="468">
        <v>23840</v>
      </c>
      <c r="M41" s="465">
        <v>1</v>
      </c>
      <c r="N41" s="465">
        <v>149</v>
      </c>
      <c r="O41" s="468">
        <v>375</v>
      </c>
      <c r="P41" s="468">
        <v>55875</v>
      </c>
      <c r="Q41" s="603">
        <v>2.34375</v>
      </c>
      <c r="R41" s="469">
        <v>149</v>
      </c>
    </row>
    <row r="42" spans="1:18" ht="14.4" customHeight="1" x14ac:dyDescent="0.3">
      <c r="A42" s="522" t="s">
        <v>924</v>
      </c>
      <c r="B42" s="465" t="s">
        <v>925</v>
      </c>
      <c r="C42" s="465" t="s">
        <v>456</v>
      </c>
      <c r="D42" s="465" t="s">
        <v>926</v>
      </c>
      <c r="E42" s="465" t="s">
        <v>999</v>
      </c>
      <c r="F42" s="465" t="s">
        <v>1000</v>
      </c>
      <c r="G42" s="468">
        <v>11</v>
      </c>
      <c r="H42" s="468">
        <v>396</v>
      </c>
      <c r="I42" s="465"/>
      <c r="J42" s="465">
        <v>36</v>
      </c>
      <c r="K42" s="468"/>
      <c r="L42" s="468"/>
      <c r="M42" s="465"/>
      <c r="N42" s="465"/>
      <c r="O42" s="468">
        <v>8</v>
      </c>
      <c r="P42" s="468">
        <v>296</v>
      </c>
      <c r="Q42" s="603"/>
      <c r="R42" s="469">
        <v>37</v>
      </c>
    </row>
    <row r="43" spans="1:18" ht="14.4" customHeight="1" x14ac:dyDescent="0.3">
      <c r="A43" s="522" t="s">
        <v>924</v>
      </c>
      <c r="B43" s="465" t="s">
        <v>925</v>
      </c>
      <c r="C43" s="465" t="s">
        <v>456</v>
      </c>
      <c r="D43" s="465" t="s">
        <v>926</v>
      </c>
      <c r="E43" s="465" t="s">
        <v>1001</v>
      </c>
      <c r="F43" s="465" t="s">
        <v>1002</v>
      </c>
      <c r="G43" s="468">
        <v>430</v>
      </c>
      <c r="H43" s="468">
        <v>126420</v>
      </c>
      <c r="I43" s="465">
        <v>1.7141694915254237</v>
      </c>
      <c r="J43" s="465">
        <v>294</v>
      </c>
      <c r="K43" s="468">
        <v>250</v>
      </c>
      <c r="L43" s="468">
        <v>73750</v>
      </c>
      <c r="M43" s="465">
        <v>1</v>
      </c>
      <c r="N43" s="465">
        <v>295</v>
      </c>
      <c r="O43" s="468">
        <v>582</v>
      </c>
      <c r="P43" s="468">
        <v>171690</v>
      </c>
      <c r="Q43" s="603">
        <v>2.3279999999999998</v>
      </c>
      <c r="R43" s="469">
        <v>295</v>
      </c>
    </row>
    <row r="44" spans="1:18" ht="14.4" customHeight="1" x14ac:dyDescent="0.3">
      <c r="A44" s="522" t="s">
        <v>924</v>
      </c>
      <c r="B44" s="465" t="s">
        <v>925</v>
      </c>
      <c r="C44" s="465" t="s">
        <v>456</v>
      </c>
      <c r="D44" s="465" t="s">
        <v>926</v>
      </c>
      <c r="E44" s="465" t="s">
        <v>1003</v>
      </c>
      <c r="F44" s="465" t="s">
        <v>1004</v>
      </c>
      <c r="G44" s="468">
        <v>277</v>
      </c>
      <c r="H44" s="468">
        <v>57339</v>
      </c>
      <c r="I44" s="465">
        <v>1.9457395907563881</v>
      </c>
      <c r="J44" s="465">
        <v>207</v>
      </c>
      <c r="K44" s="468">
        <v>141</v>
      </c>
      <c r="L44" s="468">
        <v>29469</v>
      </c>
      <c r="M44" s="465">
        <v>1</v>
      </c>
      <c r="N44" s="465">
        <v>209</v>
      </c>
      <c r="O44" s="468">
        <v>371</v>
      </c>
      <c r="P44" s="468">
        <v>77539</v>
      </c>
      <c r="Q44" s="603">
        <v>2.6312056737588652</v>
      </c>
      <c r="R44" s="469">
        <v>209</v>
      </c>
    </row>
    <row r="45" spans="1:18" ht="14.4" customHeight="1" x14ac:dyDescent="0.3">
      <c r="A45" s="522" t="s">
        <v>924</v>
      </c>
      <c r="B45" s="465" t="s">
        <v>925</v>
      </c>
      <c r="C45" s="465" t="s">
        <v>456</v>
      </c>
      <c r="D45" s="465" t="s">
        <v>926</v>
      </c>
      <c r="E45" s="465" t="s">
        <v>1005</v>
      </c>
      <c r="F45" s="465" t="s">
        <v>1006</v>
      </c>
      <c r="G45" s="468">
        <v>497</v>
      </c>
      <c r="H45" s="468">
        <v>19383</v>
      </c>
      <c r="I45" s="465">
        <v>2.5107512953367874</v>
      </c>
      <c r="J45" s="465">
        <v>39</v>
      </c>
      <c r="K45" s="468">
        <v>193</v>
      </c>
      <c r="L45" s="468">
        <v>7720</v>
      </c>
      <c r="M45" s="465">
        <v>1</v>
      </c>
      <c r="N45" s="465">
        <v>40</v>
      </c>
      <c r="O45" s="468">
        <v>427</v>
      </c>
      <c r="P45" s="468">
        <v>17080</v>
      </c>
      <c r="Q45" s="603">
        <v>2.2124352331606216</v>
      </c>
      <c r="R45" s="469">
        <v>40</v>
      </c>
    </row>
    <row r="46" spans="1:18" ht="14.4" customHeight="1" x14ac:dyDescent="0.3">
      <c r="A46" s="522" t="s">
        <v>924</v>
      </c>
      <c r="B46" s="465" t="s">
        <v>925</v>
      </c>
      <c r="C46" s="465" t="s">
        <v>456</v>
      </c>
      <c r="D46" s="465" t="s">
        <v>926</v>
      </c>
      <c r="E46" s="465" t="s">
        <v>1007</v>
      </c>
      <c r="F46" s="465" t="s">
        <v>1008</v>
      </c>
      <c r="G46" s="468">
        <v>64</v>
      </c>
      <c r="H46" s="468">
        <v>320192</v>
      </c>
      <c r="I46" s="465">
        <v>2.6565777246780833</v>
      </c>
      <c r="J46" s="465">
        <v>5003</v>
      </c>
      <c r="K46" s="468">
        <v>24</v>
      </c>
      <c r="L46" s="468">
        <v>120528</v>
      </c>
      <c r="M46" s="465">
        <v>1</v>
      </c>
      <c r="N46" s="465">
        <v>5022</v>
      </c>
      <c r="O46" s="468">
        <v>51</v>
      </c>
      <c r="P46" s="468">
        <v>256173</v>
      </c>
      <c r="Q46" s="603">
        <v>2.1254231381919553</v>
      </c>
      <c r="R46" s="469">
        <v>5023</v>
      </c>
    </row>
    <row r="47" spans="1:18" ht="14.4" customHeight="1" x14ac:dyDescent="0.3">
      <c r="A47" s="522" t="s">
        <v>924</v>
      </c>
      <c r="B47" s="465" t="s">
        <v>925</v>
      </c>
      <c r="C47" s="465" t="s">
        <v>456</v>
      </c>
      <c r="D47" s="465" t="s">
        <v>926</v>
      </c>
      <c r="E47" s="465" t="s">
        <v>1009</v>
      </c>
      <c r="F47" s="465" t="s">
        <v>1010</v>
      </c>
      <c r="G47" s="468">
        <v>566</v>
      </c>
      <c r="H47" s="468">
        <v>96220</v>
      </c>
      <c r="I47" s="465">
        <v>2.2780974027511425</v>
      </c>
      <c r="J47" s="465">
        <v>170</v>
      </c>
      <c r="K47" s="468">
        <v>247</v>
      </c>
      <c r="L47" s="468">
        <v>42237</v>
      </c>
      <c r="M47" s="465">
        <v>1</v>
      </c>
      <c r="N47" s="465">
        <v>171</v>
      </c>
      <c r="O47" s="468">
        <v>635</v>
      </c>
      <c r="P47" s="468">
        <v>108585</v>
      </c>
      <c r="Q47" s="603">
        <v>2.57085020242915</v>
      </c>
      <c r="R47" s="469">
        <v>171</v>
      </c>
    </row>
    <row r="48" spans="1:18" ht="14.4" customHeight="1" x14ac:dyDescent="0.3">
      <c r="A48" s="522" t="s">
        <v>924</v>
      </c>
      <c r="B48" s="465" t="s">
        <v>925</v>
      </c>
      <c r="C48" s="465" t="s">
        <v>456</v>
      </c>
      <c r="D48" s="465" t="s">
        <v>926</v>
      </c>
      <c r="E48" s="465" t="s">
        <v>1011</v>
      </c>
      <c r="F48" s="465" t="s">
        <v>1012</v>
      </c>
      <c r="G48" s="468">
        <v>48</v>
      </c>
      <c r="H48" s="468">
        <v>15648</v>
      </c>
      <c r="I48" s="465">
        <v>2.0805743917032311</v>
      </c>
      <c r="J48" s="465">
        <v>326</v>
      </c>
      <c r="K48" s="468">
        <v>23</v>
      </c>
      <c r="L48" s="468">
        <v>7521</v>
      </c>
      <c r="M48" s="465">
        <v>1</v>
      </c>
      <c r="N48" s="465">
        <v>327</v>
      </c>
      <c r="O48" s="468">
        <v>69</v>
      </c>
      <c r="P48" s="468">
        <v>22563</v>
      </c>
      <c r="Q48" s="603">
        <v>3</v>
      </c>
      <c r="R48" s="469">
        <v>327</v>
      </c>
    </row>
    <row r="49" spans="1:18" ht="14.4" customHeight="1" x14ac:dyDescent="0.3">
      <c r="A49" s="522" t="s">
        <v>924</v>
      </c>
      <c r="B49" s="465" t="s">
        <v>925</v>
      </c>
      <c r="C49" s="465" t="s">
        <v>456</v>
      </c>
      <c r="D49" s="465" t="s">
        <v>926</v>
      </c>
      <c r="E49" s="465" t="s">
        <v>1013</v>
      </c>
      <c r="F49" s="465" t="s">
        <v>1014</v>
      </c>
      <c r="G49" s="468">
        <v>208</v>
      </c>
      <c r="H49" s="468">
        <v>143104</v>
      </c>
      <c r="I49" s="465">
        <v>1.8684423553988772</v>
      </c>
      <c r="J49" s="465">
        <v>688</v>
      </c>
      <c r="K49" s="468">
        <v>111</v>
      </c>
      <c r="L49" s="468">
        <v>76590</v>
      </c>
      <c r="M49" s="465">
        <v>1</v>
      </c>
      <c r="N49" s="465">
        <v>690</v>
      </c>
      <c r="O49" s="468">
        <v>259</v>
      </c>
      <c r="P49" s="468">
        <v>178710</v>
      </c>
      <c r="Q49" s="603">
        <v>2.3333333333333335</v>
      </c>
      <c r="R49" s="469">
        <v>690</v>
      </c>
    </row>
    <row r="50" spans="1:18" ht="14.4" customHeight="1" x14ac:dyDescent="0.3">
      <c r="A50" s="522" t="s">
        <v>924</v>
      </c>
      <c r="B50" s="465" t="s">
        <v>925</v>
      </c>
      <c r="C50" s="465" t="s">
        <v>456</v>
      </c>
      <c r="D50" s="465" t="s">
        <v>926</v>
      </c>
      <c r="E50" s="465" t="s">
        <v>1015</v>
      </c>
      <c r="F50" s="465" t="s">
        <v>1016</v>
      </c>
      <c r="G50" s="468">
        <v>595</v>
      </c>
      <c r="H50" s="468">
        <v>207060</v>
      </c>
      <c r="I50" s="465">
        <v>2.207462686567164</v>
      </c>
      <c r="J50" s="465">
        <v>348</v>
      </c>
      <c r="K50" s="468">
        <v>268</v>
      </c>
      <c r="L50" s="468">
        <v>93800</v>
      </c>
      <c r="M50" s="465">
        <v>1</v>
      </c>
      <c r="N50" s="465">
        <v>350</v>
      </c>
      <c r="O50" s="468">
        <v>659</v>
      </c>
      <c r="P50" s="468">
        <v>230650</v>
      </c>
      <c r="Q50" s="603">
        <v>2.4589552238805972</v>
      </c>
      <c r="R50" s="469">
        <v>350</v>
      </c>
    </row>
    <row r="51" spans="1:18" ht="14.4" customHeight="1" x14ac:dyDescent="0.3">
      <c r="A51" s="522" t="s">
        <v>924</v>
      </c>
      <c r="B51" s="465" t="s">
        <v>925</v>
      </c>
      <c r="C51" s="465" t="s">
        <v>456</v>
      </c>
      <c r="D51" s="465" t="s">
        <v>926</v>
      </c>
      <c r="E51" s="465" t="s">
        <v>1017</v>
      </c>
      <c r="F51" s="465" t="s">
        <v>1018</v>
      </c>
      <c r="G51" s="468">
        <v>506</v>
      </c>
      <c r="H51" s="468">
        <v>87538</v>
      </c>
      <c r="I51" s="465">
        <v>2.2661799730765249</v>
      </c>
      <c r="J51" s="465">
        <v>173</v>
      </c>
      <c r="K51" s="468">
        <v>222</v>
      </c>
      <c r="L51" s="468">
        <v>38628</v>
      </c>
      <c r="M51" s="465">
        <v>1</v>
      </c>
      <c r="N51" s="465">
        <v>174</v>
      </c>
      <c r="O51" s="468">
        <v>530</v>
      </c>
      <c r="P51" s="468">
        <v>92220</v>
      </c>
      <c r="Q51" s="603">
        <v>2.3873873873873874</v>
      </c>
      <c r="R51" s="469">
        <v>174</v>
      </c>
    </row>
    <row r="52" spans="1:18" ht="14.4" customHeight="1" x14ac:dyDescent="0.3">
      <c r="A52" s="522" t="s">
        <v>924</v>
      </c>
      <c r="B52" s="465" t="s">
        <v>925</v>
      </c>
      <c r="C52" s="465" t="s">
        <v>456</v>
      </c>
      <c r="D52" s="465" t="s">
        <v>926</v>
      </c>
      <c r="E52" s="465" t="s">
        <v>1019</v>
      </c>
      <c r="F52" s="465" t="s">
        <v>1020</v>
      </c>
      <c r="G52" s="468">
        <v>132</v>
      </c>
      <c r="H52" s="468">
        <v>52800</v>
      </c>
      <c r="I52" s="465">
        <v>1.5675097969362308</v>
      </c>
      <c r="J52" s="465">
        <v>400</v>
      </c>
      <c r="K52" s="468">
        <v>84</v>
      </c>
      <c r="L52" s="468">
        <v>33684</v>
      </c>
      <c r="M52" s="465">
        <v>1</v>
      </c>
      <c r="N52" s="465">
        <v>401</v>
      </c>
      <c r="O52" s="468">
        <v>232</v>
      </c>
      <c r="P52" s="468">
        <v>93032</v>
      </c>
      <c r="Q52" s="603">
        <v>2.7619047619047619</v>
      </c>
      <c r="R52" s="469">
        <v>401</v>
      </c>
    </row>
    <row r="53" spans="1:18" ht="14.4" customHeight="1" x14ac:dyDescent="0.3">
      <c r="A53" s="522" t="s">
        <v>924</v>
      </c>
      <c r="B53" s="465" t="s">
        <v>925</v>
      </c>
      <c r="C53" s="465" t="s">
        <v>456</v>
      </c>
      <c r="D53" s="465" t="s">
        <v>926</v>
      </c>
      <c r="E53" s="465" t="s">
        <v>1021</v>
      </c>
      <c r="F53" s="465" t="s">
        <v>1022</v>
      </c>
      <c r="G53" s="468">
        <v>53</v>
      </c>
      <c r="H53" s="468">
        <v>34556</v>
      </c>
      <c r="I53" s="465">
        <v>1.6511850152905199</v>
      </c>
      <c r="J53" s="465">
        <v>652</v>
      </c>
      <c r="K53" s="468">
        <v>32</v>
      </c>
      <c r="L53" s="468">
        <v>20928</v>
      </c>
      <c r="M53" s="465">
        <v>1</v>
      </c>
      <c r="N53" s="465">
        <v>654</v>
      </c>
      <c r="O53" s="468">
        <v>71</v>
      </c>
      <c r="P53" s="468">
        <v>46434</v>
      </c>
      <c r="Q53" s="603">
        <v>2.21875</v>
      </c>
      <c r="R53" s="469">
        <v>654</v>
      </c>
    </row>
    <row r="54" spans="1:18" ht="14.4" customHeight="1" x14ac:dyDescent="0.3">
      <c r="A54" s="522" t="s">
        <v>924</v>
      </c>
      <c r="B54" s="465" t="s">
        <v>925</v>
      </c>
      <c r="C54" s="465" t="s">
        <v>456</v>
      </c>
      <c r="D54" s="465" t="s">
        <v>926</v>
      </c>
      <c r="E54" s="465" t="s">
        <v>1023</v>
      </c>
      <c r="F54" s="465" t="s">
        <v>1024</v>
      </c>
      <c r="G54" s="468">
        <v>53</v>
      </c>
      <c r="H54" s="468">
        <v>34556</v>
      </c>
      <c r="I54" s="465">
        <v>1.6511850152905199</v>
      </c>
      <c r="J54" s="465">
        <v>652</v>
      </c>
      <c r="K54" s="468">
        <v>32</v>
      </c>
      <c r="L54" s="468">
        <v>20928</v>
      </c>
      <c r="M54" s="465">
        <v>1</v>
      </c>
      <c r="N54" s="465">
        <v>654</v>
      </c>
      <c r="O54" s="468">
        <v>71</v>
      </c>
      <c r="P54" s="468">
        <v>46434</v>
      </c>
      <c r="Q54" s="603">
        <v>2.21875</v>
      </c>
      <c r="R54" s="469">
        <v>654</v>
      </c>
    </row>
    <row r="55" spans="1:18" ht="14.4" customHeight="1" x14ac:dyDescent="0.3">
      <c r="A55" s="522" t="s">
        <v>924</v>
      </c>
      <c r="B55" s="465" t="s">
        <v>925</v>
      </c>
      <c r="C55" s="465" t="s">
        <v>456</v>
      </c>
      <c r="D55" s="465" t="s">
        <v>926</v>
      </c>
      <c r="E55" s="465" t="s">
        <v>1025</v>
      </c>
      <c r="F55" s="465" t="s">
        <v>1026</v>
      </c>
      <c r="G55" s="468">
        <v>924</v>
      </c>
      <c r="H55" s="468">
        <v>399168</v>
      </c>
      <c r="I55" s="465">
        <v>1.827943398818519</v>
      </c>
      <c r="J55" s="465">
        <v>432</v>
      </c>
      <c r="K55" s="468">
        <v>502</v>
      </c>
      <c r="L55" s="468">
        <v>218370</v>
      </c>
      <c r="M55" s="465">
        <v>1</v>
      </c>
      <c r="N55" s="465">
        <v>435</v>
      </c>
      <c r="O55" s="468"/>
      <c r="P55" s="468"/>
      <c r="Q55" s="603"/>
      <c r="R55" s="469"/>
    </row>
    <row r="56" spans="1:18" ht="14.4" customHeight="1" x14ac:dyDescent="0.3">
      <c r="A56" s="522" t="s">
        <v>924</v>
      </c>
      <c r="B56" s="465" t="s">
        <v>925</v>
      </c>
      <c r="C56" s="465" t="s">
        <v>456</v>
      </c>
      <c r="D56" s="465" t="s">
        <v>926</v>
      </c>
      <c r="E56" s="465" t="s">
        <v>1027</v>
      </c>
      <c r="F56" s="465" t="s">
        <v>1028</v>
      </c>
      <c r="G56" s="468">
        <v>18</v>
      </c>
      <c r="H56" s="468">
        <v>12456</v>
      </c>
      <c r="I56" s="465">
        <v>1.0557721647736904</v>
      </c>
      <c r="J56" s="465">
        <v>692</v>
      </c>
      <c r="K56" s="468">
        <v>17</v>
      </c>
      <c r="L56" s="468">
        <v>11798</v>
      </c>
      <c r="M56" s="465">
        <v>1</v>
      </c>
      <c r="N56" s="465">
        <v>694</v>
      </c>
      <c r="O56" s="468">
        <v>32</v>
      </c>
      <c r="P56" s="468">
        <v>22208</v>
      </c>
      <c r="Q56" s="603">
        <v>1.8823529411764706</v>
      </c>
      <c r="R56" s="469">
        <v>694</v>
      </c>
    </row>
    <row r="57" spans="1:18" ht="14.4" customHeight="1" x14ac:dyDescent="0.3">
      <c r="A57" s="522" t="s">
        <v>924</v>
      </c>
      <c r="B57" s="465" t="s">
        <v>925</v>
      </c>
      <c r="C57" s="465" t="s">
        <v>456</v>
      </c>
      <c r="D57" s="465" t="s">
        <v>926</v>
      </c>
      <c r="E57" s="465" t="s">
        <v>1029</v>
      </c>
      <c r="F57" s="465" t="s">
        <v>1030</v>
      </c>
      <c r="G57" s="468">
        <v>45</v>
      </c>
      <c r="H57" s="468">
        <v>30420</v>
      </c>
      <c r="I57" s="465">
        <v>1.3596138374899436</v>
      </c>
      <c r="J57" s="465">
        <v>676</v>
      </c>
      <c r="K57" s="468">
        <v>33</v>
      </c>
      <c r="L57" s="468">
        <v>22374</v>
      </c>
      <c r="M57" s="465">
        <v>1</v>
      </c>
      <c r="N57" s="465">
        <v>678</v>
      </c>
      <c r="O57" s="468">
        <v>47</v>
      </c>
      <c r="P57" s="468">
        <v>31866</v>
      </c>
      <c r="Q57" s="603">
        <v>1.4242424242424243</v>
      </c>
      <c r="R57" s="469">
        <v>678</v>
      </c>
    </row>
    <row r="58" spans="1:18" ht="14.4" customHeight="1" x14ac:dyDescent="0.3">
      <c r="A58" s="522" t="s">
        <v>924</v>
      </c>
      <c r="B58" s="465" t="s">
        <v>925</v>
      </c>
      <c r="C58" s="465" t="s">
        <v>456</v>
      </c>
      <c r="D58" s="465" t="s">
        <v>926</v>
      </c>
      <c r="E58" s="465" t="s">
        <v>1031</v>
      </c>
      <c r="F58" s="465" t="s">
        <v>1032</v>
      </c>
      <c r="G58" s="468">
        <v>274</v>
      </c>
      <c r="H58" s="468">
        <v>130150</v>
      </c>
      <c r="I58" s="465">
        <v>1.9629579355383617</v>
      </c>
      <c r="J58" s="465">
        <v>475</v>
      </c>
      <c r="K58" s="468">
        <v>139</v>
      </c>
      <c r="L58" s="468">
        <v>66303</v>
      </c>
      <c r="M58" s="465">
        <v>1</v>
      </c>
      <c r="N58" s="465">
        <v>477</v>
      </c>
      <c r="O58" s="468">
        <v>316</v>
      </c>
      <c r="P58" s="468">
        <v>150732</v>
      </c>
      <c r="Q58" s="603">
        <v>2.2733812949640289</v>
      </c>
      <c r="R58" s="469">
        <v>477</v>
      </c>
    </row>
    <row r="59" spans="1:18" ht="14.4" customHeight="1" x14ac:dyDescent="0.3">
      <c r="A59" s="522" t="s">
        <v>924</v>
      </c>
      <c r="B59" s="465" t="s">
        <v>925</v>
      </c>
      <c r="C59" s="465" t="s">
        <v>456</v>
      </c>
      <c r="D59" s="465" t="s">
        <v>926</v>
      </c>
      <c r="E59" s="465" t="s">
        <v>1033</v>
      </c>
      <c r="F59" s="465" t="s">
        <v>1034</v>
      </c>
      <c r="G59" s="468">
        <v>54</v>
      </c>
      <c r="H59" s="468">
        <v>15606</v>
      </c>
      <c r="I59" s="465">
        <v>1.3750991276764473</v>
      </c>
      <c r="J59" s="465">
        <v>289</v>
      </c>
      <c r="K59" s="468">
        <v>39</v>
      </c>
      <c r="L59" s="468">
        <v>11349</v>
      </c>
      <c r="M59" s="465">
        <v>1</v>
      </c>
      <c r="N59" s="465">
        <v>291</v>
      </c>
      <c r="O59" s="468">
        <v>97</v>
      </c>
      <c r="P59" s="468">
        <v>28227</v>
      </c>
      <c r="Q59" s="603">
        <v>2.4871794871794872</v>
      </c>
      <c r="R59" s="469">
        <v>291</v>
      </c>
    </row>
    <row r="60" spans="1:18" ht="14.4" customHeight="1" x14ac:dyDescent="0.3">
      <c r="A60" s="522" t="s">
        <v>924</v>
      </c>
      <c r="B60" s="465" t="s">
        <v>925</v>
      </c>
      <c r="C60" s="465" t="s">
        <v>456</v>
      </c>
      <c r="D60" s="465" t="s">
        <v>926</v>
      </c>
      <c r="E60" s="465" t="s">
        <v>1035</v>
      </c>
      <c r="F60" s="465" t="s">
        <v>1036</v>
      </c>
      <c r="G60" s="468">
        <v>57</v>
      </c>
      <c r="H60" s="468">
        <v>46284</v>
      </c>
      <c r="I60" s="465">
        <v>2.5877222408587723</v>
      </c>
      <c r="J60" s="465">
        <v>812</v>
      </c>
      <c r="K60" s="468">
        <v>22</v>
      </c>
      <c r="L60" s="468">
        <v>17886</v>
      </c>
      <c r="M60" s="465">
        <v>1</v>
      </c>
      <c r="N60" s="465">
        <v>813</v>
      </c>
      <c r="O60" s="468">
        <v>129</v>
      </c>
      <c r="P60" s="468">
        <v>105006</v>
      </c>
      <c r="Q60" s="603">
        <v>5.8708487084870846</v>
      </c>
      <c r="R60" s="469">
        <v>814</v>
      </c>
    </row>
    <row r="61" spans="1:18" ht="14.4" customHeight="1" x14ac:dyDescent="0.3">
      <c r="A61" s="522" t="s">
        <v>924</v>
      </c>
      <c r="B61" s="465" t="s">
        <v>925</v>
      </c>
      <c r="C61" s="465" t="s">
        <v>456</v>
      </c>
      <c r="D61" s="465" t="s">
        <v>926</v>
      </c>
      <c r="E61" s="465" t="s">
        <v>1037</v>
      </c>
      <c r="F61" s="465" t="s">
        <v>1038</v>
      </c>
      <c r="G61" s="468">
        <v>924</v>
      </c>
      <c r="H61" s="468">
        <v>931392</v>
      </c>
      <c r="I61" s="465">
        <v>1.8351756180027663</v>
      </c>
      <c r="J61" s="465">
        <v>1008</v>
      </c>
      <c r="K61" s="468">
        <v>502</v>
      </c>
      <c r="L61" s="468">
        <v>507522</v>
      </c>
      <c r="M61" s="465">
        <v>1</v>
      </c>
      <c r="N61" s="465">
        <v>1011</v>
      </c>
      <c r="O61" s="468"/>
      <c r="P61" s="468"/>
      <c r="Q61" s="603"/>
      <c r="R61" s="469"/>
    </row>
    <row r="62" spans="1:18" ht="14.4" customHeight="1" x14ac:dyDescent="0.3">
      <c r="A62" s="522" t="s">
        <v>924</v>
      </c>
      <c r="B62" s="465" t="s">
        <v>925</v>
      </c>
      <c r="C62" s="465" t="s">
        <v>456</v>
      </c>
      <c r="D62" s="465" t="s">
        <v>926</v>
      </c>
      <c r="E62" s="465" t="s">
        <v>1039</v>
      </c>
      <c r="F62" s="465" t="s">
        <v>1040</v>
      </c>
      <c r="G62" s="468">
        <v>529</v>
      </c>
      <c r="H62" s="468">
        <v>88343</v>
      </c>
      <c r="I62" s="465">
        <v>1.9548371393166932</v>
      </c>
      <c r="J62" s="465">
        <v>167</v>
      </c>
      <c r="K62" s="468">
        <v>269</v>
      </c>
      <c r="L62" s="468">
        <v>45192</v>
      </c>
      <c r="M62" s="465">
        <v>1</v>
      </c>
      <c r="N62" s="465">
        <v>168</v>
      </c>
      <c r="O62" s="468">
        <v>621</v>
      </c>
      <c r="P62" s="468">
        <v>104328</v>
      </c>
      <c r="Q62" s="603">
        <v>2.3085501858736062</v>
      </c>
      <c r="R62" s="469">
        <v>168</v>
      </c>
    </row>
    <row r="63" spans="1:18" ht="14.4" customHeight="1" x14ac:dyDescent="0.3">
      <c r="A63" s="522" t="s">
        <v>924</v>
      </c>
      <c r="B63" s="465" t="s">
        <v>925</v>
      </c>
      <c r="C63" s="465" t="s">
        <v>456</v>
      </c>
      <c r="D63" s="465" t="s">
        <v>926</v>
      </c>
      <c r="E63" s="465" t="s">
        <v>1041</v>
      </c>
      <c r="F63" s="465" t="s">
        <v>1042</v>
      </c>
      <c r="G63" s="468">
        <v>67</v>
      </c>
      <c r="H63" s="468">
        <v>57151</v>
      </c>
      <c r="I63" s="465">
        <v>3.5221866140761739</v>
      </c>
      <c r="J63" s="465">
        <v>853</v>
      </c>
      <c r="K63" s="468">
        <v>19</v>
      </c>
      <c r="L63" s="468">
        <v>16226</v>
      </c>
      <c r="M63" s="465">
        <v>1</v>
      </c>
      <c r="N63" s="465">
        <v>854</v>
      </c>
      <c r="O63" s="468">
        <v>50</v>
      </c>
      <c r="P63" s="468">
        <v>42700</v>
      </c>
      <c r="Q63" s="603">
        <v>2.6315789473684212</v>
      </c>
      <c r="R63" s="469">
        <v>854</v>
      </c>
    </row>
    <row r="64" spans="1:18" ht="14.4" customHeight="1" x14ac:dyDescent="0.3">
      <c r="A64" s="522" t="s">
        <v>924</v>
      </c>
      <c r="B64" s="465" t="s">
        <v>925</v>
      </c>
      <c r="C64" s="465" t="s">
        <v>456</v>
      </c>
      <c r="D64" s="465" t="s">
        <v>926</v>
      </c>
      <c r="E64" s="465" t="s">
        <v>1043</v>
      </c>
      <c r="F64" s="465" t="s">
        <v>1044</v>
      </c>
      <c r="G64" s="468">
        <v>33</v>
      </c>
      <c r="H64" s="468">
        <v>18909</v>
      </c>
      <c r="I64" s="465">
        <v>1.5686908909905426</v>
      </c>
      <c r="J64" s="465">
        <v>573</v>
      </c>
      <c r="K64" s="468">
        <v>21</v>
      </c>
      <c r="L64" s="468">
        <v>12054</v>
      </c>
      <c r="M64" s="465">
        <v>1</v>
      </c>
      <c r="N64" s="465">
        <v>574</v>
      </c>
      <c r="O64" s="468">
        <v>58</v>
      </c>
      <c r="P64" s="468">
        <v>33292</v>
      </c>
      <c r="Q64" s="603">
        <v>2.7619047619047619</v>
      </c>
      <c r="R64" s="469">
        <v>574</v>
      </c>
    </row>
    <row r="65" spans="1:18" ht="14.4" customHeight="1" x14ac:dyDescent="0.3">
      <c r="A65" s="522" t="s">
        <v>924</v>
      </c>
      <c r="B65" s="465" t="s">
        <v>925</v>
      </c>
      <c r="C65" s="465" t="s">
        <v>456</v>
      </c>
      <c r="D65" s="465" t="s">
        <v>926</v>
      </c>
      <c r="E65" s="465" t="s">
        <v>1045</v>
      </c>
      <c r="F65" s="465" t="s">
        <v>1046</v>
      </c>
      <c r="G65" s="468">
        <v>87</v>
      </c>
      <c r="H65" s="468">
        <v>196968</v>
      </c>
      <c r="I65" s="465"/>
      <c r="J65" s="465">
        <v>2264</v>
      </c>
      <c r="K65" s="468"/>
      <c r="L65" s="468"/>
      <c r="M65" s="465"/>
      <c r="N65" s="465"/>
      <c r="O65" s="468">
        <v>180</v>
      </c>
      <c r="P65" s="468">
        <v>413460</v>
      </c>
      <c r="Q65" s="603"/>
      <c r="R65" s="469">
        <v>2297</v>
      </c>
    </row>
    <row r="66" spans="1:18" ht="14.4" customHeight="1" x14ac:dyDescent="0.3">
      <c r="A66" s="522" t="s">
        <v>924</v>
      </c>
      <c r="B66" s="465" t="s">
        <v>925</v>
      </c>
      <c r="C66" s="465" t="s">
        <v>456</v>
      </c>
      <c r="D66" s="465" t="s">
        <v>926</v>
      </c>
      <c r="E66" s="465" t="s">
        <v>1047</v>
      </c>
      <c r="F66" s="465" t="s">
        <v>1048</v>
      </c>
      <c r="G66" s="468">
        <v>171</v>
      </c>
      <c r="H66" s="468">
        <v>31806</v>
      </c>
      <c r="I66" s="465">
        <v>1.3392563897427261</v>
      </c>
      <c r="J66" s="465">
        <v>186</v>
      </c>
      <c r="K66" s="468">
        <v>127</v>
      </c>
      <c r="L66" s="468">
        <v>23749</v>
      </c>
      <c r="M66" s="465">
        <v>1</v>
      </c>
      <c r="N66" s="465">
        <v>187</v>
      </c>
      <c r="O66" s="468">
        <v>223</v>
      </c>
      <c r="P66" s="468">
        <v>41701</v>
      </c>
      <c r="Q66" s="603">
        <v>1.7559055118110236</v>
      </c>
      <c r="R66" s="469">
        <v>187</v>
      </c>
    </row>
    <row r="67" spans="1:18" ht="14.4" customHeight="1" x14ac:dyDescent="0.3">
      <c r="A67" s="522" t="s">
        <v>924</v>
      </c>
      <c r="B67" s="465" t="s">
        <v>925</v>
      </c>
      <c r="C67" s="465" t="s">
        <v>456</v>
      </c>
      <c r="D67" s="465" t="s">
        <v>926</v>
      </c>
      <c r="E67" s="465" t="s">
        <v>1049</v>
      </c>
      <c r="F67" s="465" t="s">
        <v>1050</v>
      </c>
      <c r="G67" s="468">
        <v>3341</v>
      </c>
      <c r="H67" s="468">
        <v>1921075</v>
      </c>
      <c r="I67" s="465">
        <v>1.9390695655684755</v>
      </c>
      <c r="J67" s="465">
        <v>575</v>
      </c>
      <c r="K67" s="468">
        <v>1720</v>
      </c>
      <c r="L67" s="468">
        <v>990720</v>
      </c>
      <c r="M67" s="465">
        <v>1</v>
      </c>
      <c r="N67" s="465">
        <v>576</v>
      </c>
      <c r="O67" s="468">
        <v>3790</v>
      </c>
      <c r="P67" s="468">
        <v>2183040</v>
      </c>
      <c r="Q67" s="603">
        <v>2.2034883720930232</v>
      </c>
      <c r="R67" s="469">
        <v>576</v>
      </c>
    </row>
    <row r="68" spans="1:18" ht="14.4" customHeight="1" x14ac:dyDescent="0.3">
      <c r="A68" s="522" t="s">
        <v>924</v>
      </c>
      <c r="B68" s="465" t="s">
        <v>925</v>
      </c>
      <c r="C68" s="465" t="s">
        <v>456</v>
      </c>
      <c r="D68" s="465" t="s">
        <v>926</v>
      </c>
      <c r="E68" s="465" t="s">
        <v>1051</v>
      </c>
      <c r="F68" s="465" t="s">
        <v>1052</v>
      </c>
      <c r="G68" s="468">
        <v>58</v>
      </c>
      <c r="H68" s="468">
        <v>10034</v>
      </c>
      <c r="I68" s="465"/>
      <c r="J68" s="465">
        <v>173</v>
      </c>
      <c r="K68" s="468"/>
      <c r="L68" s="468"/>
      <c r="M68" s="465"/>
      <c r="N68" s="465"/>
      <c r="O68" s="468">
        <v>56</v>
      </c>
      <c r="P68" s="468">
        <v>10024</v>
      </c>
      <c r="Q68" s="603"/>
      <c r="R68" s="469">
        <v>179</v>
      </c>
    </row>
    <row r="69" spans="1:18" ht="14.4" customHeight="1" x14ac:dyDescent="0.3">
      <c r="A69" s="522" t="s">
        <v>924</v>
      </c>
      <c r="B69" s="465" t="s">
        <v>925</v>
      </c>
      <c r="C69" s="465" t="s">
        <v>456</v>
      </c>
      <c r="D69" s="465" t="s">
        <v>926</v>
      </c>
      <c r="E69" s="465" t="s">
        <v>1053</v>
      </c>
      <c r="F69" s="465" t="s">
        <v>1054</v>
      </c>
      <c r="G69" s="468">
        <v>53</v>
      </c>
      <c r="H69" s="468">
        <v>74041</v>
      </c>
      <c r="I69" s="465">
        <v>1.6538822373123661</v>
      </c>
      <c r="J69" s="465">
        <v>1397</v>
      </c>
      <c r="K69" s="468">
        <v>32</v>
      </c>
      <c r="L69" s="468">
        <v>44768</v>
      </c>
      <c r="M69" s="465">
        <v>1</v>
      </c>
      <c r="N69" s="465">
        <v>1399</v>
      </c>
      <c r="O69" s="468">
        <v>71</v>
      </c>
      <c r="P69" s="468">
        <v>99329</v>
      </c>
      <c r="Q69" s="603">
        <v>2.21875</v>
      </c>
      <c r="R69" s="469">
        <v>1399</v>
      </c>
    </row>
    <row r="70" spans="1:18" ht="14.4" customHeight="1" x14ac:dyDescent="0.3">
      <c r="A70" s="522" t="s">
        <v>924</v>
      </c>
      <c r="B70" s="465" t="s">
        <v>925</v>
      </c>
      <c r="C70" s="465" t="s">
        <v>456</v>
      </c>
      <c r="D70" s="465" t="s">
        <v>926</v>
      </c>
      <c r="E70" s="465" t="s">
        <v>1055</v>
      </c>
      <c r="F70" s="465" t="s">
        <v>1056</v>
      </c>
      <c r="G70" s="468">
        <v>2</v>
      </c>
      <c r="H70" s="468">
        <v>2036</v>
      </c>
      <c r="I70" s="465">
        <v>0.99608610567514677</v>
      </c>
      <c r="J70" s="465">
        <v>1018</v>
      </c>
      <c r="K70" s="468">
        <v>2</v>
      </c>
      <c r="L70" s="468">
        <v>2044</v>
      </c>
      <c r="M70" s="465">
        <v>1</v>
      </c>
      <c r="N70" s="465">
        <v>1022</v>
      </c>
      <c r="O70" s="468">
        <v>6</v>
      </c>
      <c r="P70" s="468">
        <v>6132</v>
      </c>
      <c r="Q70" s="603">
        <v>3</v>
      </c>
      <c r="R70" s="469">
        <v>1022</v>
      </c>
    </row>
    <row r="71" spans="1:18" ht="14.4" customHeight="1" x14ac:dyDescent="0.3">
      <c r="A71" s="522" t="s">
        <v>924</v>
      </c>
      <c r="B71" s="465" t="s">
        <v>925</v>
      </c>
      <c r="C71" s="465" t="s">
        <v>456</v>
      </c>
      <c r="D71" s="465" t="s">
        <v>926</v>
      </c>
      <c r="E71" s="465" t="s">
        <v>1057</v>
      </c>
      <c r="F71" s="465" t="s">
        <v>1058</v>
      </c>
      <c r="G71" s="468">
        <v>51</v>
      </c>
      <c r="H71" s="468">
        <v>9639</v>
      </c>
      <c r="I71" s="465">
        <v>2.536578947368421</v>
      </c>
      <c r="J71" s="465">
        <v>189</v>
      </c>
      <c r="K71" s="468">
        <v>20</v>
      </c>
      <c r="L71" s="468">
        <v>3800</v>
      </c>
      <c r="M71" s="465">
        <v>1</v>
      </c>
      <c r="N71" s="465">
        <v>190</v>
      </c>
      <c r="O71" s="468">
        <v>64</v>
      </c>
      <c r="P71" s="468">
        <v>12160</v>
      </c>
      <c r="Q71" s="603">
        <v>3.2</v>
      </c>
      <c r="R71" s="469">
        <v>190</v>
      </c>
    </row>
    <row r="72" spans="1:18" ht="14.4" customHeight="1" x14ac:dyDescent="0.3">
      <c r="A72" s="522" t="s">
        <v>924</v>
      </c>
      <c r="B72" s="465" t="s">
        <v>925</v>
      </c>
      <c r="C72" s="465" t="s">
        <v>456</v>
      </c>
      <c r="D72" s="465" t="s">
        <v>926</v>
      </c>
      <c r="E72" s="465" t="s">
        <v>1059</v>
      </c>
      <c r="F72" s="465" t="s">
        <v>1060</v>
      </c>
      <c r="G72" s="468">
        <v>57</v>
      </c>
      <c r="H72" s="468">
        <v>46284</v>
      </c>
      <c r="I72" s="465">
        <v>2.5877222408587723</v>
      </c>
      <c r="J72" s="465">
        <v>812</v>
      </c>
      <c r="K72" s="468">
        <v>22</v>
      </c>
      <c r="L72" s="468">
        <v>17886</v>
      </c>
      <c r="M72" s="465">
        <v>1</v>
      </c>
      <c r="N72" s="465">
        <v>813</v>
      </c>
      <c r="O72" s="468">
        <v>129</v>
      </c>
      <c r="P72" s="468">
        <v>105006</v>
      </c>
      <c r="Q72" s="603">
        <v>5.8708487084870846</v>
      </c>
      <c r="R72" s="469">
        <v>814</v>
      </c>
    </row>
    <row r="73" spans="1:18" ht="14.4" customHeight="1" x14ac:dyDescent="0.3">
      <c r="A73" s="522" t="s">
        <v>924</v>
      </c>
      <c r="B73" s="465" t="s">
        <v>925</v>
      </c>
      <c r="C73" s="465" t="s">
        <v>456</v>
      </c>
      <c r="D73" s="465" t="s">
        <v>926</v>
      </c>
      <c r="E73" s="465" t="s">
        <v>1061</v>
      </c>
      <c r="F73" s="465" t="s">
        <v>1062</v>
      </c>
      <c r="G73" s="468"/>
      <c r="H73" s="468"/>
      <c r="I73" s="465"/>
      <c r="J73" s="465"/>
      <c r="K73" s="468"/>
      <c r="L73" s="468"/>
      <c r="M73" s="465"/>
      <c r="N73" s="465"/>
      <c r="O73" s="468">
        <v>1</v>
      </c>
      <c r="P73" s="468">
        <v>338</v>
      </c>
      <c r="Q73" s="603"/>
      <c r="R73" s="469">
        <v>338</v>
      </c>
    </row>
    <row r="74" spans="1:18" ht="14.4" customHeight="1" x14ac:dyDescent="0.3">
      <c r="A74" s="522" t="s">
        <v>924</v>
      </c>
      <c r="B74" s="465" t="s">
        <v>925</v>
      </c>
      <c r="C74" s="465" t="s">
        <v>456</v>
      </c>
      <c r="D74" s="465" t="s">
        <v>926</v>
      </c>
      <c r="E74" s="465" t="s">
        <v>1063</v>
      </c>
      <c r="F74" s="465" t="s">
        <v>1064</v>
      </c>
      <c r="G74" s="468">
        <v>1</v>
      </c>
      <c r="H74" s="468">
        <v>258</v>
      </c>
      <c r="I74" s="465">
        <v>0.99230769230769234</v>
      </c>
      <c r="J74" s="465">
        <v>258</v>
      </c>
      <c r="K74" s="468">
        <v>1</v>
      </c>
      <c r="L74" s="468">
        <v>260</v>
      </c>
      <c r="M74" s="465">
        <v>1</v>
      </c>
      <c r="N74" s="465">
        <v>260</v>
      </c>
      <c r="O74" s="468">
        <v>4</v>
      </c>
      <c r="P74" s="468">
        <v>1040</v>
      </c>
      <c r="Q74" s="603">
        <v>4</v>
      </c>
      <c r="R74" s="469">
        <v>260</v>
      </c>
    </row>
    <row r="75" spans="1:18" ht="14.4" customHeight="1" x14ac:dyDescent="0.3">
      <c r="A75" s="522" t="s">
        <v>924</v>
      </c>
      <c r="B75" s="465" t="s">
        <v>925</v>
      </c>
      <c r="C75" s="465" t="s">
        <v>456</v>
      </c>
      <c r="D75" s="465" t="s">
        <v>926</v>
      </c>
      <c r="E75" s="465" t="s">
        <v>1065</v>
      </c>
      <c r="F75" s="465" t="s">
        <v>984</v>
      </c>
      <c r="G75" s="468">
        <v>13</v>
      </c>
      <c r="H75" s="468">
        <v>31525</v>
      </c>
      <c r="I75" s="465">
        <v>6.4946435929130617</v>
      </c>
      <c r="J75" s="465">
        <v>2425</v>
      </c>
      <c r="K75" s="468">
        <v>2</v>
      </c>
      <c r="L75" s="468">
        <v>4854</v>
      </c>
      <c r="M75" s="465">
        <v>1</v>
      </c>
      <c r="N75" s="465">
        <v>2427</v>
      </c>
      <c r="O75" s="468">
        <v>9</v>
      </c>
      <c r="P75" s="468">
        <v>21843</v>
      </c>
      <c r="Q75" s="603">
        <v>4.5</v>
      </c>
      <c r="R75" s="469">
        <v>2427</v>
      </c>
    </row>
    <row r="76" spans="1:18" ht="14.4" customHeight="1" x14ac:dyDescent="0.3">
      <c r="A76" s="522" t="s">
        <v>924</v>
      </c>
      <c r="B76" s="465" t="s">
        <v>925</v>
      </c>
      <c r="C76" s="465" t="s">
        <v>456</v>
      </c>
      <c r="D76" s="465" t="s">
        <v>926</v>
      </c>
      <c r="E76" s="465" t="s">
        <v>1066</v>
      </c>
      <c r="F76" s="465" t="s">
        <v>1067</v>
      </c>
      <c r="G76" s="468">
        <v>23</v>
      </c>
      <c r="H76" s="468">
        <v>93380</v>
      </c>
      <c r="I76" s="465"/>
      <c r="J76" s="465">
        <v>4060</v>
      </c>
      <c r="K76" s="468"/>
      <c r="L76" s="468"/>
      <c r="M76" s="465"/>
      <c r="N76" s="465"/>
      <c r="O76" s="468">
        <v>31</v>
      </c>
      <c r="P76" s="468">
        <v>126604</v>
      </c>
      <c r="Q76" s="603"/>
      <c r="R76" s="469">
        <v>4084</v>
      </c>
    </row>
    <row r="77" spans="1:18" ht="14.4" customHeight="1" x14ac:dyDescent="0.3">
      <c r="A77" s="522" t="s">
        <v>924</v>
      </c>
      <c r="B77" s="465" t="s">
        <v>925</v>
      </c>
      <c r="C77" s="465" t="s">
        <v>456</v>
      </c>
      <c r="D77" s="465" t="s">
        <v>926</v>
      </c>
      <c r="E77" s="465" t="s">
        <v>1068</v>
      </c>
      <c r="F77" s="465" t="s">
        <v>1069</v>
      </c>
      <c r="G77" s="468">
        <v>11</v>
      </c>
      <c r="H77" s="468">
        <v>37389</v>
      </c>
      <c r="I77" s="465"/>
      <c r="J77" s="465">
        <v>3399</v>
      </c>
      <c r="K77" s="468"/>
      <c r="L77" s="468"/>
      <c r="M77" s="465"/>
      <c r="N77" s="465"/>
      <c r="O77" s="468">
        <v>6</v>
      </c>
      <c r="P77" s="468">
        <v>20754</v>
      </c>
      <c r="Q77" s="603"/>
      <c r="R77" s="469">
        <v>3459</v>
      </c>
    </row>
    <row r="78" spans="1:18" ht="14.4" customHeight="1" x14ac:dyDescent="0.3">
      <c r="A78" s="522" t="s">
        <v>924</v>
      </c>
      <c r="B78" s="465" t="s">
        <v>925</v>
      </c>
      <c r="C78" s="465" t="s">
        <v>456</v>
      </c>
      <c r="D78" s="465" t="s">
        <v>926</v>
      </c>
      <c r="E78" s="465" t="s">
        <v>1070</v>
      </c>
      <c r="F78" s="465" t="s">
        <v>1071</v>
      </c>
      <c r="G78" s="468"/>
      <c r="H78" s="468"/>
      <c r="I78" s="465"/>
      <c r="J78" s="465"/>
      <c r="K78" s="468"/>
      <c r="L78" s="468"/>
      <c r="M78" s="465"/>
      <c r="N78" s="465"/>
      <c r="O78" s="468">
        <v>9</v>
      </c>
      <c r="P78" s="468">
        <v>2277</v>
      </c>
      <c r="Q78" s="603"/>
      <c r="R78" s="469">
        <v>253</v>
      </c>
    </row>
    <row r="79" spans="1:18" ht="14.4" customHeight="1" x14ac:dyDescent="0.3">
      <c r="A79" s="522" t="s">
        <v>924</v>
      </c>
      <c r="B79" s="465" t="s">
        <v>925</v>
      </c>
      <c r="C79" s="465" t="s">
        <v>456</v>
      </c>
      <c r="D79" s="465" t="s">
        <v>926</v>
      </c>
      <c r="E79" s="465" t="s">
        <v>1072</v>
      </c>
      <c r="F79" s="465" t="s">
        <v>1073</v>
      </c>
      <c r="G79" s="468"/>
      <c r="H79" s="468"/>
      <c r="I79" s="465"/>
      <c r="J79" s="465"/>
      <c r="K79" s="468"/>
      <c r="L79" s="468"/>
      <c r="M79" s="465"/>
      <c r="N79" s="465"/>
      <c r="O79" s="468">
        <v>9</v>
      </c>
      <c r="P79" s="468">
        <v>3816</v>
      </c>
      <c r="Q79" s="603"/>
      <c r="R79" s="469">
        <v>424</v>
      </c>
    </row>
    <row r="80" spans="1:18" ht="14.4" customHeight="1" x14ac:dyDescent="0.3">
      <c r="A80" s="522" t="s">
        <v>924</v>
      </c>
      <c r="B80" s="465" t="s">
        <v>925</v>
      </c>
      <c r="C80" s="465" t="s">
        <v>456</v>
      </c>
      <c r="D80" s="465" t="s">
        <v>926</v>
      </c>
      <c r="E80" s="465" t="s">
        <v>1074</v>
      </c>
      <c r="F80" s="465" t="s">
        <v>1075</v>
      </c>
      <c r="G80" s="468"/>
      <c r="H80" s="468"/>
      <c r="I80" s="465"/>
      <c r="J80" s="465"/>
      <c r="K80" s="468"/>
      <c r="L80" s="468"/>
      <c r="M80" s="465"/>
      <c r="N80" s="465"/>
      <c r="O80" s="468">
        <v>88</v>
      </c>
      <c r="P80" s="468">
        <v>674784</v>
      </c>
      <c r="Q80" s="603"/>
      <c r="R80" s="469">
        <v>7668</v>
      </c>
    </row>
    <row r="81" spans="1:18" ht="14.4" customHeight="1" x14ac:dyDescent="0.3">
      <c r="A81" s="522" t="s">
        <v>924</v>
      </c>
      <c r="B81" s="465" t="s">
        <v>925</v>
      </c>
      <c r="C81" s="465" t="s">
        <v>456</v>
      </c>
      <c r="D81" s="465" t="s">
        <v>926</v>
      </c>
      <c r="E81" s="465" t="s">
        <v>1076</v>
      </c>
      <c r="F81" s="465" t="s">
        <v>1077</v>
      </c>
      <c r="G81" s="468"/>
      <c r="H81" s="468"/>
      <c r="I81" s="465"/>
      <c r="J81" s="465"/>
      <c r="K81" s="468"/>
      <c r="L81" s="468"/>
      <c r="M81" s="465"/>
      <c r="N81" s="465"/>
      <c r="O81" s="468">
        <v>53</v>
      </c>
      <c r="P81" s="468">
        <v>831676</v>
      </c>
      <c r="Q81" s="603"/>
      <c r="R81" s="469">
        <v>15692</v>
      </c>
    </row>
    <row r="82" spans="1:18" ht="14.4" customHeight="1" x14ac:dyDescent="0.3">
      <c r="A82" s="522" t="s">
        <v>924</v>
      </c>
      <c r="B82" s="465" t="s">
        <v>925</v>
      </c>
      <c r="C82" s="465" t="s">
        <v>920</v>
      </c>
      <c r="D82" s="465" t="s">
        <v>926</v>
      </c>
      <c r="E82" s="465" t="s">
        <v>1078</v>
      </c>
      <c r="F82" s="465" t="s">
        <v>1079</v>
      </c>
      <c r="G82" s="468">
        <v>140</v>
      </c>
      <c r="H82" s="468">
        <v>145180</v>
      </c>
      <c r="I82" s="465">
        <v>2.3310854206807963</v>
      </c>
      <c r="J82" s="465">
        <v>1037</v>
      </c>
      <c r="K82" s="468">
        <v>60</v>
      </c>
      <c r="L82" s="468">
        <v>62280</v>
      </c>
      <c r="M82" s="465">
        <v>1</v>
      </c>
      <c r="N82" s="465">
        <v>1038</v>
      </c>
      <c r="O82" s="468">
        <v>150</v>
      </c>
      <c r="P82" s="468">
        <v>155700</v>
      </c>
      <c r="Q82" s="603">
        <v>2.5</v>
      </c>
      <c r="R82" s="469">
        <v>1038</v>
      </c>
    </row>
    <row r="83" spans="1:18" ht="14.4" customHeight="1" thickBot="1" x14ac:dyDescent="0.35">
      <c r="A83" s="528" t="s">
        <v>924</v>
      </c>
      <c r="B83" s="529" t="s">
        <v>925</v>
      </c>
      <c r="C83" s="529" t="s">
        <v>920</v>
      </c>
      <c r="D83" s="529" t="s">
        <v>926</v>
      </c>
      <c r="E83" s="529" t="s">
        <v>973</v>
      </c>
      <c r="F83" s="529" t="s">
        <v>974</v>
      </c>
      <c r="G83" s="532">
        <v>70</v>
      </c>
      <c r="H83" s="532">
        <v>15330</v>
      </c>
      <c r="I83" s="529">
        <v>2.3122171945701355</v>
      </c>
      <c r="J83" s="529">
        <v>219</v>
      </c>
      <c r="K83" s="532">
        <v>30</v>
      </c>
      <c r="L83" s="532">
        <v>6630</v>
      </c>
      <c r="M83" s="529">
        <v>1</v>
      </c>
      <c r="N83" s="529">
        <v>221</v>
      </c>
      <c r="O83" s="532">
        <v>76</v>
      </c>
      <c r="P83" s="532">
        <v>16796</v>
      </c>
      <c r="Q83" s="604">
        <v>2.5333333333333332</v>
      </c>
      <c r="R83" s="533">
        <v>221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9" bestFit="1" customWidth="1"/>
    <col min="2" max="2" width="11.6640625" style="139" hidden="1" customWidth="1"/>
    <col min="3" max="4" width="11" style="141" customWidth="1"/>
    <col min="5" max="5" width="11" style="142" customWidth="1"/>
    <col min="6" max="16384" width="8.88671875" style="139"/>
  </cols>
  <sheetData>
    <row r="1" spans="1:5" ht="18.600000000000001" thickBot="1" x14ac:dyDescent="0.4">
      <c r="A1" s="335" t="s">
        <v>121</v>
      </c>
      <c r="B1" s="335"/>
      <c r="C1" s="336"/>
      <c r="D1" s="336"/>
      <c r="E1" s="336"/>
    </row>
    <row r="2" spans="1:5" ht="14.4" customHeight="1" thickBot="1" x14ac:dyDescent="0.35">
      <c r="A2" s="224" t="s">
        <v>282</v>
      </c>
      <c r="B2" s="140"/>
    </row>
    <row r="3" spans="1:5" ht="14.4" customHeight="1" thickBot="1" x14ac:dyDescent="0.35">
      <c r="A3" s="143"/>
      <c r="C3" s="144" t="s">
        <v>107</v>
      </c>
      <c r="D3" s="145" t="s">
        <v>73</v>
      </c>
      <c r="E3" s="146" t="s">
        <v>75</v>
      </c>
    </row>
    <row r="4" spans="1:5" ht="14.4" customHeight="1" thickBot="1" x14ac:dyDescent="0.35">
      <c r="A4" s="147" t="str">
        <f>HYPERLINK("#HI!A1","NÁKLADY CELKEM (v tisících Kč)")</f>
        <v>NÁKLADY CELKEM (v tisících Kč)</v>
      </c>
      <c r="B4" s="148"/>
      <c r="C4" s="149">
        <f ca="1">IF(ISERROR(VLOOKUP("Náklady celkem",INDIRECT("HI!$A:$G"),6,0)),0,VLOOKUP("Náklady celkem",INDIRECT("HI!$A:$G"),6,0))</f>
        <v>7738.2335500838335</v>
      </c>
      <c r="D4" s="149">
        <f ca="1">IF(ISERROR(VLOOKUP("Náklady celkem",INDIRECT("HI!$A:$G"),5,0)),0,VLOOKUP("Náklady celkem",INDIRECT("HI!$A:$G"),5,0))</f>
        <v>7295.1490600000006</v>
      </c>
      <c r="E4" s="150">
        <f ca="1">IF(C4=0,0,D4/C4)</f>
        <v>0.94274087397129125</v>
      </c>
    </row>
    <row r="5" spans="1:5" ht="14.4" customHeight="1" x14ac:dyDescent="0.3">
      <c r="A5" s="151" t="s">
        <v>141</v>
      </c>
      <c r="B5" s="152"/>
      <c r="C5" s="153"/>
      <c r="D5" s="153"/>
      <c r="E5" s="154"/>
    </row>
    <row r="6" spans="1:5" ht="14.4" customHeight="1" x14ac:dyDescent="0.3">
      <c r="A6" s="155" t="s">
        <v>146</v>
      </c>
      <c r="B6" s="156"/>
      <c r="C6" s="157"/>
      <c r="D6" s="157"/>
      <c r="E6" s="154"/>
    </row>
    <row r="7" spans="1:5" ht="14.4" customHeight="1" x14ac:dyDescent="0.3">
      <c r="A7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6" t="s">
        <v>111</v>
      </c>
      <c r="C7" s="157">
        <f>IF(ISERROR(HI!F5),"",HI!F5)</f>
        <v>3.3333333333333335</v>
      </c>
      <c r="D7" s="157">
        <f>IF(ISERROR(HI!E5),"",HI!E5)</f>
        <v>3.08413</v>
      </c>
      <c r="E7" s="154">
        <f t="shared" ref="E7:E13" si="0">IF(C7=0,0,D7/C7)</f>
        <v>0.92523899999999992</v>
      </c>
    </row>
    <row r="8" spans="1:5" ht="14.4" customHeight="1" x14ac:dyDescent="0.3">
      <c r="A8" s="303" t="str">
        <f>HYPERLINK("#'LŽ Statim'!A1","Podíl statimových žádanek (max. 30%)")</f>
        <v>Podíl statimových žádanek (max. 30%)</v>
      </c>
      <c r="B8" s="301" t="s">
        <v>232</v>
      </c>
      <c r="C8" s="302">
        <v>0.3</v>
      </c>
      <c r="D8" s="302">
        <f>IF('LŽ Statim'!G3="",0,'LŽ Statim'!G3)</f>
        <v>0</v>
      </c>
      <c r="E8" s="154">
        <f>IF(C8=0,0,D8/C8)</f>
        <v>0</v>
      </c>
    </row>
    <row r="9" spans="1:5" ht="14.4" customHeight="1" x14ac:dyDescent="0.3">
      <c r="A9" s="159" t="s">
        <v>142</v>
      </c>
      <c r="B9" s="156"/>
      <c r="C9" s="157"/>
      <c r="D9" s="157"/>
      <c r="E9" s="154"/>
    </row>
    <row r="10" spans="1:5" ht="14.4" customHeight="1" x14ac:dyDescent="0.3">
      <c r="A10" s="303" t="str">
        <f>HYPERLINK("#'Léky Recepty'!A1","Záchyt v lékárně (Úhrada Kč, min. 60%)")</f>
        <v>Záchyt v lékárně (Úhrada Kč, min. 60%)</v>
      </c>
      <c r="B10" s="156" t="s">
        <v>116</v>
      </c>
      <c r="C10" s="158">
        <v>0.6</v>
      </c>
      <c r="D10" s="158">
        <f>IF(ISERROR(VLOOKUP("Celkem",'Léky Recepty'!B:H,5,0)),0,VLOOKUP("Celkem",'Léky Recepty'!B:H,5,0))</f>
        <v>1</v>
      </c>
      <c r="E10" s="154">
        <f t="shared" si="0"/>
        <v>1.6666666666666667</v>
      </c>
    </row>
    <row r="11" spans="1:5" ht="14.4" customHeight="1" x14ac:dyDescent="0.3">
      <c r="A11" s="159" t="s">
        <v>143</v>
      </c>
      <c r="B11" s="156"/>
      <c r="C11" s="157"/>
      <c r="D11" s="157"/>
      <c r="E11" s="154"/>
    </row>
    <row r="12" spans="1:5" ht="14.4" customHeight="1" x14ac:dyDescent="0.3">
      <c r="A12" s="160" t="s">
        <v>147</v>
      </c>
      <c r="B12" s="156"/>
      <c r="C12" s="153"/>
      <c r="D12" s="153"/>
      <c r="E12" s="154"/>
    </row>
    <row r="13" spans="1:5" ht="14.4" customHeight="1" x14ac:dyDescent="0.3">
      <c r="A13" s="1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6" t="s">
        <v>111</v>
      </c>
      <c r="C13" s="157">
        <f>IF(ISERROR(HI!F6),"",HI!F6)</f>
        <v>4269.5559849376168</v>
      </c>
      <c r="D13" s="157">
        <f>IF(ISERROR(HI!E6),"",HI!E6)</f>
        <v>3824.1006500000003</v>
      </c>
      <c r="E13" s="154">
        <f t="shared" si="0"/>
        <v>0.89566705846951788</v>
      </c>
    </row>
    <row r="14" spans="1:5" ht="14.4" customHeight="1" thickBot="1" x14ac:dyDescent="0.35">
      <c r="A14" s="162" t="str">
        <f>HYPERLINK("#HI!A1","Osobní náklady")</f>
        <v>Osobní náklady</v>
      </c>
      <c r="B14" s="156"/>
      <c r="C14" s="153">
        <f ca="1">IF(ISERROR(VLOOKUP("Osobní náklady (Kč) *",INDIRECT("HI!$A:$G"),6,0)),0,VLOOKUP("Osobní náklady (Kč) *",INDIRECT("HI!$A:$G"),6,0))</f>
        <v>2792.1666666666665</v>
      </c>
      <c r="D14" s="153">
        <f ca="1">IF(ISERROR(VLOOKUP("Osobní náklady (Kč) *",INDIRECT("HI!$A:$G"),5,0)),0,VLOOKUP("Osobní náklady (Kč) *",INDIRECT("HI!$A:$G"),5,0))</f>
        <v>3001.2524699999999</v>
      </c>
      <c r="E14" s="154">
        <f ca="1">IF(C14=0,0,D14/C14)</f>
        <v>1.0748829952844268</v>
      </c>
    </row>
    <row r="15" spans="1:5" ht="14.4" customHeight="1" thickBot="1" x14ac:dyDescent="0.35">
      <c r="A15" s="166"/>
      <c r="B15" s="167"/>
      <c r="C15" s="168"/>
      <c r="D15" s="168"/>
      <c r="E15" s="169"/>
    </row>
    <row r="16" spans="1:5" ht="14.4" customHeight="1" thickBot="1" x14ac:dyDescent="0.35">
      <c r="A16" s="170" t="str">
        <f>HYPERLINK("#HI!A1","VÝNOSY CELKEM (v tisících)")</f>
        <v>VÝNOSY CELKEM (v tisících)</v>
      </c>
      <c r="B16" s="171"/>
      <c r="C16" s="172">
        <f ca="1">IF(ISERROR(VLOOKUP("Výnosy celkem",INDIRECT("HI!$A:$G"),6,0)),0,VLOOKUP("Výnosy celkem",INDIRECT("HI!$A:$G"),6,0))</f>
        <v>4340.0209999999997</v>
      </c>
      <c r="D16" s="172">
        <f ca="1">IF(ISERROR(VLOOKUP("Výnosy celkem",INDIRECT("HI!$A:$G"),5,0)),0,VLOOKUP("Výnosy celkem",INDIRECT("HI!$A:$G"),5,0))</f>
        <v>10435.909</v>
      </c>
      <c r="E16" s="173">
        <f t="shared" ref="E16:E21" ca="1" si="1">IF(C16=0,0,D16/C16)</f>
        <v>2.4045756921452686</v>
      </c>
    </row>
    <row r="17" spans="1:5" ht="14.4" customHeight="1" x14ac:dyDescent="0.3">
      <c r="A17" s="174" t="str">
        <f>HYPERLINK("#HI!A1","Ambulance (body za výkony + Kč za ZUM a ZULP)")</f>
        <v>Ambulance (body za výkony + Kč za ZUM a ZULP)</v>
      </c>
      <c r="B17" s="152"/>
      <c r="C17" s="153">
        <f ca="1">IF(ISERROR(VLOOKUP("Ambulance *",INDIRECT("HI!$A:$G"),6,0)),0,VLOOKUP("Ambulance *",INDIRECT("HI!$A:$G"),6,0))</f>
        <v>4340.0209999999997</v>
      </c>
      <c r="D17" s="153">
        <f ca="1">IF(ISERROR(VLOOKUP("Ambulance *",INDIRECT("HI!$A:$G"),5,0)),0,VLOOKUP("Ambulance *",INDIRECT("HI!$A:$G"),5,0))</f>
        <v>10435.909</v>
      </c>
      <c r="E17" s="154">
        <f t="shared" ca="1" si="1"/>
        <v>2.4045756921452686</v>
      </c>
    </row>
    <row r="18" spans="1:5" ht="14.4" customHeight="1" x14ac:dyDescent="0.3">
      <c r="A18" s="318" t="str">
        <f>HYPERLINK("#'ZV Vykáz.-A'!A1","Zdravotní výkony vykázané u ambulantních pacientů (min. 100 % 2016)")</f>
        <v>Zdravotní výkony vykázané u ambulantních pacientů (min. 100 % 2016)</v>
      </c>
      <c r="B18" s="319" t="s">
        <v>123</v>
      </c>
      <c r="C18" s="158">
        <v>1</v>
      </c>
      <c r="D18" s="158">
        <f>IF(ISERROR(VLOOKUP("Celkem:",'ZV Vykáz.-A'!$A:$AB,10,0)),"",VLOOKUP("Celkem:",'ZV Vykáz.-A'!$A:$AB,10,0))</f>
        <v>2.4045756921452686</v>
      </c>
      <c r="E18" s="154">
        <f t="shared" si="1"/>
        <v>2.4045756921452686</v>
      </c>
    </row>
    <row r="19" spans="1:5" ht="14.4" customHeight="1" x14ac:dyDescent="0.3">
      <c r="A19" s="317" t="str">
        <f>HYPERLINK("#'ZV Vykáz.-A'!A1","Specializovaná ambulantní péče")</f>
        <v>Specializovaná ambulantní péče</v>
      </c>
      <c r="B19" s="319" t="s">
        <v>123</v>
      </c>
      <c r="C19" s="158">
        <v>1</v>
      </c>
      <c r="D19" s="302" t="str">
        <f>IF(ISERROR(VLOOKUP("Specializovaná ambulantní péče",'ZV Vykáz.-A'!$A:$AB,10,0)),"",VLOOKUP("Specializovaná ambulantní péče",'ZV Vykáz.-A'!$A:$AB,10,0))</f>
        <v/>
      </c>
      <c r="E19" s="154" t="e">
        <f t="shared" si="1"/>
        <v>#VALUE!</v>
      </c>
    </row>
    <row r="20" spans="1:5" ht="14.4" customHeight="1" x14ac:dyDescent="0.3">
      <c r="A20" s="317" t="str">
        <f>HYPERLINK("#'ZV Vykáz.-A'!A1","Ambulantní péče ve vyjmenovaných odbornostech (§9)")</f>
        <v>Ambulantní péče ve vyjmenovaných odbornostech (§9)</v>
      </c>
      <c r="B20" s="319" t="s">
        <v>123</v>
      </c>
      <c r="C20" s="158">
        <v>1</v>
      </c>
      <c r="D20" s="302">
        <f>IF(ISERROR(VLOOKUP("Ambulantní péče ve vyjmenovaných odbornostech (§9) *",'ZV Vykáz.-A'!$A:$AB,10,0)),"",VLOOKUP("Ambulantní péče ve vyjmenovaných odbornostech (§9) *",'ZV Vykáz.-A'!$A:$AB,10,0))</f>
        <v>2.4045756921452686</v>
      </c>
      <c r="E20" s="154">
        <f>IF(OR(C20=0,D20=""),0,IF(C20="","",D20/C20))</f>
        <v>2.4045756921452686</v>
      </c>
    </row>
    <row r="21" spans="1:5" ht="14.4" customHeight="1" x14ac:dyDescent="0.3">
      <c r="A21" s="175" t="str">
        <f>HYPERLINK("#'ZV Vykáz.-H'!A1","Zdravotní výkony vykázané u hospitalizovaných pacientů (max. 85 %)")</f>
        <v>Zdravotní výkony vykázané u hospitalizovaných pacientů (max. 85 %)</v>
      </c>
      <c r="B21" s="319" t="s">
        <v>125</v>
      </c>
      <c r="C21" s="158">
        <v>0.85</v>
      </c>
      <c r="D21" s="158">
        <f>IF(ISERROR(VLOOKUP("Celkem:",'ZV Vykáz.-H'!$A:$S,7,0)),"",VLOOKUP("Celkem:",'ZV Vykáz.-H'!$A:$S,7,0))</f>
        <v>2.089123093149138</v>
      </c>
      <c r="E21" s="154">
        <f t="shared" si="1"/>
        <v>2.4577918742931035</v>
      </c>
    </row>
    <row r="22" spans="1:5" ht="14.4" customHeight="1" x14ac:dyDescent="0.3">
      <c r="A22" s="176" t="str">
        <f>HYPERLINK("#HI!A1","Hospitalizace (casemix * 30000)")</f>
        <v>Hospitalizace (casemix * 30000)</v>
      </c>
      <c r="B22" s="156"/>
      <c r="C22" s="153">
        <f ca="1">IF(ISERROR(VLOOKUP("Hospitalizace *",INDIRECT("HI!$A:$G"),6,0)),0,VLOOKUP("Hospitalizace *",INDIRECT("HI!$A:$G"),6,0))</f>
        <v>0</v>
      </c>
      <c r="D22" s="153">
        <f ca="1">IF(ISERROR(VLOOKUP("Hospitalizace *",INDIRECT("HI!$A:$G"),5,0)),0,VLOOKUP("Hospitalizace *",INDIRECT("HI!$A:$G"),5,0))</f>
        <v>0</v>
      </c>
      <c r="E22" s="154">
        <f ca="1">IF(C22=0,0,D22/C22)</f>
        <v>0</v>
      </c>
    </row>
    <row r="23" spans="1:5" ht="14.4" customHeight="1" thickBot="1" x14ac:dyDescent="0.35">
      <c r="A23" s="177" t="s">
        <v>144</v>
      </c>
      <c r="B23" s="163"/>
      <c r="C23" s="164"/>
      <c r="D23" s="164"/>
      <c r="E23" s="165"/>
    </row>
    <row r="24" spans="1:5" ht="14.4" customHeight="1" thickBot="1" x14ac:dyDescent="0.35">
      <c r="A24" s="178"/>
      <c r="B24" s="179"/>
      <c r="C24" s="180"/>
      <c r="D24" s="180"/>
      <c r="E24" s="181"/>
    </row>
    <row r="25" spans="1:5" ht="14.4" customHeight="1" thickBot="1" x14ac:dyDescent="0.35">
      <c r="A25" s="182" t="s">
        <v>145</v>
      </c>
      <c r="B25" s="183"/>
      <c r="C25" s="184"/>
      <c r="D25" s="184"/>
      <c r="E25" s="185"/>
    </row>
  </sheetData>
  <mergeCells count="1">
    <mergeCell ref="A1:E1"/>
  </mergeCells>
  <conditionalFormatting sqref="E5">
    <cfRule type="cellIs" dxfId="72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9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22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67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0 E18:E19">
    <cfRule type="cellIs" dxfId="65" priority="25" operator="lessThan">
      <formula>1</formula>
    </cfRule>
    <cfRule type="iconSet" priority="26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64" priority="31" operator="greaterThan">
      <formula>1</formula>
    </cfRule>
    <cfRule type="iconSet" priority="3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8" customWidth="1"/>
    <col min="2" max="2" width="8.6640625" style="118" bestFit="1" customWidth="1"/>
    <col min="3" max="3" width="6.109375" style="118" customWidth="1"/>
    <col min="4" max="4" width="27.77734375" style="118" customWidth="1"/>
    <col min="5" max="5" width="2.109375" style="118" bestFit="1" customWidth="1"/>
    <col min="6" max="6" width="8" style="118" customWidth="1"/>
    <col min="7" max="7" width="50.88671875" style="118" bestFit="1" customWidth="1" collapsed="1"/>
    <col min="8" max="9" width="11.109375" style="196" hidden="1" customWidth="1" outlineLevel="1"/>
    <col min="10" max="11" width="9.33203125" style="118" hidden="1" customWidth="1"/>
    <col min="12" max="13" width="11.109375" style="196" customWidth="1"/>
    <col min="14" max="15" width="9.33203125" style="118" hidden="1" customWidth="1"/>
    <col min="16" max="17" width="11.109375" style="196" customWidth="1"/>
    <col min="18" max="18" width="11.109375" style="199" customWidth="1"/>
    <col min="19" max="19" width="11.109375" style="196" customWidth="1"/>
    <col min="20" max="16384" width="8.88671875" style="118"/>
  </cols>
  <sheetData>
    <row r="1" spans="1:19" ht="18.600000000000001" customHeight="1" thickBot="1" x14ac:dyDescent="0.4">
      <c r="A1" s="335" t="s">
        <v>1081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</row>
    <row r="2" spans="1:19" ht="14.4" customHeight="1" thickBot="1" x14ac:dyDescent="0.35">
      <c r="A2" s="224" t="s">
        <v>282</v>
      </c>
      <c r="B2" s="186"/>
      <c r="C2" s="186"/>
      <c r="D2" s="186"/>
      <c r="E2" s="100"/>
      <c r="F2" s="100"/>
      <c r="G2" s="100"/>
      <c r="H2" s="219"/>
      <c r="I2" s="219"/>
      <c r="J2" s="100"/>
      <c r="K2" s="100"/>
      <c r="L2" s="219"/>
      <c r="M2" s="219"/>
      <c r="N2" s="100"/>
      <c r="O2" s="100"/>
      <c r="P2" s="219"/>
      <c r="Q2" s="219"/>
      <c r="R2" s="216"/>
      <c r="S2" s="219"/>
    </row>
    <row r="3" spans="1:19" ht="14.4" customHeight="1" thickBot="1" x14ac:dyDescent="0.35">
      <c r="G3" s="77" t="s">
        <v>128</v>
      </c>
      <c r="H3" s="91">
        <f t="shared" ref="H3:Q3" si="0">SUBTOTAL(9,H6:H1048576)</f>
        <v>20436</v>
      </c>
      <c r="I3" s="92">
        <f t="shared" si="0"/>
        <v>8828433</v>
      </c>
      <c r="J3" s="66"/>
      <c r="K3" s="66"/>
      <c r="L3" s="92">
        <f t="shared" si="0"/>
        <v>10422</v>
      </c>
      <c r="M3" s="92">
        <f t="shared" si="0"/>
        <v>4340021</v>
      </c>
      <c r="N3" s="66"/>
      <c r="O3" s="66"/>
      <c r="P3" s="92">
        <f t="shared" si="0"/>
        <v>22035</v>
      </c>
      <c r="Q3" s="92">
        <f t="shared" si="0"/>
        <v>10435909</v>
      </c>
      <c r="R3" s="67">
        <f>IF(M3=0,0,Q3/M3)</f>
        <v>2.4045756921452686</v>
      </c>
      <c r="S3" s="93">
        <f>IF(P3=0,0,Q3/P3)</f>
        <v>473.60603585205354</v>
      </c>
    </row>
    <row r="4" spans="1:19" ht="14.4" customHeight="1" x14ac:dyDescent="0.3">
      <c r="A4" s="406" t="s">
        <v>270</v>
      </c>
      <c r="B4" s="406" t="s">
        <v>95</v>
      </c>
      <c r="C4" s="414" t="s">
        <v>0</v>
      </c>
      <c r="D4" s="320" t="s">
        <v>129</v>
      </c>
      <c r="E4" s="408" t="s">
        <v>96</v>
      </c>
      <c r="F4" s="413" t="s">
        <v>71</v>
      </c>
      <c r="G4" s="409" t="s">
        <v>70</v>
      </c>
      <c r="H4" s="410">
        <v>2015</v>
      </c>
      <c r="I4" s="411"/>
      <c r="J4" s="90"/>
      <c r="K4" s="90"/>
      <c r="L4" s="410">
        <v>2016</v>
      </c>
      <c r="M4" s="411"/>
      <c r="N4" s="90"/>
      <c r="O4" s="90"/>
      <c r="P4" s="410">
        <v>2017</v>
      </c>
      <c r="Q4" s="411"/>
      <c r="R4" s="412" t="s">
        <v>2</v>
      </c>
      <c r="S4" s="407" t="s">
        <v>98</v>
      </c>
    </row>
    <row r="5" spans="1:19" ht="14.4" customHeight="1" thickBot="1" x14ac:dyDescent="0.35">
      <c r="A5" s="592"/>
      <c r="B5" s="592"/>
      <c r="C5" s="593"/>
      <c r="D5" s="605"/>
      <c r="E5" s="594"/>
      <c r="F5" s="595"/>
      <c r="G5" s="596"/>
      <c r="H5" s="597" t="s">
        <v>72</v>
      </c>
      <c r="I5" s="598" t="s">
        <v>14</v>
      </c>
      <c r="J5" s="599"/>
      <c r="K5" s="599"/>
      <c r="L5" s="597" t="s">
        <v>72</v>
      </c>
      <c r="M5" s="598" t="s">
        <v>14</v>
      </c>
      <c r="N5" s="599"/>
      <c r="O5" s="599"/>
      <c r="P5" s="597" t="s">
        <v>72</v>
      </c>
      <c r="Q5" s="598" t="s">
        <v>14</v>
      </c>
      <c r="R5" s="600"/>
      <c r="S5" s="601"/>
    </row>
    <row r="6" spans="1:19" ht="14.4" customHeight="1" x14ac:dyDescent="0.3">
      <c r="A6" s="517" t="s">
        <v>924</v>
      </c>
      <c r="B6" s="518" t="s">
        <v>925</v>
      </c>
      <c r="C6" s="518" t="s">
        <v>456</v>
      </c>
      <c r="D6" s="518" t="s">
        <v>919</v>
      </c>
      <c r="E6" s="518" t="s">
        <v>926</v>
      </c>
      <c r="F6" s="518" t="s">
        <v>927</v>
      </c>
      <c r="G6" s="518" t="s">
        <v>928</v>
      </c>
      <c r="H6" s="105">
        <v>41</v>
      </c>
      <c r="I6" s="105">
        <v>48544</v>
      </c>
      <c r="J6" s="518">
        <v>2.9211698158623181</v>
      </c>
      <c r="K6" s="518">
        <v>1184</v>
      </c>
      <c r="L6" s="105">
        <v>14</v>
      </c>
      <c r="M6" s="105">
        <v>16618</v>
      </c>
      <c r="N6" s="518">
        <v>1</v>
      </c>
      <c r="O6" s="518">
        <v>1187</v>
      </c>
      <c r="P6" s="105">
        <v>58</v>
      </c>
      <c r="Q6" s="105">
        <v>86014</v>
      </c>
      <c r="R6" s="602">
        <v>5.1759537850523527</v>
      </c>
      <c r="S6" s="521">
        <v>1483</v>
      </c>
    </row>
    <row r="7" spans="1:19" ht="14.4" customHeight="1" x14ac:dyDescent="0.3">
      <c r="A7" s="522" t="s">
        <v>924</v>
      </c>
      <c r="B7" s="465" t="s">
        <v>925</v>
      </c>
      <c r="C7" s="465" t="s">
        <v>456</v>
      </c>
      <c r="D7" s="465" t="s">
        <v>919</v>
      </c>
      <c r="E7" s="465" t="s">
        <v>926</v>
      </c>
      <c r="F7" s="465" t="s">
        <v>929</v>
      </c>
      <c r="G7" s="465" t="s">
        <v>930</v>
      </c>
      <c r="H7" s="468">
        <v>35</v>
      </c>
      <c r="I7" s="468">
        <v>135835</v>
      </c>
      <c r="J7" s="465">
        <v>1.446777010906612</v>
      </c>
      <c r="K7" s="465">
        <v>3881</v>
      </c>
      <c r="L7" s="468">
        <v>24</v>
      </c>
      <c r="M7" s="468">
        <v>93888</v>
      </c>
      <c r="N7" s="465">
        <v>1</v>
      </c>
      <c r="O7" s="465">
        <v>3912</v>
      </c>
      <c r="P7" s="468">
        <v>43</v>
      </c>
      <c r="Q7" s="468">
        <v>168302</v>
      </c>
      <c r="R7" s="603">
        <v>1.7925826516700749</v>
      </c>
      <c r="S7" s="469">
        <v>3914</v>
      </c>
    </row>
    <row r="8" spans="1:19" ht="14.4" customHeight="1" x14ac:dyDescent="0.3">
      <c r="A8" s="522" t="s">
        <v>924</v>
      </c>
      <c r="B8" s="465" t="s">
        <v>925</v>
      </c>
      <c r="C8" s="465" t="s">
        <v>456</v>
      </c>
      <c r="D8" s="465" t="s">
        <v>919</v>
      </c>
      <c r="E8" s="465" t="s">
        <v>926</v>
      </c>
      <c r="F8" s="465" t="s">
        <v>931</v>
      </c>
      <c r="G8" s="465" t="s">
        <v>932</v>
      </c>
      <c r="H8" s="468">
        <v>61</v>
      </c>
      <c r="I8" s="468">
        <v>39894</v>
      </c>
      <c r="J8" s="465">
        <v>1.6867072552004059</v>
      </c>
      <c r="K8" s="465">
        <v>654</v>
      </c>
      <c r="L8" s="468">
        <v>36</v>
      </c>
      <c r="M8" s="468">
        <v>23652</v>
      </c>
      <c r="N8" s="465">
        <v>1</v>
      </c>
      <c r="O8" s="465">
        <v>657</v>
      </c>
      <c r="P8" s="468">
        <v>70</v>
      </c>
      <c r="Q8" s="468">
        <v>46060</v>
      </c>
      <c r="R8" s="603">
        <v>1.9474040250295959</v>
      </c>
      <c r="S8" s="469">
        <v>658</v>
      </c>
    </row>
    <row r="9" spans="1:19" ht="14.4" customHeight="1" x14ac:dyDescent="0.3">
      <c r="A9" s="522" t="s">
        <v>924</v>
      </c>
      <c r="B9" s="465" t="s">
        <v>925</v>
      </c>
      <c r="C9" s="465" t="s">
        <v>456</v>
      </c>
      <c r="D9" s="465" t="s">
        <v>919</v>
      </c>
      <c r="E9" s="465" t="s">
        <v>926</v>
      </c>
      <c r="F9" s="465" t="s">
        <v>933</v>
      </c>
      <c r="G9" s="465" t="s">
        <v>934</v>
      </c>
      <c r="H9" s="468">
        <v>2</v>
      </c>
      <c r="I9" s="468">
        <v>636</v>
      </c>
      <c r="J9" s="465"/>
      <c r="K9" s="465">
        <v>318</v>
      </c>
      <c r="L9" s="468"/>
      <c r="M9" s="468"/>
      <c r="N9" s="465"/>
      <c r="O9" s="465"/>
      <c r="P9" s="468"/>
      <c r="Q9" s="468"/>
      <c r="R9" s="603"/>
      <c r="S9" s="469"/>
    </row>
    <row r="10" spans="1:19" ht="14.4" customHeight="1" x14ac:dyDescent="0.3">
      <c r="A10" s="522" t="s">
        <v>924</v>
      </c>
      <c r="B10" s="465" t="s">
        <v>925</v>
      </c>
      <c r="C10" s="465" t="s">
        <v>456</v>
      </c>
      <c r="D10" s="465" t="s">
        <v>919</v>
      </c>
      <c r="E10" s="465" t="s">
        <v>926</v>
      </c>
      <c r="F10" s="465" t="s">
        <v>935</v>
      </c>
      <c r="G10" s="465" t="s">
        <v>936</v>
      </c>
      <c r="H10" s="468">
        <v>3</v>
      </c>
      <c r="I10" s="468">
        <v>3045</v>
      </c>
      <c r="J10" s="465">
        <v>0.19747081712062256</v>
      </c>
      <c r="K10" s="465">
        <v>1015</v>
      </c>
      <c r="L10" s="468">
        <v>15</v>
      </c>
      <c r="M10" s="468">
        <v>15420</v>
      </c>
      <c r="N10" s="465">
        <v>1</v>
      </c>
      <c r="O10" s="465">
        <v>1028</v>
      </c>
      <c r="P10" s="468">
        <v>17</v>
      </c>
      <c r="Q10" s="468">
        <v>17510</v>
      </c>
      <c r="R10" s="603">
        <v>1.1355382619974059</v>
      </c>
      <c r="S10" s="469">
        <v>1030</v>
      </c>
    </row>
    <row r="11" spans="1:19" ht="14.4" customHeight="1" x14ac:dyDescent="0.3">
      <c r="A11" s="522" t="s">
        <v>924</v>
      </c>
      <c r="B11" s="465" t="s">
        <v>925</v>
      </c>
      <c r="C11" s="465" t="s">
        <v>456</v>
      </c>
      <c r="D11" s="465" t="s">
        <v>919</v>
      </c>
      <c r="E11" s="465" t="s">
        <v>926</v>
      </c>
      <c r="F11" s="465" t="s">
        <v>937</v>
      </c>
      <c r="G11" s="465" t="s">
        <v>938</v>
      </c>
      <c r="H11" s="468">
        <v>3</v>
      </c>
      <c r="I11" s="468">
        <v>3129</v>
      </c>
      <c r="J11" s="465"/>
      <c r="K11" s="465">
        <v>1043</v>
      </c>
      <c r="L11" s="468"/>
      <c r="M11" s="468"/>
      <c r="N11" s="465"/>
      <c r="O11" s="465"/>
      <c r="P11" s="468">
        <v>1</v>
      </c>
      <c r="Q11" s="468">
        <v>1085</v>
      </c>
      <c r="R11" s="603"/>
      <c r="S11" s="469">
        <v>1085</v>
      </c>
    </row>
    <row r="12" spans="1:19" ht="14.4" customHeight="1" x14ac:dyDescent="0.3">
      <c r="A12" s="522" t="s">
        <v>924</v>
      </c>
      <c r="B12" s="465" t="s">
        <v>925</v>
      </c>
      <c r="C12" s="465" t="s">
        <v>456</v>
      </c>
      <c r="D12" s="465" t="s">
        <v>919</v>
      </c>
      <c r="E12" s="465" t="s">
        <v>926</v>
      </c>
      <c r="F12" s="465" t="s">
        <v>939</v>
      </c>
      <c r="G12" s="465" t="s">
        <v>940</v>
      </c>
      <c r="H12" s="468">
        <v>150</v>
      </c>
      <c r="I12" s="468">
        <v>124650</v>
      </c>
      <c r="J12" s="465">
        <v>9.2525237529691218</v>
      </c>
      <c r="K12" s="465">
        <v>831</v>
      </c>
      <c r="L12" s="468">
        <v>16</v>
      </c>
      <c r="M12" s="468">
        <v>13472</v>
      </c>
      <c r="N12" s="465">
        <v>1</v>
      </c>
      <c r="O12" s="465">
        <v>842</v>
      </c>
      <c r="P12" s="468">
        <v>204</v>
      </c>
      <c r="Q12" s="468">
        <v>171972</v>
      </c>
      <c r="R12" s="603">
        <v>12.765142517814727</v>
      </c>
      <c r="S12" s="469">
        <v>843</v>
      </c>
    </row>
    <row r="13" spans="1:19" ht="14.4" customHeight="1" x14ac:dyDescent="0.3">
      <c r="A13" s="522" t="s">
        <v>924</v>
      </c>
      <c r="B13" s="465" t="s">
        <v>925</v>
      </c>
      <c r="C13" s="465" t="s">
        <v>456</v>
      </c>
      <c r="D13" s="465" t="s">
        <v>919</v>
      </c>
      <c r="E13" s="465" t="s">
        <v>926</v>
      </c>
      <c r="F13" s="465" t="s">
        <v>941</v>
      </c>
      <c r="G13" s="465" t="s">
        <v>942</v>
      </c>
      <c r="H13" s="468">
        <v>4</v>
      </c>
      <c r="I13" s="468">
        <v>812</v>
      </c>
      <c r="J13" s="465"/>
      <c r="K13" s="465">
        <v>203</v>
      </c>
      <c r="L13" s="468"/>
      <c r="M13" s="468"/>
      <c r="N13" s="465"/>
      <c r="O13" s="465"/>
      <c r="P13" s="468"/>
      <c r="Q13" s="468"/>
      <c r="R13" s="603"/>
      <c r="S13" s="469"/>
    </row>
    <row r="14" spans="1:19" ht="14.4" customHeight="1" x14ac:dyDescent="0.3">
      <c r="A14" s="522" t="s">
        <v>924</v>
      </c>
      <c r="B14" s="465" t="s">
        <v>925</v>
      </c>
      <c r="C14" s="465" t="s">
        <v>456</v>
      </c>
      <c r="D14" s="465" t="s">
        <v>919</v>
      </c>
      <c r="E14" s="465" t="s">
        <v>926</v>
      </c>
      <c r="F14" s="465" t="s">
        <v>943</v>
      </c>
      <c r="G14" s="465" t="s">
        <v>944</v>
      </c>
      <c r="H14" s="468">
        <v>57</v>
      </c>
      <c r="I14" s="468">
        <v>46284</v>
      </c>
      <c r="J14" s="465">
        <v>2.5877222408587723</v>
      </c>
      <c r="K14" s="465">
        <v>812</v>
      </c>
      <c r="L14" s="468">
        <v>22</v>
      </c>
      <c r="M14" s="468">
        <v>17886</v>
      </c>
      <c r="N14" s="465">
        <v>1</v>
      </c>
      <c r="O14" s="465">
        <v>813</v>
      </c>
      <c r="P14" s="468">
        <v>129</v>
      </c>
      <c r="Q14" s="468">
        <v>105006</v>
      </c>
      <c r="R14" s="603">
        <v>5.8708487084870846</v>
      </c>
      <c r="S14" s="469">
        <v>814</v>
      </c>
    </row>
    <row r="15" spans="1:19" ht="14.4" customHeight="1" x14ac:dyDescent="0.3">
      <c r="A15" s="522" t="s">
        <v>924</v>
      </c>
      <c r="B15" s="465" t="s">
        <v>925</v>
      </c>
      <c r="C15" s="465" t="s">
        <v>456</v>
      </c>
      <c r="D15" s="465" t="s">
        <v>919</v>
      </c>
      <c r="E15" s="465" t="s">
        <v>926</v>
      </c>
      <c r="F15" s="465" t="s">
        <v>945</v>
      </c>
      <c r="G15" s="465" t="s">
        <v>946</v>
      </c>
      <c r="H15" s="468">
        <v>57</v>
      </c>
      <c r="I15" s="468">
        <v>46284</v>
      </c>
      <c r="J15" s="465">
        <v>2.5877222408587723</v>
      </c>
      <c r="K15" s="465">
        <v>812</v>
      </c>
      <c r="L15" s="468">
        <v>22</v>
      </c>
      <c r="M15" s="468">
        <v>17886</v>
      </c>
      <c r="N15" s="465">
        <v>1</v>
      </c>
      <c r="O15" s="465">
        <v>813</v>
      </c>
      <c r="P15" s="468">
        <v>129</v>
      </c>
      <c r="Q15" s="468">
        <v>105006</v>
      </c>
      <c r="R15" s="603">
        <v>5.8708487084870846</v>
      </c>
      <c r="S15" s="469">
        <v>814</v>
      </c>
    </row>
    <row r="16" spans="1:19" ht="14.4" customHeight="1" x14ac:dyDescent="0.3">
      <c r="A16" s="522" t="s">
        <v>924</v>
      </c>
      <c r="B16" s="465" t="s">
        <v>925</v>
      </c>
      <c r="C16" s="465" t="s">
        <v>456</v>
      </c>
      <c r="D16" s="465" t="s">
        <v>919</v>
      </c>
      <c r="E16" s="465" t="s">
        <v>926</v>
      </c>
      <c r="F16" s="465" t="s">
        <v>947</v>
      </c>
      <c r="G16" s="465" t="s">
        <v>948</v>
      </c>
      <c r="H16" s="468">
        <v>748</v>
      </c>
      <c r="I16" s="468">
        <v>124916</v>
      </c>
      <c r="J16" s="465">
        <v>1.9987839221710189</v>
      </c>
      <c r="K16" s="465">
        <v>167</v>
      </c>
      <c r="L16" s="468">
        <v>372</v>
      </c>
      <c r="M16" s="468">
        <v>62496</v>
      </c>
      <c r="N16" s="465">
        <v>1</v>
      </c>
      <c r="O16" s="465">
        <v>168</v>
      </c>
      <c r="P16" s="468">
        <v>889</v>
      </c>
      <c r="Q16" s="468">
        <v>149352</v>
      </c>
      <c r="R16" s="603">
        <v>2.389784946236559</v>
      </c>
      <c r="S16" s="469">
        <v>168</v>
      </c>
    </row>
    <row r="17" spans="1:19" ht="14.4" customHeight="1" x14ac:dyDescent="0.3">
      <c r="A17" s="522" t="s">
        <v>924</v>
      </c>
      <c r="B17" s="465" t="s">
        <v>925</v>
      </c>
      <c r="C17" s="465" t="s">
        <v>456</v>
      </c>
      <c r="D17" s="465" t="s">
        <v>919</v>
      </c>
      <c r="E17" s="465" t="s">
        <v>926</v>
      </c>
      <c r="F17" s="465" t="s">
        <v>949</v>
      </c>
      <c r="G17" s="465" t="s">
        <v>950</v>
      </c>
      <c r="H17" s="468">
        <v>529</v>
      </c>
      <c r="I17" s="468">
        <v>91517</v>
      </c>
      <c r="J17" s="465">
        <v>1.9479991485738613</v>
      </c>
      <c r="K17" s="465">
        <v>173</v>
      </c>
      <c r="L17" s="468">
        <v>270</v>
      </c>
      <c r="M17" s="468">
        <v>46980</v>
      </c>
      <c r="N17" s="465">
        <v>1</v>
      </c>
      <c r="O17" s="465">
        <v>174</v>
      </c>
      <c r="P17" s="468">
        <v>624</v>
      </c>
      <c r="Q17" s="468">
        <v>108576</v>
      </c>
      <c r="R17" s="603">
        <v>2.3111111111111109</v>
      </c>
      <c r="S17" s="469">
        <v>174</v>
      </c>
    </row>
    <row r="18" spans="1:19" ht="14.4" customHeight="1" x14ac:dyDescent="0.3">
      <c r="A18" s="522" t="s">
        <v>924</v>
      </c>
      <c r="B18" s="465" t="s">
        <v>925</v>
      </c>
      <c r="C18" s="465" t="s">
        <v>456</v>
      </c>
      <c r="D18" s="465" t="s">
        <v>919</v>
      </c>
      <c r="E18" s="465" t="s">
        <v>926</v>
      </c>
      <c r="F18" s="465" t="s">
        <v>951</v>
      </c>
      <c r="G18" s="465" t="s">
        <v>952</v>
      </c>
      <c r="H18" s="468">
        <v>605</v>
      </c>
      <c r="I18" s="468">
        <v>212355</v>
      </c>
      <c r="J18" s="465">
        <v>1.7041843220338984</v>
      </c>
      <c r="K18" s="465">
        <v>351</v>
      </c>
      <c r="L18" s="468">
        <v>354</v>
      </c>
      <c r="M18" s="468">
        <v>124608</v>
      </c>
      <c r="N18" s="465">
        <v>1</v>
      </c>
      <c r="O18" s="465">
        <v>352</v>
      </c>
      <c r="P18" s="468">
        <v>843</v>
      </c>
      <c r="Q18" s="468">
        <v>296736</v>
      </c>
      <c r="R18" s="603">
        <v>2.3813559322033897</v>
      </c>
      <c r="S18" s="469">
        <v>352</v>
      </c>
    </row>
    <row r="19" spans="1:19" ht="14.4" customHeight="1" x14ac:dyDescent="0.3">
      <c r="A19" s="522" t="s">
        <v>924</v>
      </c>
      <c r="B19" s="465" t="s">
        <v>925</v>
      </c>
      <c r="C19" s="465" t="s">
        <v>456</v>
      </c>
      <c r="D19" s="465" t="s">
        <v>919</v>
      </c>
      <c r="E19" s="465" t="s">
        <v>926</v>
      </c>
      <c r="F19" s="465" t="s">
        <v>953</v>
      </c>
      <c r="G19" s="465" t="s">
        <v>954</v>
      </c>
      <c r="H19" s="468">
        <v>171</v>
      </c>
      <c r="I19" s="468">
        <v>32319</v>
      </c>
      <c r="J19" s="465">
        <v>1.3393700787401575</v>
      </c>
      <c r="K19" s="465">
        <v>189</v>
      </c>
      <c r="L19" s="468">
        <v>127</v>
      </c>
      <c r="M19" s="468">
        <v>24130</v>
      </c>
      <c r="N19" s="465">
        <v>1</v>
      </c>
      <c r="O19" s="465">
        <v>190</v>
      </c>
      <c r="P19" s="468">
        <v>223</v>
      </c>
      <c r="Q19" s="468">
        <v>42370</v>
      </c>
      <c r="R19" s="603">
        <v>1.7559055118110236</v>
      </c>
      <c r="S19" s="469">
        <v>190</v>
      </c>
    </row>
    <row r="20" spans="1:19" ht="14.4" customHeight="1" x14ac:dyDescent="0.3">
      <c r="A20" s="522" t="s">
        <v>924</v>
      </c>
      <c r="B20" s="465" t="s">
        <v>925</v>
      </c>
      <c r="C20" s="465" t="s">
        <v>456</v>
      </c>
      <c r="D20" s="465" t="s">
        <v>919</v>
      </c>
      <c r="E20" s="465" t="s">
        <v>926</v>
      </c>
      <c r="F20" s="465" t="s">
        <v>955</v>
      </c>
      <c r="G20" s="465" t="s">
        <v>956</v>
      </c>
      <c r="H20" s="468">
        <v>654</v>
      </c>
      <c r="I20" s="468">
        <v>537588</v>
      </c>
      <c r="J20" s="465">
        <v>2.1701174295483261</v>
      </c>
      <c r="K20" s="465">
        <v>822</v>
      </c>
      <c r="L20" s="468">
        <v>301</v>
      </c>
      <c r="M20" s="468">
        <v>247723</v>
      </c>
      <c r="N20" s="465">
        <v>1</v>
      </c>
      <c r="O20" s="465">
        <v>823</v>
      </c>
      <c r="P20" s="468">
        <v>605</v>
      </c>
      <c r="Q20" s="468">
        <v>497915</v>
      </c>
      <c r="R20" s="603">
        <v>2.0099667774086378</v>
      </c>
      <c r="S20" s="469">
        <v>823</v>
      </c>
    </row>
    <row r="21" spans="1:19" ht="14.4" customHeight="1" x14ac:dyDescent="0.3">
      <c r="A21" s="522" t="s">
        <v>924</v>
      </c>
      <c r="B21" s="465" t="s">
        <v>925</v>
      </c>
      <c r="C21" s="465" t="s">
        <v>456</v>
      </c>
      <c r="D21" s="465" t="s">
        <v>919</v>
      </c>
      <c r="E21" s="465" t="s">
        <v>926</v>
      </c>
      <c r="F21" s="465" t="s">
        <v>957</v>
      </c>
      <c r="G21" s="465" t="s">
        <v>958</v>
      </c>
      <c r="H21" s="468">
        <v>10</v>
      </c>
      <c r="I21" s="468">
        <v>13860</v>
      </c>
      <c r="J21" s="465">
        <v>3.3309300648882481</v>
      </c>
      <c r="K21" s="465">
        <v>1386</v>
      </c>
      <c r="L21" s="468">
        <v>3</v>
      </c>
      <c r="M21" s="468">
        <v>4161</v>
      </c>
      <c r="N21" s="465">
        <v>1</v>
      </c>
      <c r="O21" s="465">
        <v>1387</v>
      </c>
      <c r="P21" s="468"/>
      <c r="Q21" s="468"/>
      <c r="R21" s="603"/>
      <c r="S21" s="469"/>
    </row>
    <row r="22" spans="1:19" ht="14.4" customHeight="1" x14ac:dyDescent="0.3">
      <c r="A22" s="522" t="s">
        <v>924</v>
      </c>
      <c r="B22" s="465" t="s">
        <v>925</v>
      </c>
      <c r="C22" s="465" t="s">
        <v>456</v>
      </c>
      <c r="D22" s="465" t="s">
        <v>919</v>
      </c>
      <c r="E22" s="465" t="s">
        <v>926</v>
      </c>
      <c r="F22" s="465" t="s">
        <v>959</v>
      </c>
      <c r="G22" s="465" t="s">
        <v>960</v>
      </c>
      <c r="H22" s="468">
        <v>404</v>
      </c>
      <c r="I22" s="468">
        <v>220988</v>
      </c>
      <c r="J22" s="465">
        <v>1.8809730521083363</v>
      </c>
      <c r="K22" s="465">
        <v>547</v>
      </c>
      <c r="L22" s="468">
        <v>214</v>
      </c>
      <c r="M22" s="468">
        <v>117486</v>
      </c>
      <c r="N22" s="465">
        <v>1</v>
      </c>
      <c r="O22" s="465">
        <v>549</v>
      </c>
      <c r="P22" s="468">
        <v>483</v>
      </c>
      <c r="Q22" s="468">
        <v>265167</v>
      </c>
      <c r="R22" s="603">
        <v>2.2570093457943927</v>
      </c>
      <c r="S22" s="469">
        <v>549</v>
      </c>
    </row>
    <row r="23" spans="1:19" ht="14.4" customHeight="1" x14ac:dyDescent="0.3">
      <c r="A23" s="522" t="s">
        <v>924</v>
      </c>
      <c r="B23" s="465" t="s">
        <v>925</v>
      </c>
      <c r="C23" s="465" t="s">
        <v>456</v>
      </c>
      <c r="D23" s="465" t="s">
        <v>919</v>
      </c>
      <c r="E23" s="465" t="s">
        <v>926</v>
      </c>
      <c r="F23" s="465" t="s">
        <v>961</v>
      </c>
      <c r="G23" s="465" t="s">
        <v>962</v>
      </c>
      <c r="H23" s="468">
        <v>53</v>
      </c>
      <c r="I23" s="468">
        <v>34556</v>
      </c>
      <c r="J23" s="465">
        <v>1.6511850152905199</v>
      </c>
      <c r="K23" s="465">
        <v>652</v>
      </c>
      <c r="L23" s="468">
        <v>32</v>
      </c>
      <c r="M23" s="468">
        <v>20928</v>
      </c>
      <c r="N23" s="465">
        <v>1</v>
      </c>
      <c r="O23" s="465">
        <v>654</v>
      </c>
      <c r="P23" s="468">
        <v>71</v>
      </c>
      <c r="Q23" s="468">
        <v>46434</v>
      </c>
      <c r="R23" s="603">
        <v>2.21875</v>
      </c>
      <c r="S23" s="469">
        <v>654</v>
      </c>
    </row>
    <row r="24" spans="1:19" ht="14.4" customHeight="1" x14ac:dyDescent="0.3">
      <c r="A24" s="522" t="s">
        <v>924</v>
      </c>
      <c r="B24" s="465" t="s">
        <v>925</v>
      </c>
      <c r="C24" s="465" t="s">
        <v>456</v>
      </c>
      <c r="D24" s="465" t="s">
        <v>919</v>
      </c>
      <c r="E24" s="465" t="s">
        <v>926</v>
      </c>
      <c r="F24" s="465" t="s">
        <v>963</v>
      </c>
      <c r="G24" s="465" t="s">
        <v>964</v>
      </c>
      <c r="H24" s="468">
        <v>53</v>
      </c>
      <c r="I24" s="468">
        <v>34556</v>
      </c>
      <c r="J24" s="465">
        <v>1.6511850152905199</v>
      </c>
      <c r="K24" s="465">
        <v>652</v>
      </c>
      <c r="L24" s="468">
        <v>32</v>
      </c>
      <c r="M24" s="468">
        <v>20928</v>
      </c>
      <c r="N24" s="465">
        <v>1</v>
      </c>
      <c r="O24" s="465">
        <v>654</v>
      </c>
      <c r="P24" s="468">
        <v>71</v>
      </c>
      <c r="Q24" s="468">
        <v>46434</v>
      </c>
      <c r="R24" s="603">
        <v>2.21875</v>
      </c>
      <c r="S24" s="469">
        <v>654</v>
      </c>
    </row>
    <row r="25" spans="1:19" ht="14.4" customHeight="1" x14ac:dyDescent="0.3">
      <c r="A25" s="522" t="s">
        <v>924</v>
      </c>
      <c r="B25" s="465" t="s">
        <v>925</v>
      </c>
      <c r="C25" s="465" t="s">
        <v>456</v>
      </c>
      <c r="D25" s="465" t="s">
        <v>919</v>
      </c>
      <c r="E25" s="465" t="s">
        <v>926</v>
      </c>
      <c r="F25" s="465" t="s">
        <v>965</v>
      </c>
      <c r="G25" s="465" t="s">
        <v>966</v>
      </c>
      <c r="H25" s="468">
        <v>45</v>
      </c>
      <c r="I25" s="468">
        <v>30420</v>
      </c>
      <c r="J25" s="465">
        <v>1.3596138374899436</v>
      </c>
      <c r="K25" s="465">
        <v>676</v>
      </c>
      <c r="L25" s="468">
        <v>33</v>
      </c>
      <c r="M25" s="468">
        <v>22374</v>
      </c>
      <c r="N25" s="465">
        <v>1</v>
      </c>
      <c r="O25" s="465">
        <v>678</v>
      </c>
      <c r="P25" s="468">
        <v>47</v>
      </c>
      <c r="Q25" s="468">
        <v>31866</v>
      </c>
      <c r="R25" s="603">
        <v>1.4242424242424243</v>
      </c>
      <c r="S25" s="469">
        <v>678</v>
      </c>
    </row>
    <row r="26" spans="1:19" ht="14.4" customHeight="1" x14ac:dyDescent="0.3">
      <c r="A26" s="522" t="s">
        <v>924</v>
      </c>
      <c r="B26" s="465" t="s">
        <v>925</v>
      </c>
      <c r="C26" s="465" t="s">
        <v>456</v>
      </c>
      <c r="D26" s="465" t="s">
        <v>919</v>
      </c>
      <c r="E26" s="465" t="s">
        <v>926</v>
      </c>
      <c r="F26" s="465" t="s">
        <v>967</v>
      </c>
      <c r="G26" s="465" t="s">
        <v>968</v>
      </c>
      <c r="H26" s="468">
        <v>54</v>
      </c>
      <c r="I26" s="468">
        <v>27594</v>
      </c>
      <c r="J26" s="465">
        <v>1.379217273954116</v>
      </c>
      <c r="K26" s="465">
        <v>511</v>
      </c>
      <c r="L26" s="468">
        <v>39</v>
      </c>
      <c r="M26" s="468">
        <v>20007</v>
      </c>
      <c r="N26" s="465">
        <v>1</v>
      </c>
      <c r="O26" s="465">
        <v>513</v>
      </c>
      <c r="P26" s="468">
        <v>97</v>
      </c>
      <c r="Q26" s="468">
        <v>49761</v>
      </c>
      <c r="R26" s="603">
        <v>2.4871794871794872</v>
      </c>
      <c r="S26" s="469">
        <v>513</v>
      </c>
    </row>
    <row r="27" spans="1:19" ht="14.4" customHeight="1" x14ac:dyDescent="0.3">
      <c r="A27" s="522" t="s">
        <v>924</v>
      </c>
      <c r="B27" s="465" t="s">
        <v>925</v>
      </c>
      <c r="C27" s="465" t="s">
        <v>456</v>
      </c>
      <c r="D27" s="465" t="s">
        <v>919</v>
      </c>
      <c r="E27" s="465" t="s">
        <v>926</v>
      </c>
      <c r="F27" s="465" t="s">
        <v>969</v>
      </c>
      <c r="G27" s="465" t="s">
        <v>970</v>
      </c>
      <c r="H27" s="468">
        <v>54</v>
      </c>
      <c r="I27" s="468">
        <v>22734</v>
      </c>
      <c r="J27" s="465">
        <v>1.3780687397708675</v>
      </c>
      <c r="K27" s="465">
        <v>421</v>
      </c>
      <c r="L27" s="468">
        <v>39</v>
      </c>
      <c r="M27" s="468">
        <v>16497</v>
      </c>
      <c r="N27" s="465">
        <v>1</v>
      </c>
      <c r="O27" s="465">
        <v>423</v>
      </c>
      <c r="P27" s="468">
        <v>97</v>
      </c>
      <c r="Q27" s="468">
        <v>41031</v>
      </c>
      <c r="R27" s="603">
        <v>2.4871794871794872</v>
      </c>
      <c r="S27" s="469">
        <v>423</v>
      </c>
    </row>
    <row r="28" spans="1:19" ht="14.4" customHeight="1" x14ac:dyDescent="0.3">
      <c r="A28" s="522" t="s">
        <v>924</v>
      </c>
      <c r="B28" s="465" t="s">
        <v>925</v>
      </c>
      <c r="C28" s="465" t="s">
        <v>456</v>
      </c>
      <c r="D28" s="465" t="s">
        <v>919</v>
      </c>
      <c r="E28" s="465" t="s">
        <v>926</v>
      </c>
      <c r="F28" s="465" t="s">
        <v>971</v>
      </c>
      <c r="G28" s="465" t="s">
        <v>972</v>
      </c>
      <c r="H28" s="468">
        <v>653</v>
      </c>
      <c r="I28" s="468">
        <v>226591</v>
      </c>
      <c r="J28" s="465">
        <v>1.8444826126595468</v>
      </c>
      <c r="K28" s="465">
        <v>347</v>
      </c>
      <c r="L28" s="468">
        <v>352</v>
      </c>
      <c r="M28" s="468">
        <v>122848</v>
      </c>
      <c r="N28" s="465">
        <v>1</v>
      </c>
      <c r="O28" s="465">
        <v>349</v>
      </c>
      <c r="P28" s="468">
        <v>807</v>
      </c>
      <c r="Q28" s="468">
        <v>281643</v>
      </c>
      <c r="R28" s="603">
        <v>2.2926136363636362</v>
      </c>
      <c r="S28" s="469">
        <v>349</v>
      </c>
    </row>
    <row r="29" spans="1:19" ht="14.4" customHeight="1" x14ac:dyDescent="0.3">
      <c r="A29" s="522" t="s">
        <v>924</v>
      </c>
      <c r="B29" s="465" t="s">
        <v>925</v>
      </c>
      <c r="C29" s="465" t="s">
        <v>456</v>
      </c>
      <c r="D29" s="465" t="s">
        <v>919</v>
      </c>
      <c r="E29" s="465" t="s">
        <v>926</v>
      </c>
      <c r="F29" s="465" t="s">
        <v>973</v>
      </c>
      <c r="G29" s="465" t="s">
        <v>974</v>
      </c>
      <c r="H29" s="468">
        <v>95</v>
      </c>
      <c r="I29" s="468">
        <v>20805</v>
      </c>
      <c r="J29" s="465">
        <v>1.5690045248868778</v>
      </c>
      <c r="K29" s="465">
        <v>219</v>
      </c>
      <c r="L29" s="468">
        <v>60</v>
      </c>
      <c r="M29" s="468">
        <v>13260</v>
      </c>
      <c r="N29" s="465">
        <v>1</v>
      </c>
      <c r="O29" s="465">
        <v>221</v>
      </c>
      <c r="P29" s="468">
        <v>113</v>
      </c>
      <c r="Q29" s="468">
        <v>24973</v>
      </c>
      <c r="R29" s="603">
        <v>1.8833333333333333</v>
      </c>
      <c r="S29" s="469">
        <v>221</v>
      </c>
    </row>
    <row r="30" spans="1:19" ht="14.4" customHeight="1" x14ac:dyDescent="0.3">
      <c r="A30" s="522" t="s">
        <v>924</v>
      </c>
      <c r="B30" s="465" t="s">
        <v>925</v>
      </c>
      <c r="C30" s="465" t="s">
        <v>456</v>
      </c>
      <c r="D30" s="465" t="s">
        <v>919</v>
      </c>
      <c r="E30" s="465" t="s">
        <v>926</v>
      </c>
      <c r="F30" s="465" t="s">
        <v>975</v>
      </c>
      <c r="G30" s="465" t="s">
        <v>976</v>
      </c>
      <c r="H30" s="468">
        <v>22</v>
      </c>
      <c r="I30" s="468">
        <v>11066</v>
      </c>
      <c r="J30" s="465">
        <v>0.99015748031496065</v>
      </c>
      <c r="K30" s="465">
        <v>503</v>
      </c>
      <c r="L30" s="468">
        <v>22</v>
      </c>
      <c r="M30" s="468">
        <v>11176</v>
      </c>
      <c r="N30" s="465">
        <v>1</v>
      </c>
      <c r="O30" s="465">
        <v>508</v>
      </c>
      <c r="P30" s="468">
        <v>44</v>
      </c>
      <c r="Q30" s="468">
        <v>22352</v>
      </c>
      <c r="R30" s="603">
        <v>2</v>
      </c>
      <c r="S30" s="469">
        <v>508</v>
      </c>
    </row>
    <row r="31" spans="1:19" ht="14.4" customHeight="1" x14ac:dyDescent="0.3">
      <c r="A31" s="522" t="s">
        <v>924</v>
      </c>
      <c r="B31" s="465" t="s">
        <v>925</v>
      </c>
      <c r="C31" s="465" t="s">
        <v>456</v>
      </c>
      <c r="D31" s="465" t="s">
        <v>919</v>
      </c>
      <c r="E31" s="465" t="s">
        <v>926</v>
      </c>
      <c r="F31" s="465" t="s">
        <v>977</v>
      </c>
      <c r="G31" s="465" t="s">
        <v>978</v>
      </c>
      <c r="H31" s="468">
        <v>38</v>
      </c>
      <c r="I31" s="468">
        <v>5624</v>
      </c>
      <c r="J31" s="465">
        <v>2.6780952380952381</v>
      </c>
      <c r="K31" s="465">
        <v>148</v>
      </c>
      <c r="L31" s="468">
        <v>14</v>
      </c>
      <c r="M31" s="468">
        <v>2100</v>
      </c>
      <c r="N31" s="465">
        <v>1</v>
      </c>
      <c r="O31" s="465">
        <v>150</v>
      </c>
      <c r="P31" s="468">
        <v>17</v>
      </c>
      <c r="Q31" s="468">
        <v>2550</v>
      </c>
      <c r="R31" s="603">
        <v>1.2142857142857142</v>
      </c>
      <c r="S31" s="469">
        <v>150</v>
      </c>
    </row>
    <row r="32" spans="1:19" ht="14.4" customHeight="1" x14ac:dyDescent="0.3">
      <c r="A32" s="522" t="s">
        <v>924</v>
      </c>
      <c r="B32" s="465" t="s">
        <v>925</v>
      </c>
      <c r="C32" s="465" t="s">
        <v>456</v>
      </c>
      <c r="D32" s="465" t="s">
        <v>919</v>
      </c>
      <c r="E32" s="465" t="s">
        <v>926</v>
      </c>
      <c r="F32" s="465" t="s">
        <v>979</v>
      </c>
      <c r="G32" s="465" t="s">
        <v>980</v>
      </c>
      <c r="H32" s="468">
        <v>416</v>
      </c>
      <c r="I32" s="468">
        <v>99008</v>
      </c>
      <c r="J32" s="465">
        <v>1.6570376569037657</v>
      </c>
      <c r="K32" s="465">
        <v>238</v>
      </c>
      <c r="L32" s="468">
        <v>250</v>
      </c>
      <c r="M32" s="468">
        <v>59750</v>
      </c>
      <c r="N32" s="465">
        <v>1</v>
      </c>
      <c r="O32" s="465">
        <v>239</v>
      </c>
      <c r="P32" s="468">
        <v>535</v>
      </c>
      <c r="Q32" s="468">
        <v>127865</v>
      </c>
      <c r="R32" s="603">
        <v>2.14</v>
      </c>
      <c r="S32" s="469">
        <v>239</v>
      </c>
    </row>
    <row r="33" spans="1:19" ht="14.4" customHeight="1" x14ac:dyDescent="0.3">
      <c r="A33" s="522" t="s">
        <v>924</v>
      </c>
      <c r="B33" s="465" t="s">
        <v>925</v>
      </c>
      <c r="C33" s="465" t="s">
        <v>456</v>
      </c>
      <c r="D33" s="465" t="s">
        <v>919</v>
      </c>
      <c r="E33" s="465" t="s">
        <v>926</v>
      </c>
      <c r="F33" s="465" t="s">
        <v>981</v>
      </c>
      <c r="G33" s="465" t="s">
        <v>982</v>
      </c>
      <c r="H33" s="468">
        <v>388</v>
      </c>
      <c r="I33" s="468">
        <v>43068</v>
      </c>
      <c r="J33" s="465">
        <v>1.7092511013215859</v>
      </c>
      <c r="K33" s="465">
        <v>111</v>
      </c>
      <c r="L33" s="468">
        <v>227</v>
      </c>
      <c r="M33" s="468">
        <v>25197</v>
      </c>
      <c r="N33" s="465">
        <v>1</v>
      </c>
      <c r="O33" s="465">
        <v>111</v>
      </c>
      <c r="P33" s="468">
        <v>504</v>
      </c>
      <c r="Q33" s="468">
        <v>55944</v>
      </c>
      <c r="R33" s="603">
        <v>2.2202643171806167</v>
      </c>
      <c r="S33" s="469">
        <v>111</v>
      </c>
    </row>
    <row r="34" spans="1:19" ht="14.4" customHeight="1" x14ac:dyDescent="0.3">
      <c r="A34" s="522" t="s">
        <v>924</v>
      </c>
      <c r="B34" s="465" t="s">
        <v>925</v>
      </c>
      <c r="C34" s="465" t="s">
        <v>456</v>
      </c>
      <c r="D34" s="465" t="s">
        <v>919</v>
      </c>
      <c r="E34" s="465" t="s">
        <v>926</v>
      </c>
      <c r="F34" s="465" t="s">
        <v>983</v>
      </c>
      <c r="G34" s="465" t="s">
        <v>984</v>
      </c>
      <c r="H34" s="468">
        <v>47</v>
      </c>
      <c r="I34" s="468">
        <v>15463</v>
      </c>
      <c r="J34" s="465">
        <v>1.4156367298361257</v>
      </c>
      <c r="K34" s="465">
        <v>329</v>
      </c>
      <c r="L34" s="468">
        <v>33</v>
      </c>
      <c r="M34" s="468">
        <v>10923</v>
      </c>
      <c r="N34" s="465">
        <v>1</v>
      </c>
      <c r="O34" s="465">
        <v>331</v>
      </c>
      <c r="P34" s="468">
        <v>51</v>
      </c>
      <c r="Q34" s="468">
        <v>16881</v>
      </c>
      <c r="R34" s="603">
        <v>1.5454545454545454</v>
      </c>
      <c r="S34" s="469">
        <v>331</v>
      </c>
    </row>
    <row r="35" spans="1:19" ht="14.4" customHeight="1" x14ac:dyDescent="0.3">
      <c r="A35" s="522" t="s">
        <v>924</v>
      </c>
      <c r="B35" s="465" t="s">
        <v>925</v>
      </c>
      <c r="C35" s="465" t="s">
        <v>456</v>
      </c>
      <c r="D35" s="465" t="s">
        <v>919</v>
      </c>
      <c r="E35" s="465" t="s">
        <v>926</v>
      </c>
      <c r="F35" s="465" t="s">
        <v>985</v>
      </c>
      <c r="G35" s="465" t="s">
        <v>986</v>
      </c>
      <c r="H35" s="468">
        <v>121</v>
      </c>
      <c r="I35" s="468">
        <v>37631</v>
      </c>
      <c r="J35" s="465">
        <v>2.7411858974358974</v>
      </c>
      <c r="K35" s="465">
        <v>311</v>
      </c>
      <c r="L35" s="468">
        <v>44</v>
      </c>
      <c r="M35" s="468">
        <v>13728</v>
      </c>
      <c r="N35" s="465">
        <v>1</v>
      </c>
      <c r="O35" s="465">
        <v>312</v>
      </c>
      <c r="P35" s="468">
        <v>94</v>
      </c>
      <c r="Q35" s="468">
        <v>29328</v>
      </c>
      <c r="R35" s="603">
        <v>2.1363636363636362</v>
      </c>
      <c r="S35" s="469">
        <v>312</v>
      </c>
    </row>
    <row r="36" spans="1:19" ht="14.4" customHeight="1" x14ac:dyDescent="0.3">
      <c r="A36" s="522" t="s">
        <v>924</v>
      </c>
      <c r="B36" s="465" t="s">
        <v>925</v>
      </c>
      <c r="C36" s="465" t="s">
        <v>456</v>
      </c>
      <c r="D36" s="465" t="s">
        <v>919</v>
      </c>
      <c r="E36" s="465" t="s">
        <v>926</v>
      </c>
      <c r="F36" s="465" t="s">
        <v>987</v>
      </c>
      <c r="G36" s="465" t="s">
        <v>988</v>
      </c>
      <c r="H36" s="468">
        <v>62</v>
      </c>
      <c r="I36" s="468">
        <v>1426</v>
      </c>
      <c r="J36" s="465">
        <v>1.441860465116279</v>
      </c>
      <c r="K36" s="465">
        <v>23</v>
      </c>
      <c r="L36" s="468">
        <v>43</v>
      </c>
      <c r="M36" s="468">
        <v>989</v>
      </c>
      <c r="N36" s="465">
        <v>1</v>
      </c>
      <c r="O36" s="465">
        <v>23</v>
      </c>
      <c r="P36" s="468">
        <v>100</v>
      </c>
      <c r="Q36" s="468">
        <v>2300</v>
      </c>
      <c r="R36" s="603">
        <v>2.3255813953488373</v>
      </c>
      <c r="S36" s="469">
        <v>23</v>
      </c>
    </row>
    <row r="37" spans="1:19" ht="14.4" customHeight="1" x14ac:dyDescent="0.3">
      <c r="A37" s="522" t="s">
        <v>924</v>
      </c>
      <c r="B37" s="465" t="s">
        <v>925</v>
      </c>
      <c r="C37" s="465" t="s">
        <v>456</v>
      </c>
      <c r="D37" s="465" t="s">
        <v>919</v>
      </c>
      <c r="E37" s="465" t="s">
        <v>926</v>
      </c>
      <c r="F37" s="465" t="s">
        <v>989</v>
      </c>
      <c r="G37" s="465" t="s">
        <v>990</v>
      </c>
      <c r="H37" s="468">
        <v>1555</v>
      </c>
      <c r="I37" s="468">
        <v>24880</v>
      </c>
      <c r="J37" s="465">
        <v>1.8455604183665899</v>
      </c>
      <c r="K37" s="465">
        <v>16</v>
      </c>
      <c r="L37" s="468">
        <v>793</v>
      </c>
      <c r="M37" s="468">
        <v>13481</v>
      </c>
      <c r="N37" s="465">
        <v>1</v>
      </c>
      <c r="O37" s="465">
        <v>17</v>
      </c>
      <c r="P37" s="468">
        <v>1888</v>
      </c>
      <c r="Q37" s="468">
        <v>32096</v>
      </c>
      <c r="R37" s="603">
        <v>2.3808322824716268</v>
      </c>
      <c r="S37" s="469">
        <v>17</v>
      </c>
    </row>
    <row r="38" spans="1:19" ht="14.4" customHeight="1" x14ac:dyDescent="0.3">
      <c r="A38" s="522" t="s">
        <v>924</v>
      </c>
      <c r="B38" s="465" t="s">
        <v>925</v>
      </c>
      <c r="C38" s="465" t="s">
        <v>456</v>
      </c>
      <c r="D38" s="465" t="s">
        <v>919</v>
      </c>
      <c r="E38" s="465" t="s">
        <v>926</v>
      </c>
      <c r="F38" s="465" t="s">
        <v>991</v>
      </c>
      <c r="G38" s="465" t="s">
        <v>992</v>
      </c>
      <c r="H38" s="468">
        <v>2</v>
      </c>
      <c r="I38" s="468">
        <v>3012</v>
      </c>
      <c r="J38" s="465"/>
      <c r="K38" s="465">
        <v>1506</v>
      </c>
      <c r="L38" s="468"/>
      <c r="M38" s="468"/>
      <c r="N38" s="465"/>
      <c r="O38" s="465"/>
      <c r="P38" s="468"/>
      <c r="Q38" s="468"/>
      <c r="R38" s="603"/>
      <c r="S38" s="469"/>
    </row>
    <row r="39" spans="1:19" ht="14.4" customHeight="1" x14ac:dyDescent="0.3">
      <c r="A39" s="522" t="s">
        <v>924</v>
      </c>
      <c r="B39" s="465" t="s">
        <v>925</v>
      </c>
      <c r="C39" s="465" t="s">
        <v>456</v>
      </c>
      <c r="D39" s="465" t="s">
        <v>919</v>
      </c>
      <c r="E39" s="465" t="s">
        <v>926</v>
      </c>
      <c r="F39" s="465" t="s">
        <v>993</v>
      </c>
      <c r="G39" s="465" t="s">
        <v>994</v>
      </c>
      <c r="H39" s="468">
        <v>2399</v>
      </c>
      <c r="I39" s="468">
        <v>837251</v>
      </c>
      <c r="J39" s="465">
        <v>1.9511792123048239</v>
      </c>
      <c r="K39" s="465">
        <v>349</v>
      </c>
      <c r="L39" s="468">
        <v>1226</v>
      </c>
      <c r="M39" s="468">
        <v>429100</v>
      </c>
      <c r="N39" s="465">
        <v>1</v>
      </c>
      <c r="O39" s="465">
        <v>350</v>
      </c>
      <c r="P39" s="468">
        <v>2500</v>
      </c>
      <c r="Q39" s="468">
        <v>875000</v>
      </c>
      <c r="R39" s="603">
        <v>2.0391517128874388</v>
      </c>
      <c r="S39" s="469">
        <v>350</v>
      </c>
    </row>
    <row r="40" spans="1:19" ht="14.4" customHeight="1" x14ac:dyDescent="0.3">
      <c r="A40" s="522" t="s">
        <v>924</v>
      </c>
      <c r="B40" s="465" t="s">
        <v>925</v>
      </c>
      <c r="C40" s="465" t="s">
        <v>456</v>
      </c>
      <c r="D40" s="465" t="s">
        <v>919</v>
      </c>
      <c r="E40" s="465" t="s">
        <v>926</v>
      </c>
      <c r="F40" s="465" t="s">
        <v>995</v>
      </c>
      <c r="G40" s="465" t="s">
        <v>996</v>
      </c>
      <c r="H40" s="468">
        <v>63</v>
      </c>
      <c r="I40" s="468">
        <v>79884</v>
      </c>
      <c r="J40" s="465">
        <v>2.306053520394908</v>
      </c>
      <c r="K40" s="465">
        <v>1268</v>
      </c>
      <c r="L40" s="468">
        <v>27</v>
      </c>
      <c r="M40" s="468">
        <v>34641</v>
      </c>
      <c r="N40" s="465">
        <v>1</v>
      </c>
      <c r="O40" s="465">
        <v>1283</v>
      </c>
      <c r="P40" s="468">
        <v>36</v>
      </c>
      <c r="Q40" s="468">
        <v>46260</v>
      </c>
      <c r="R40" s="603">
        <v>1.335411795271499</v>
      </c>
      <c r="S40" s="469">
        <v>1285</v>
      </c>
    </row>
    <row r="41" spans="1:19" ht="14.4" customHeight="1" x14ac:dyDescent="0.3">
      <c r="A41" s="522" t="s">
        <v>924</v>
      </c>
      <c r="B41" s="465" t="s">
        <v>925</v>
      </c>
      <c r="C41" s="465" t="s">
        <v>456</v>
      </c>
      <c r="D41" s="465" t="s">
        <v>919</v>
      </c>
      <c r="E41" s="465" t="s">
        <v>926</v>
      </c>
      <c r="F41" s="465" t="s">
        <v>997</v>
      </c>
      <c r="G41" s="465" t="s">
        <v>998</v>
      </c>
      <c r="H41" s="468">
        <v>339</v>
      </c>
      <c r="I41" s="468">
        <v>50172</v>
      </c>
      <c r="J41" s="465">
        <v>2.104530201342282</v>
      </c>
      <c r="K41" s="465">
        <v>148</v>
      </c>
      <c r="L41" s="468">
        <v>160</v>
      </c>
      <c r="M41" s="468">
        <v>23840</v>
      </c>
      <c r="N41" s="465">
        <v>1</v>
      </c>
      <c r="O41" s="465">
        <v>149</v>
      </c>
      <c r="P41" s="468">
        <v>375</v>
      </c>
      <c r="Q41" s="468">
        <v>55875</v>
      </c>
      <c r="R41" s="603">
        <v>2.34375</v>
      </c>
      <c r="S41" s="469">
        <v>149</v>
      </c>
    </row>
    <row r="42" spans="1:19" ht="14.4" customHeight="1" x14ac:dyDescent="0.3">
      <c r="A42" s="522" t="s">
        <v>924</v>
      </c>
      <c r="B42" s="465" t="s">
        <v>925</v>
      </c>
      <c r="C42" s="465" t="s">
        <v>456</v>
      </c>
      <c r="D42" s="465" t="s">
        <v>919</v>
      </c>
      <c r="E42" s="465" t="s">
        <v>926</v>
      </c>
      <c r="F42" s="465" t="s">
        <v>999</v>
      </c>
      <c r="G42" s="465" t="s">
        <v>1000</v>
      </c>
      <c r="H42" s="468">
        <v>11</v>
      </c>
      <c r="I42" s="468">
        <v>396</v>
      </c>
      <c r="J42" s="465"/>
      <c r="K42" s="465">
        <v>36</v>
      </c>
      <c r="L42" s="468"/>
      <c r="M42" s="468"/>
      <c r="N42" s="465"/>
      <c r="O42" s="465"/>
      <c r="P42" s="468">
        <v>8</v>
      </c>
      <c r="Q42" s="468">
        <v>296</v>
      </c>
      <c r="R42" s="603"/>
      <c r="S42" s="469">
        <v>37</v>
      </c>
    </row>
    <row r="43" spans="1:19" ht="14.4" customHeight="1" x14ac:dyDescent="0.3">
      <c r="A43" s="522" t="s">
        <v>924</v>
      </c>
      <c r="B43" s="465" t="s">
        <v>925</v>
      </c>
      <c r="C43" s="465" t="s">
        <v>456</v>
      </c>
      <c r="D43" s="465" t="s">
        <v>919</v>
      </c>
      <c r="E43" s="465" t="s">
        <v>926</v>
      </c>
      <c r="F43" s="465" t="s">
        <v>1001</v>
      </c>
      <c r="G43" s="465" t="s">
        <v>1002</v>
      </c>
      <c r="H43" s="468">
        <v>430</v>
      </c>
      <c r="I43" s="468">
        <v>126420</v>
      </c>
      <c r="J43" s="465">
        <v>1.7141694915254237</v>
      </c>
      <c r="K43" s="465">
        <v>294</v>
      </c>
      <c r="L43" s="468">
        <v>250</v>
      </c>
      <c r="M43" s="468">
        <v>73750</v>
      </c>
      <c r="N43" s="465">
        <v>1</v>
      </c>
      <c r="O43" s="465">
        <v>295</v>
      </c>
      <c r="P43" s="468">
        <v>582</v>
      </c>
      <c r="Q43" s="468">
        <v>171690</v>
      </c>
      <c r="R43" s="603">
        <v>2.3279999999999998</v>
      </c>
      <c r="S43" s="469">
        <v>295</v>
      </c>
    </row>
    <row r="44" spans="1:19" ht="14.4" customHeight="1" x14ac:dyDescent="0.3">
      <c r="A44" s="522" t="s">
        <v>924</v>
      </c>
      <c r="B44" s="465" t="s">
        <v>925</v>
      </c>
      <c r="C44" s="465" t="s">
        <v>456</v>
      </c>
      <c r="D44" s="465" t="s">
        <v>919</v>
      </c>
      <c r="E44" s="465" t="s">
        <v>926</v>
      </c>
      <c r="F44" s="465" t="s">
        <v>1003</v>
      </c>
      <c r="G44" s="465" t="s">
        <v>1004</v>
      </c>
      <c r="H44" s="468">
        <v>277</v>
      </c>
      <c r="I44" s="468">
        <v>57339</v>
      </c>
      <c r="J44" s="465">
        <v>1.9457395907563881</v>
      </c>
      <c r="K44" s="465">
        <v>207</v>
      </c>
      <c r="L44" s="468">
        <v>141</v>
      </c>
      <c r="M44" s="468">
        <v>29469</v>
      </c>
      <c r="N44" s="465">
        <v>1</v>
      </c>
      <c r="O44" s="465">
        <v>209</v>
      </c>
      <c r="P44" s="468">
        <v>371</v>
      </c>
      <c r="Q44" s="468">
        <v>77539</v>
      </c>
      <c r="R44" s="603">
        <v>2.6312056737588652</v>
      </c>
      <c r="S44" s="469">
        <v>209</v>
      </c>
    </row>
    <row r="45" spans="1:19" ht="14.4" customHeight="1" x14ac:dyDescent="0.3">
      <c r="A45" s="522" t="s">
        <v>924</v>
      </c>
      <c r="B45" s="465" t="s">
        <v>925</v>
      </c>
      <c r="C45" s="465" t="s">
        <v>456</v>
      </c>
      <c r="D45" s="465" t="s">
        <v>919</v>
      </c>
      <c r="E45" s="465" t="s">
        <v>926</v>
      </c>
      <c r="F45" s="465" t="s">
        <v>1005</v>
      </c>
      <c r="G45" s="465" t="s">
        <v>1006</v>
      </c>
      <c r="H45" s="468">
        <v>497</v>
      </c>
      <c r="I45" s="468">
        <v>19383</v>
      </c>
      <c r="J45" s="465">
        <v>2.5107512953367874</v>
      </c>
      <c r="K45" s="465">
        <v>39</v>
      </c>
      <c r="L45" s="468">
        <v>193</v>
      </c>
      <c r="M45" s="468">
        <v>7720</v>
      </c>
      <c r="N45" s="465">
        <v>1</v>
      </c>
      <c r="O45" s="465">
        <v>40</v>
      </c>
      <c r="P45" s="468">
        <v>427</v>
      </c>
      <c r="Q45" s="468">
        <v>17080</v>
      </c>
      <c r="R45" s="603">
        <v>2.2124352331606216</v>
      </c>
      <c r="S45" s="469">
        <v>40</v>
      </c>
    </row>
    <row r="46" spans="1:19" ht="14.4" customHeight="1" x14ac:dyDescent="0.3">
      <c r="A46" s="522" t="s">
        <v>924</v>
      </c>
      <c r="B46" s="465" t="s">
        <v>925</v>
      </c>
      <c r="C46" s="465" t="s">
        <v>456</v>
      </c>
      <c r="D46" s="465" t="s">
        <v>919</v>
      </c>
      <c r="E46" s="465" t="s">
        <v>926</v>
      </c>
      <c r="F46" s="465" t="s">
        <v>1007</v>
      </c>
      <c r="G46" s="465" t="s">
        <v>1008</v>
      </c>
      <c r="H46" s="468">
        <v>64</v>
      </c>
      <c r="I46" s="468">
        <v>320192</v>
      </c>
      <c r="J46" s="465">
        <v>2.6565777246780833</v>
      </c>
      <c r="K46" s="465">
        <v>5003</v>
      </c>
      <c r="L46" s="468">
        <v>24</v>
      </c>
      <c r="M46" s="468">
        <v>120528</v>
      </c>
      <c r="N46" s="465">
        <v>1</v>
      </c>
      <c r="O46" s="465">
        <v>5022</v>
      </c>
      <c r="P46" s="468">
        <v>51</v>
      </c>
      <c r="Q46" s="468">
        <v>256173</v>
      </c>
      <c r="R46" s="603">
        <v>2.1254231381919553</v>
      </c>
      <c r="S46" s="469">
        <v>5023</v>
      </c>
    </row>
    <row r="47" spans="1:19" ht="14.4" customHeight="1" x14ac:dyDescent="0.3">
      <c r="A47" s="522" t="s">
        <v>924</v>
      </c>
      <c r="B47" s="465" t="s">
        <v>925</v>
      </c>
      <c r="C47" s="465" t="s">
        <v>456</v>
      </c>
      <c r="D47" s="465" t="s">
        <v>919</v>
      </c>
      <c r="E47" s="465" t="s">
        <v>926</v>
      </c>
      <c r="F47" s="465" t="s">
        <v>1009</v>
      </c>
      <c r="G47" s="465" t="s">
        <v>1010</v>
      </c>
      <c r="H47" s="468">
        <v>566</v>
      </c>
      <c r="I47" s="468">
        <v>96220</v>
      </c>
      <c r="J47" s="465">
        <v>2.2780974027511425</v>
      </c>
      <c r="K47" s="465">
        <v>170</v>
      </c>
      <c r="L47" s="468">
        <v>247</v>
      </c>
      <c r="M47" s="468">
        <v>42237</v>
      </c>
      <c r="N47" s="465">
        <v>1</v>
      </c>
      <c r="O47" s="465">
        <v>171</v>
      </c>
      <c r="P47" s="468">
        <v>635</v>
      </c>
      <c r="Q47" s="468">
        <v>108585</v>
      </c>
      <c r="R47" s="603">
        <v>2.57085020242915</v>
      </c>
      <c r="S47" s="469">
        <v>171</v>
      </c>
    </row>
    <row r="48" spans="1:19" ht="14.4" customHeight="1" x14ac:dyDescent="0.3">
      <c r="A48" s="522" t="s">
        <v>924</v>
      </c>
      <c r="B48" s="465" t="s">
        <v>925</v>
      </c>
      <c r="C48" s="465" t="s">
        <v>456</v>
      </c>
      <c r="D48" s="465" t="s">
        <v>919</v>
      </c>
      <c r="E48" s="465" t="s">
        <v>926</v>
      </c>
      <c r="F48" s="465" t="s">
        <v>1011</v>
      </c>
      <c r="G48" s="465" t="s">
        <v>1012</v>
      </c>
      <c r="H48" s="468">
        <v>48</v>
      </c>
      <c r="I48" s="468">
        <v>15648</v>
      </c>
      <c r="J48" s="465">
        <v>2.0805743917032311</v>
      </c>
      <c r="K48" s="465">
        <v>326</v>
      </c>
      <c r="L48" s="468">
        <v>23</v>
      </c>
      <c r="M48" s="468">
        <v>7521</v>
      </c>
      <c r="N48" s="465">
        <v>1</v>
      </c>
      <c r="O48" s="465">
        <v>327</v>
      </c>
      <c r="P48" s="468">
        <v>69</v>
      </c>
      <c r="Q48" s="468">
        <v>22563</v>
      </c>
      <c r="R48" s="603">
        <v>3</v>
      </c>
      <c r="S48" s="469">
        <v>327</v>
      </c>
    </row>
    <row r="49" spans="1:19" ht="14.4" customHeight="1" x14ac:dyDescent="0.3">
      <c r="A49" s="522" t="s">
        <v>924</v>
      </c>
      <c r="B49" s="465" t="s">
        <v>925</v>
      </c>
      <c r="C49" s="465" t="s">
        <v>456</v>
      </c>
      <c r="D49" s="465" t="s">
        <v>919</v>
      </c>
      <c r="E49" s="465" t="s">
        <v>926</v>
      </c>
      <c r="F49" s="465" t="s">
        <v>1013</v>
      </c>
      <c r="G49" s="465" t="s">
        <v>1014</v>
      </c>
      <c r="H49" s="468">
        <v>208</v>
      </c>
      <c r="I49" s="468">
        <v>143104</v>
      </c>
      <c r="J49" s="465">
        <v>1.8684423553988772</v>
      </c>
      <c r="K49" s="465">
        <v>688</v>
      </c>
      <c r="L49" s="468">
        <v>111</v>
      </c>
      <c r="M49" s="468">
        <v>76590</v>
      </c>
      <c r="N49" s="465">
        <v>1</v>
      </c>
      <c r="O49" s="465">
        <v>690</v>
      </c>
      <c r="P49" s="468">
        <v>259</v>
      </c>
      <c r="Q49" s="468">
        <v>178710</v>
      </c>
      <c r="R49" s="603">
        <v>2.3333333333333335</v>
      </c>
      <c r="S49" s="469">
        <v>690</v>
      </c>
    </row>
    <row r="50" spans="1:19" ht="14.4" customHeight="1" x14ac:dyDescent="0.3">
      <c r="A50" s="522" t="s">
        <v>924</v>
      </c>
      <c r="B50" s="465" t="s">
        <v>925</v>
      </c>
      <c r="C50" s="465" t="s">
        <v>456</v>
      </c>
      <c r="D50" s="465" t="s">
        <v>919</v>
      </c>
      <c r="E50" s="465" t="s">
        <v>926</v>
      </c>
      <c r="F50" s="465" t="s">
        <v>1015</v>
      </c>
      <c r="G50" s="465" t="s">
        <v>1016</v>
      </c>
      <c r="H50" s="468">
        <v>595</v>
      </c>
      <c r="I50" s="468">
        <v>207060</v>
      </c>
      <c r="J50" s="465">
        <v>2.207462686567164</v>
      </c>
      <c r="K50" s="465">
        <v>348</v>
      </c>
      <c r="L50" s="468">
        <v>268</v>
      </c>
      <c r="M50" s="468">
        <v>93800</v>
      </c>
      <c r="N50" s="465">
        <v>1</v>
      </c>
      <c r="O50" s="465">
        <v>350</v>
      </c>
      <c r="P50" s="468">
        <v>659</v>
      </c>
      <c r="Q50" s="468">
        <v>230650</v>
      </c>
      <c r="R50" s="603">
        <v>2.4589552238805972</v>
      </c>
      <c r="S50" s="469">
        <v>350</v>
      </c>
    </row>
    <row r="51" spans="1:19" ht="14.4" customHeight="1" x14ac:dyDescent="0.3">
      <c r="A51" s="522" t="s">
        <v>924</v>
      </c>
      <c r="B51" s="465" t="s">
        <v>925</v>
      </c>
      <c r="C51" s="465" t="s">
        <v>456</v>
      </c>
      <c r="D51" s="465" t="s">
        <v>919</v>
      </c>
      <c r="E51" s="465" t="s">
        <v>926</v>
      </c>
      <c r="F51" s="465" t="s">
        <v>1017</v>
      </c>
      <c r="G51" s="465" t="s">
        <v>1018</v>
      </c>
      <c r="H51" s="468">
        <v>506</v>
      </c>
      <c r="I51" s="468">
        <v>87538</v>
      </c>
      <c r="J51" s="465">
        <v>2.2661799730765249</v>
      </c>
      <c r="K51" s="465">
        <v>173</v>
      </c>
      <c r="L51" s="468">
        <v>222</v>
      </c>
      <c r="M51" s="468">
        <v>38628</v>
      </c>
      <c r="N51" s="465">
        <v>1</v>
      </c>
      <c r="O51" s="465">
        <v>174</v>
      </c>
      <c r="P51" s="468">
        <v>530</v>
      </c>
      <c r="Q51" s="468">
        <v>92220</v>
      </c>
      <c r="R51" s="603">
        <v>2.3873873873873874</v>
      </c>
      <c r="S51" s="469">
        <v>174</v>
      </c>
    </row>
    <row r="52" spans="1:19" ht="14.4" customHeight="1" x14ac:dyDescent="0.3">
      <c r="A52" s="522" t="s">
        <v>924</v>
      </c>
      <c r="B52" s="465" t="s">
        <v>925</v>
      </c>
      <c r="C52" s="465" t="s">
        <v>456</v>
      </c>
      <c r="D52" s="465" t="s">
        <v>919</v>
      </c>
      <c r="E52" s="465" t="s">
        <v>926</v>
      </c>
      <c r="F52" s="465" t="s">
        <v>1019</v>
      </c>
      <c r="G52" s="465" t="s">
        <v>1020</v>
      </c>
      <c r="H52" s="468">
        <v>132</v>
      </c>
      <c r="I52" s="468">
        <v>52800</v>
      </c>
      <c r="J52" s="465">
        <v>1.5675097969362308</v>
      </c>
      <c r="K52" s="465">
        <v>400</v>
      </c>
      <c r="L52" s="468">
        <v>84</v>
      </c>
      <c r="M52" s="468">
        <v>33684</v>
      </c>
      <c r="N52" s="465">
        <v>1</v>
      </c>
      <c r="O52" s="465">
        <v>401</v>
      </c>
      <c r="P52" s="468">
        <v>232</v>
      </c>
      <c r="Q52" s="468">
        <v>93032</v>
      </c>
      <c r="R52" s="603">
        <v>2.7619047619047619</v>
      </c>
      <c r="S52" s="469">
        <v>401</v>
      </c>
    </row>
    <row r="53" spans="1:19" ht="14.4" customHeight="1" x14ac:dyDescent="0.3">
      <c r="A53" s="522" t="s">
        <v>924</v>
      </c>
      <c r="B53" s="465" t="s">
        <v>925</v>
      </c>
      <c r="C53" s="465" t="s">
        <v>456</v>
      </c>
      <c r="D53" s="465" t="s">
        <v>919</v>
      </c>
      <c r="E53" s="465" t="s">
        <v>926</v>
      </c>
      <c r="F53" s="465" t="s">
        <v>1021</v>
      </c>
      <c r="G53" s="465" t="s">
        <v>1022</v>
      </c>
      <c r="H53" s="468">
        <v>53</v>
      </c>
      <c r="I53" s="468">
        <v>34556</v>
      </c>
      <c r="J53" s="465">
        <v>1.6511850152905199</v>
      </c>
      <c r="K53" s="465">
        <v>652</v>
      </c>
      <c r="L53" s="468">
        <v>32</v>
      </c>
      <c r="M53" s="468">
        <v>20928</v>
      </c>
      <c r="N53" s="465">
        <v>1</v>
      </c>
      <c r="O53" s="465">
        <v>654</v>
      </c>
      <c r="P53" s="468">
        <v>71</v>
      </c>
      <c r="Q53" s="468">
        <v>46434</v>
      </c>
      <c r="R53" s="603">
        <v>2.21875</v>
      </c>
      <c r="S53" s="469">
        <v>654</v>
      </c>
    </row>
    <row r="54" spans="1:19" ht="14.4" customHeight="1" x14ac:dyDescent="0.3">
      <c r="A54" s="522" t="s">
        <v>924</v>
      </c>
      <c r="B54" s="465" t="s">
        <v>925</v>
      </c>
      <c r="C54" s="465" t="s">
        <v>456</v>
      </c>
      <c r="D54" s="465" t="s">
        <v>919</v>
      </c>
      <c r="E54" s="465" t="s">
        <v>926</v>
      </c>
      <c r="F54" s="465" t="s">
        <v>1023</v>
      </c>
      <c r="G54" s="465" t="s">
        <v>1024</v>
      </c>
      <c r="H54" s="468">
        <v>53</v>
      </c>
      <c r="I54" s="468">
        <v>34556</v>
      </c>
      <c r="J54" s="465">
        <v>1.6511850152905199</v>
      </c>
      <c r="K54" s="465">
        <v>652</v>
      </c>
      <c r="L54" s="468">
        <v>32</v>
      </c>
      <c r="M54" s="468">
        <v>20928</v>
      </c>
      <c r="N54" s="465">
        <v>1</v>
      </c>
      <c r="O54" s="465">
        <v>654</v>
      </c>
      <c r="P54" s="468">
        <v>71</v>
      </c>
      <c r="Q54" s="468">
        <v>46434</v>
      </c>
      <c r="R54" s="603">
        <v>2.21875</v>
      </c>
      <c r="S54" s="469">
        <v>654</v>
      </c>
    </row>
    <row r="55" spans="1:19" ht="14.4" customHeight="1" x14ac:dyDescent="0.3">
      <c r="A55" s="522" t="s">
        <v>924</v>
      </c>
      <c r="B55" s="465" t="s">
        <v>925</v>
      </c>
      <c r="C55" s="465" t="s">
        <v>456</v>
      </c>
      <c r="D55" s="465" t="s">
        <v>919</v>
      </c>
      <c r="E55" s="465" t="s">
        <v>926</v>
      </c>
      <c r="F55" s="465" t="s">
        <v>1025</v>
      </c>
      <c r="G55" s="465" t="s">
        <v>1026</v>
      </c>
      <c r="H55" s="468">
        <v>924</v>
      </c>
      <c r="I55" s="468">
        <v>399168</v>
      </c>
      <c r="J55" s="465">
        <v>1.827943398818519</v>
      </c>
      <c r="K55" s="465">
        <v>432</v>
      </c>
      <c r="L55" s="468">
        <v>502</v>
      </c>
      <c r="M55" s="468">
        <v>218370</v>
      </c>
      <c r="N55" s="465">
        <v>1</v>
      </c>
      <c r="O55" s="465">
        <v>435</v>
      </c>
      <c r="P55" s="468"/>
      <c r="Q55" s="468"/>
      <c r="R55" s="603"/>
      <c r="S55" s="469"/>
    </row>
    <row r="56" spans="1:19" ht="14.4" customHeight="1" x14ac:dyDescent="0.3">
      <c r="A56" s="522" t="s">
        <v>924</v>
      </c>
      <c r="B56" s="465" t="s">
        <v>925</v>
      </c>
      <c r="C56" s="465" t="s">
        <v>456</v>
      </c>
      <c r="D56" s="465" t="s">
        <v>919</v>
      </c>
      <c r="E56" s="465" t="s">
        <v>926</v>
      </c>
      <c r="F56" s="465" t="s">
        <v>1027</v>
      </c>
      <c r="G56" s="465" t="s">
        <v>1028</v>
      </c>
      <c r="H56" s="468">
        <v>18</v>
      </c>
      <c r="I56" s="468">
        <v>12456</v>
      </c>
      <c r="J56" s="465">
        <v>1.0557721647736904</v>
      </c>
      <c r="K56" s="465">
        <v>692</v>
      </c>
      <c r="L56" s="468">
        <v>17</v>
      </c>
      <c r="M56" s="468">
        <v>11798</v>
      </c>
      <c r="N56" s="465">
        <v>1</v>
      </c>
      <c r="O56" s="465">
        <v>694</v>
      </c>
      <c r="P56" s="468">
        <v>32</v>
      </c>
      <c r="Q56" s="468">
        <v>22208</v>
      </c>
      <c r="R56" s="603">
        <v>1.8823529411764706</v>
      </c>
      <c r="S56" s="469">
        <v>694</v>
      </c>
    </row>
    <row r="57" spans="1:19" ht="14.4" customHeight="1" x14ac:dyDescent="0.3">
      <c r="A57" s="522" t="s">
        <v>924</v>
      </c>
      <c r="B57" s="465" t="s">
        <v>925</v>
      </c>
      <c r="C57" s="465" t="s">
        <v>456</v>
      </c>
      <c r="D57" s="465" t="s">
        <v>919</v>
      </c>
      <c r="E57" s="465" t="s">
        <v>926</v>
      </c>
      <c r="F57" s="465" t="s">
        <v>1029</v>
      </c>
      <c r="G57" s="465" t="s">
        <v>1030</v>
      </c>
      <c r="H57" s="468">
        <v>45</v>
      </c>
      <c r="I57" s="468">
        <v>30420</v>
      </c>
      <c r="J57" s="465">
        <v>1.3596138374899436</v>
      </c>
      <c r="K57" s="465">
        <v>676</v>
      </c>
      <c r="L57" s="468">
        <v>33</v>
      </c>
      <c r="M57" s="468">
        <v>22374</v>
      </c>
      <c r="N57" s="465">
        <v>1</v>
      </c>
      <c r="O57" s="465">
        <v>678</v>
      </c>
      <c r="P57" s="468">
        <v>47</v>
      </c>
      <c r="Q57" s="468">
        <v>31866</v>
      </c>
      <c r="R57" s="603">
        <v>1.4242424242424243</v>
      </c>
      <c r="S57" s="469">
        <v>678</v>
      </c>
    </row>
    <row r="58" spans="1:19" ht="14.4" customHeight="1" x14ac:dyDescent="0.3">
      <c r="A58" s="522" t="s">
        <v>924</v>
      </c>
      <c r="B58" s="465" t="s">
        <v>925</v>
      </c>
      <c r="C58" s="465" t="s">
        <v>456</v>
      </c>
      <c r="D58" s="465" t="s">
        <v>919</v>
      </c>
      <c r="E58" s="465" t="s">
        <v>926</v>
      </c>
      <c r="F58" s="465" t="s">
        <v>1031</v>
      </c>
      <c r="G58" s="465" t="s">
        <v>1032</v>
      </c>
      <c r="H58" s="468">
        <v>274</v>
      </c>
      <c r="I58" s="468">
        <v>130150</v>
      </c>
      <c r="J58" s="465">
        <v>1.9629579355383617</v>
      </c>
      <c r="K58" s="465">
        <v>475</v>
      </c>
      <c r="L58" s="468">
        <v>139</v>
      </c>
      <c r="M58" s="468">
        <v>66303</v>
      </c>
      <c r="N58" s="465">
        <v>1</v>
      </c>
      <c r="O58" s="465">
        <v>477</v>
      </c>
      <c r="P58" s="468">
        <v>316</v>
      </c>
      <c r="Q58" s="468">
        <v>150732</v>
      </c>
      <c r="R58" s="603">
        <v>2.2733812949640289</v>
      </c>
      <c r="S58" s="469">
        <v>477</v>
      </c>
    </row>
    <row r="59" spans="1:19" ht="14.4" customHeight="1" x14ac:dyDescent="0.3">
      <c r="A59" s="522" t="s">
        <v>924</v>
      </c>
      <c r="B59" s="465" t="s">
        <v>925</v>
      </c>
      <c r="C59" s="465" t="s">
        <v>456</v>
      </c>
      <c r="D59" s="465" t="s">
        <v>919</v>
      </c>
      <c r="E59" s="465" t="s">
        <v>926</v>
      </c>
      <c r="F59" s="465" t="s">
        <v>1033</v>
      </c>
      <c r="G59" s="465" t="s">
        <v>1034</v>
      </c>
      <c r="H59" s="468">
        <v>54</v>
      </c>
      <c r="I59" s="468">
        <v>15606</v>
      </c>
      <c r="J59" s="465">
        <v>1.3750991276764473</v>
      </c>
      <c r="K59" s="465">
        <v>289</v>
      </c>
      <c r="L59" s="468">
        <v>39</v>
      </c>
      <c r="M59" s="468">
        <v>11349</v>
      </c>
      <c r="N59" s="465">
        <v>1</v>
      </c>
      <c r="O59" s="465">
        <v>291</v>
      </c>
      <c r="P59" s="468">
        <v>97</v>
      </c>
      <c r="Q59" s="468">
        <v>28227</v>
      </c>
      <c r="R59" s="603">
        <v>2.4871794871794872</v>
      </c>
      <c r="S59" s="469">
        <v>291</v>
      </c>
    </row>
    <row r="60" spans="1:19" ht="14.4" customHeight="1" x14ac:dyDescent="0.3">
      <c r="A60" s="522" t="s">
        <v>924</v>
      </c>
      <c r="B60" s="465" t="s">
        <v>925</v>
      </c>
      <c r="C60" s="465" t="s">
        <v>456</v>
      </c>
      <c r="D60" s="465" t="s">
        <v>919</v>
      </c>
      <c r="E60" s="465" t="s">
        <v>926</v>
      </c>
      <c r="F60" s="465" t="s">
        <v>1035</v>
      </c>
      <c r="G60" s="465" t="s">
        <v>1036</v>
      </c>
      <c r="H60" s="468">
        <v>57</v>
      </c>
      <c r="I60" s="468">
        <v>46284</v>
      </c>
      <c r="J60" s="465">
        <v>2.5877222408587723</v>
      </c>
      <c r="K60" s="465">
        <v>812</v>
      </c>
      <c r="L60" s="468">
        <v>22</v>
      </c>
      <c r="M60" s="468">
        <v>17886</v>
      </c>
      <c r="N60" s="465">
        <v>1</v>
      </c>
      <c r="O60" s="465">
        <v>813</v>
      </c>
      <c r="P60" s="468">
        <v>129</v>
      </c>
      <c r="Q60" s="468">
        <v>105006</v>
      </c>
      <c r="R60" s="603">
        <v>5.8708487084870846</v>
      </c>
      <c r="S60" s="469">
        <v>814</v>
      </c>
    </row>
    <row r="61" spans="1:19" ht="14.4" customHeight="1" x14ac:dyDescent="0.3">
      <c r="A61" s="522" t="s">
        <v>924</v>
      </c>
      <c r="B61" s="465" t="s">
        <v>925</v>
      </c>
      <c r="C61" s="465" t="s">
        <v>456</v>
      </c>
      <c r="D61" s="465" t="s">
        <v>919</v>
      </c>
      <c r="E61" s="465" t="s">
        <v>926</v>
      </c>
      <c r="F61" s="465" t="s">
        <v>1037</v>
      </c>
      <c r="G61" s="465" t="s">
        <v>1038</v>
      </c>
      <c r="H61" s="468">
        <v>924</v>
      </c>
      <c r="I61" s="468">
        <v>931392</v>
      </c>
      <c r="J61" s="465">
        <v>1.8351756180027663</v>
      </c>
      <c r="K61" s="465">
        <v>1008</v>
      </c>
      <c r="L61" s="468">
        <v>502</v>
      </c>
      <c r="M61" s="468">
        <v>507522</v>
      </c>
      <c r="N61" s="465">
        <v>1</v>
      </c>
      <c r="O61" s="465">
        <v>1011</v>
      </c>
      <c r="P61" s="468"/>
      <c r="Q61" s="468"/>
      <c r="R61" s="603"/>
      <c r="S61" s="469"/>
    </row>
    <row r="62" spans="1:19" ht="14.4" customHeight="1" x14ac:dyDescent="0.3">
      <c r="A62" s="522" t="s">
        <v>924</v>
      </c>
      <c r="B62" s="465" t="s">
        <v>925</v>
      </c>
      <c r="C62" s="465" t="s">
        <v>456</v>
      </c>
      <c r="D62" s="465" t="s">
        <v>919</v>
      </c>
      <c r="E62" s="465" t="s">
        <v>926</v>
      </c>
      <c r="F62" s="465" t="s">
        <v>1039</v>
      </c>
      <c r="G62" s="465" t="s">
        <v>1040</v>
      </c>
      <c r="H62" s="468">
        <v>529</v>
      </c>
      <c r="I62" s="468">
        <v>88343</v>
      </c>
      <c r="J62" s="465">
        <v>1.9548371393166932</v>
      </c>
      <c r="K62" s="465">
        <v>167</v>
      </c>
      <c r="L62" s="468">
        <v>269</v>
      </c>
      <c r="M62" s="468">
        <v>45192</v>
      </c>
      <c r="N62" s="465">
        <v>1</v>
      </c>
      <c r="O62" s="465">
        <v>168</v>
      </c>
      <c r="P62" s="468">
        <v>621</v>
      </c>
      <c r="Q62" s="468">
        <v>104328</v>
      </c>
      <c r="R62" s="603">
        <v>2.3085501858736062</v>
      </c>
      <c r="S62" s="469">
        <v>168</v>
      </c>
    </row>
    <row r="63" spans="1:19" ht="14.4" customHeight="1" x14ac:dyDescent="0.3">
      <c r="A63" s="522" t="s">
        <v>924</v>
      </c>
      <c r="B63" s="465" t="s">
        <v>925</v>
      </c>
      <c r="C63" s="465" t="s">
        <v>456</v>
      </c>
      <c r="D63" s="465" t="s">
        <v>919</v>
      </c>
      <c r="E63" s="465" t="s">
        <v>926</v>
      </c>
      <c r="F63" s="465" t="s">
        <v>1041</v>
      </c>
      <c r="G63" s="465" t="s">
        <v>1042</v>
      </c>
      <c r="H63" s="468">
        <v>67</v>
      </c>
      <c r="I63" s="468">
        <v>57151</v>
      </c>
      <c r="J63" s="465">
        <v>3.5221866140761739</v>
      </c>
      <c r="K63" s="465">
        <v>853</v>
      </c>
      <c r="L63" s="468">
        <v>19</v>
      </c>
      <c r="M63" s="468">
        <v>16226</v>
      </c>
      <c r="N63" s="465">
        <v>1</v>
      </c>
      <c r="O63" s="465">
        <v>854</v>
      </c>
      <c r="P63" s="468">
        <v>50</v>
      </c>
      <c r="Q63" s="468">
        <v>42700</v>
      </c>
      <c r="R63" s="603">
        <v>2.6315789473684212</v>
      </c>
      <c r="S63" s="469">
        <v>854</v>
      </c>
    </row>
    <row r="64" spans="1:19" ht="14.4" customHeight="1" x14ac:dyDescent="0.3">
      <c r="A64" s="522" t="s">
        <v>924</v>
      </c>
      <c r="B64" s="465" t="s">
        <v>925</v>
      </c>
      <c r="C64" s="465" t="s">
        <v>456</v>
      </c>
      <c r="D64" s="465" t="s">
        <v>919</v>
      </c>
      <c r="E64" s="465" t="s">
        <v>926</v>
      </c>
      <c r="F64" s="465" t="s">
        <v>1043</v>
      </c>
      <c r="G64" s="465" t="s">
        <v>1044</v>
      </c>
      <c r="H64" s="468">
        <v>33</v>
      </c>
      <c r="I64" s="468">
        <v>18909</v>
      </c>
      <c r="J64" s="465">
        <v>1.5686908909905426</v>
      </c>
      <c r="K64" s="465">
        <v>573</v>
      </c>
      <c r="L64" s="468">
        <v>21</v>
      </c>
      <c r="M64" s="468">
        <v>12054</v>
      </c>
      <c r="N64" s="465">
        <v>1</v>
      </c>
      <c r="O64" s="465">
        <v>574</v>
      </c>
      <c r="P64" s="468">
        <v>58</v>
      </c>
      <c r="Q64" s="468">
        <v>33292</v>
      </c>
      <c r="R64" s="603">
        <v>2.7619047619047619</v>
      </c>
      <c r="S64" s="469">
        <v>574</v>
      </c>
    </row>
    <row r="65" spans="1:19" ht="14.4" customHeight="1" x14ac:dyDescent="0.3">
      <c r="A65" s="522" t="s">
        <v>924</v>
      </c>
      <c r="B65" s="465" t="s">
        <v>925</v>
      </c>
      <c r="C65" s="465" t="s">
        <v>456</v>
      </c>
      <c r="D65" s="465" t="s">
        <v>919</v>
      </c>
      <c r="E65" s="465" t="s">
        <v>926</v>
      </c>
      <c r="F65" s="465" t="s">
        <v>1045</v>
      </c>
      <c r="G65" s="465" t="s">
        <v>1046</v>
      </c>
      <c r="H65" s="468">
        <v>87</v>
      </c>
      <c r="I65" s="468">
        <v>196968</v>
      </c>
      <c r="J65" s="465"/>
      <c r="K65" s="465">
        <v>2264</v>
      </c>
      <c r="L65" s="468"/>
      <c r="M65" s="468"/>
      <c r="N65" s="465"/>
      <c r="O65" s="465"/>
      <c r="P65" s="468">
        <v>180</v>
      </c>
      <c r="Q65" s="468">
        <v>413460</v>
      </c>
      <c r="R65" s="603"/>
      <c r="S65" s="469">
        <v>2297</v>
      </c>
    </row>
    <row r="66" spans="1:19" ht="14.4" customHeight="1" x14ac:dyDescent="0.3">
      <c r="A66" s="522" t="s">
        <v>924</v>
      </c>
      <c r="B66" s="465" t="s">
        <v>925</v>
      </c>
      <c r="C66" s="465" t="s">
        <v>456</v>
      </c>
      <c r="D66" s="465" t="s">
        <v>919</v>
      </c>
      <c r="E66" s="465" t="s">
        <v>926</v>
      </c>
      <c r="F66" s="465" t="s">
        <v>1047</v>
      </c>
      <c r="G66" s="465" t="s">
        <v>1048</v>
      </c>
      <c r="H66" s="468">
        <v>171</v>
      </c>
      <c r="I66" s="468">
        <v>31806</v>
      </c>
      <c r="J66" s="465">
        <v>1.3392563897427261</v>
      </c>
      <c r="K66" s="465">
        <v>186</v>
      </c>
      <c r="L66" s="468">
        <v>127</v>
      </c>
      <c r="M66" s="468">
        <v>23749</v>
      </c>
      <c r="N66" s="465">
        <v>1</v>
      </c>
      <c r="O66" s="465">
        <v>187</v>
      </c>
      <c r="P66" s="468">
        <v>223</v>
      </c>
      <c r="Q66" s="468">
        <v>41701</v>
      </c>
      <c r="R66" s="603">
        <v>1.7559055118110236</v>
      </c>
      <c r="S66" s="469">
        <v>187</v>
      </c>
    </row>
    <row r="67" spans="1:19" ht="14.4" customHeight="1" x14ac:dyDescent="0.3">
      <c r="A67" s="522" t="s">
        <v>924</v>
      </c>
      <c r="B67" s="465" t="s">
        <v>925</v>
      </c>
      <c r="C67" s="465" t="s">
        <v>456</v>
      </c>
      <c r="D67" s="465" t="s">
        <v>919</v>
      </c>
      <c r="E67" s="465" t="s">
        <v>926</v>
      </c>
      <c r="F67" s="465" t="s">
        <v>1049</v>
      </c>
      <c r="G67" s="465" t="s">
        <v>1050</v>
      </c>
      <c r="H67" s="468">
        <v>3341</v>
      </c>
      <c r="I67" s="468">
        <v>1921075</v>
      </c>
      <c r="J67" s="465">
        <v>1.9390695655684755</v>
      </c>
      <c r="K67" s="465">
        <v>575</v>
      </c>
      <c r="L67" s="468">
        <v>1720</v>
      </c>
      <c r="M67" s="468">
        <v>990720</v>
      </c>
      <c r="N67" s="465">
        <v>1</v>
      </c>
      <c r="O67" s="465">
        <v>576</v>
      </c>
      <c r="P67" s="468">
        <v>3790</v>
      </c>
      <c r="Q67" s="468">
        <v>2183040</v>
      </c>
      <c r="R67" s="603">
        <v>2.2034883720930232</v>
      </c>
      <c r="S67" s="469">
        <v>576</v>
      </c>
    </row>
    <row r="68" spans="1:19" ht="14.4" customHeight="1" x14ac:dyDescent="0.3">
      <c r="A68" s="522" t="s">
        <v>924</v>
      </c>
      <c r="B68" s="465" t="s">
        <v>925</v>
      </c>
      <c r="C68" s="465" t="s">
        <v>456</v>
      </c>
      <c r="D68" s="465" t="s">
        <v>919</v>
      </c>
      <c r="E68" s="465" t="s">
        <v>926</v>
      </c>
      <c r="F68" s="465" t="s">
        <v>1051</v>
      </c>
      <c r="G68" s="465" t="s">
        <v>1052</v>
      </c>
      <c r="H68" s="468">
        <v>58</v>
      </c>
      <c r="I68" s="468">
        <v>10034</v>
      </c>
      <c r="J68" s="465"/>
      <c r="K68" s="465">
        <v>173</v>
      </c>
      <c r="L68" s="468"/>
      <c r="M68" s="468"/>
      <c r="N68" s="465"/>
      <c r="O68" s="465"/>
      <c r="P68" s="468">
        <v>56</v>
      </c>
      <c r="Q68" s="468">
        <v>10024</v>
      </c>
      <c r="R68" s="603"/>
      <c r="S68" s="469">
        <v>179</v>
      </c>
    </row>
    <row r="69" spans="1:19" ht="14.4" customHeight="1" x14ac:dyDescent="0.3">
      <c r="A69" s="522" t="s">
        <v>924</v>
      </c>
      <c r="B69" s="465" t="s">
        <v>925</v>
      </c>
      <c r="C69" s="465" t="s">
        <v>456</v>
      </c>
      <c r="D69" s="465" t="s">
        <v>919</v>
      </c>
      <c r="E69" s="465" t="s">
        <v>926</v>
      </c>
      <c r="F69" s="465" t="s">
        <v>1053</v>
      </c>
      <c r="G69" s="465" t="s">
        <v>1054</v>
      </c>
      <c r="H69" s="468">
        <v>53</v>
      </c>
      <c r="I69" s="468">
        <v>74041</v>
      </c>
      <c r="J69" s="465">
        <v>1.6538822373123661</v>
      </c>
      <c r="K69" s="465">
        <v>1397</v>
      </c>
      <c r="L69" s="468">
        <v>32</v>
      </c>
      <c r="M69" s="468">
        <v>44768</v>
      </c>
      <c r="N69" s="465">
        <v>1</v>
      </c>
      <c r="O69" s="465">
        <v>1399</v>
      </c>
      <c r="P69" s="468">
        <v>71</v>
      </c>
      <c r="Q69" s="468">
        <v>99329</v>
      </c>
      <c r="R69" s="603">
        <v>2.21875</v>
      </c>
      <c r="S69" s="469">
        <v>1399</v>
      </c>
    </row>
    <row r="70" spans="1:19" ht="14.4" customHeight="1" x14ac:dyDescent="0.3">
      <c r="A70" s="522" t="s">
        <v>924</v>
      </c>
      <c r="B70" s="465" t="s">
        <v>925</v>
      </c>
      <c r="C70" s="465" t="s">
        <v>456</v>
      </c>
      <c r="D70" s="465" t="s">
        <v>919</v>
      </c>
      <c r="E70" s="465" t="s">
        <v>926</v>
      </c>
      <c r="F70" s="465" t="s">
        <v>1055</v>
      </c>
      <c r="G70" s="465" t="s">
        <v>1056</v>
      </c>
      <c r="H70" s="468">
        <v>2</v>
      </c>
      <c r="I70" s="468">
        <v>2036</v>
      </c>
      <c r="J70" s="465">
        <v>0.99608610567514677</v>
      </c>
      <c r="K70" s="465">
        <v>1018</v>
      </c>
      <c r="L70" s="468">
        <v>2</v>
      </c>
      <c r="M70" s="468">
        <v>2044</v>
      </c>
      <c r="N70" s="465">
        <v>1</v>
      </c>
      <c r="O70" s="465">
        <v>1022</v>
      </c>
      <c r="P70" s="468">
        <v>6</v>
      </c>
      <c r="Q70" s="468">
        <v>6132</v>
      </c>
      <c r="R70" s="603">
        <v>3</v>
      </c>
      <c r="S70" s="469">
        <v>1022</v>
      </c>
    </row>
    <row r="71" spans="1:19" ht="14.4" customHeight="1" x14ac:dyDescent="0.3">
      <c r="A71" s="522" t="s">
        <v>924</v>
      </c>
      <c r="B71" s="465" t="s">
        <v>925</v>
      </c>
      <c r="C71" s="465" t="s">
        <v>456</v>
      </c>
      <c r="D71" s="465" t="s">
        <v>919</v>
      </c>
      <c r="E71" s="465" t="s">
        <v>926</v>
      </c>
      <c r="F71" s="465" t="s">
        <v>1057</v>
      </c>
      <c r="G71" s="465" t="s">
        <v>1058</v>
      </c>
      <c r="H71" s="468">
        <v>51</v>
      </c>
      <c r="I71" s="468">
        <v>9639</v>
      </c>
      <c r="J71" s="465">
        <v>2.536578947368421</v>
      </c>
      <c r="K71" s="465">
        <v>189</v>
      </c>
      <c r="L71" s="468">
        <v>20</v>
      </c>
      <c r="M71" s="468">
        <v>3800</v>
      </c>
      <c r="N71" s="465">
        <v>1</v>
      </c>
      <c r="O71" s="465">
        <v>190</v>
      </c>
      <c r="P71" s="468">
        <v>64</v>
      </c>
      <c r="Q71" s="468">
        <v>12160</v>
      </c>
      <c r="R71" s="603">
        <v>3.2</v>
      </c>
      <c r="S71" s="469">
        <v>190</v>
      </c>
    </row>
    <row r="72" spans="1:19" ht="14.4" customHeight="1" x14ac:dyDescent="0.3">
      <c r="A72" s="522" t="s">
        <v>924</v>
      </c>
      <c r="B72" s="465" t="s">
        <v>925</v>
      </c>
      <c r="C72" s="465" t="s">
        <v>456</v>
      </c>
      <c r="D72" s="465" t="s">
        <v>919</v>
      </c>
      <c r="E72" s="465" t="s">
        <v>926</v>
      </c>
      <c r="F72" s="465" t="s">
        <v>1059</v>
      </c>
      <c r="G72" s="465" t="s">
        <v>1060</v>
      </c>
      <c r="H72" s="468">
        <v>57</v>
      </c>
      <c r="I72" s="468">
        <v>46284</v>
      </c>
      <c r="J72" s="465">
        <v>2.5877222408587723</v>
      </c>
      <c r="K72" s="465">
        <v>812</v>
      </c>
      <c r="L72" s="468">
        <v>22</v>
      </c>
      <c r="M72" s="468">
        <v>17886</v>
      </c>
      <c r="N72" s="465">
        <v>1</v>
      </c>
      <c r="O72" s="465">
        <v>813</v>
      </c>
      <c r="P72" s="468">
        <v>129</v>
      </c>
      <c r="Q72" s="468">
        <v>105006</v>
      </c>
      <c r="R72" s="603">
        <v>5.8708487084870846</v>
      </c>
      <c r="S72" s="469">
        <v>814</v>
      </c>
    </row>
    <row r="73" spans="1:19" ht="14.4" customHeight="1" x14ac:dyDescent="0.3">
      <c r="A73" s="522" t="s">
        <v>924</v>
      </c>
      <c r="B73" s="465" t="s">
        <v>925</v>
      </c>
      <c r="C73" s="465" t="s">
        <v>456</v>
      </c>
      <c r="D73" s="465" t="s">
        <v>919</v>
      </c>
      <c r="E73" s="465" t="s">
        <v>926</v>
      </c>
      <c r="F73" s="465" t="s">
        <v>1061</v>
      </c>
      <c r="G73" s="465" t="s">
        <v>1062</v>
      </c>
      <c r="H73" s="468"/>
      <c r="I73" s="468"/>
      <c r="J73" s="465"/>
      <c r="K73" s="465"/>
      <c r="L73" s="468"/>
      <c r="M73" s="468"/>
      <c r="N73" s="465"/>
      <c r="O73" s="465"/>
      <c r="P73" s="468">
        <v>1</v>
      </c>
      <c r="Q73" s="468">
        <v>338</v>
      </c>
      <c r="R73" s="603"/>
      <c r="S73" s="469">
        <v>338</v>
      </c>
    </row>
    <row r="74" spans="1:19" ht="14.4" customHeight="1" x14ac:dyDescent="0.3">
      <c r="A74" s="522" t="s">
        <v>924</v>
      </c>
      <c r="B74" s="465" t="s">
        <v>925</v>
      </c>
      <c r="C74" s="465" t="s">
        <v>456</v>
      </c>
      <c r="D74" s="465" t="s">
        <v>919</v>
      </c>
      <c r="E74" s="465" t="s">
        <v>926</v>
      </c>
      <c r="F74" s="465" t="s">
        <v>1063</v>
      </c>
      <c r="G74" s="465" t="s">
        <v>1064</v>
      </c>
      <c r="H74" s="468">
        <v>1</v>
      </c>
      <c r="I74" s="468">
        <v>258</v>
      </c>
      <c r="J74" s="465">
        <v>0.99230769230769234</v>
      </c>
      <c r="K74" s="465">
        <v>258</v>
      </c>
      <c r="L74" s="468">
        <v>1</v>
      </c>
      <c r="M74" s="468">
        <v>260</v>
      </c>
      <c r="N74" s="465">
        <v>1</v>
      </c>
      <c r="O74" s="465">
        <v>260</v>
      </c>
      <c r="P74" s="468">
        <v>4</v>
      </c>
      <c r="Q74" s="468">
        <v>1040</v>
      </c>
      <c r="R74" s="603">
        <v>4</v>
      </c>
      <c r="S74" s="469">
        <v>260</v>
      </c>
    </row>
    <row r="75" spans="1:19" ht="14.4" customHeight="1" x14ac:dyDescent="0.3">
      <c r="A75" s="522" t="s">
        <v>924</v>
      </c>
      <c r="B75" s="465" t="s">
        <v>925</v>
      </c>
      <c r="C75" s="465" t="s">
        <v>456</v>
      </c>
      <c r="D75" s="465" t="s">
        <v>919</v>
      </c>
      <c r="E75" s="465" t="s">
        <v>926</v>
      </c>
      <c r="F75" s="465" t="s">
        <v>1065</v>
      </c>
      <c r="G75" s="465" t="s">
        <v>984</v>
      </c>
      <c r="H75" s="468">
        <v>13</v>
      </c>
      <c r="I75" s="468">
        <v>31525</v>
      </c>
      <c r="J75" s="465">
        <v>6.4946435929130617</v>
      </c>
      <c r="K75" s="465">
        <v>2425</v>
      </c>
      <c r="L75" s="468">
        <v>2</v>
      </c>
      <c r="M75" s="468">
        <v>4854</v>
      </c>
      <c r="N75" s="465">
        <v>1</v>
      </c>
      <c r="O75" s="465">
        <v>2427</v>
      </c>
      <c r="P75" s="468">
        <v>9</v>
      </c>
      <c r="Q75" s="468">
        <v>21843</v>
      </c>
      <c r="R75" s="603">
        <v>4.5</v>
      </c>
      <c r="S75" s="469">
        <v>2427</v>
      </c>
    </row>
    <row r="76" spans="1:19" ht="14.4" customHeight="1" x14ac:dyDescent="0.3">
      <c r="A76" s="522" t="s">
        <v>924</v>
      </c>
      <c r="B76" s="465" t="s">
        <v>925</v>
      </c>
      <c r="C76" s="465" t="s">
        <v>456</v>
      </c>
      <c r="D76" s="465" t="s">
        <v>919</v>
      </c>
      <c r="E76" s="465" t="s">
        <v>926</v>
      </c>
      <c r="F76" s="465" t="s">
        <v>1066</v>
      </c>
      <c r="G76" s="465" t="s">
        <v>1067</v>
      </c>
      <c r="H76" s="468">
        <v>23</v>
      </c>
      <c r="I76" s="468">
        <v>93380</v>
      </c>
      <c r="J76" s="465"/>
      <c r="K76" s="465">
        <v>4060</v>
      </c>
      <c r="L76" s="468"/>
      <c r="M76" s="468"/>
      <c r="N76" s="465"/>
      <c r="O76" s="465"/>
      <c r="P76" s="468">
        <v>31</v>
      </c>
      <c r="Q76" s="468">
        <v>126604</v>
      </c>
      <c r="R76" s="603"/>
      <c r="S76" s="469">
        <v>4084</v>
      </c>
    </row>
    <row r="77" spans="1:19" ht="14.4" customHeight="1" x14ac:dyDescent="0.3">
      <c r="A77" s="522" t="s">
        <v>924</v>
      </c>
      <c r="B77" s="465" t="s">
        <v>925</v>
      </c>
      <c r="C77" s="465" t="s">
        <v>456</v>
      </c>
      <c r="D77" s="465" t="s">
        <v>919</v>
      </c>
      <c r="E77" s="465" t="s">
        <v>926</v>
      </c>
      <c r="F77" s="465" t="s">
        <v>1068</v>
      </c>
      <c r="G77" s="465" t="s">
        <v>1069</v>
      </c>
      <c r="H77" s="468">
        <v>11</v>
      </c>
      <c r="I77" s="468">
        <v>37389</v>
      </c>
      <c r="J77" s="465"/>
      <c r="K77" s="465">
        <v>3399</v>
      </c>
      <c r="L77" s="468"/>
      <c r="M77" s="468"/>
      <c r="N77" s="465"/>
      <c r="O77" s="465"/>
      <c r="P77" s="468">
        <v>6</v>
      </c>
      <c r="Q77" s="468">
        <v>20754</v>
      </c>
      <c r="R77" s="603"/>
      <c r="S77" s="469">
        <v>3459</v>
      </c>
    </row>
    <row r="78" spans="1:19" ht="14.4" customHeight="1" x14ac:dyDescent="0.3">
      <c r="A78" s="522" t="s">
        <v>924</v>
      </c>
      <c r="B78" s="465" t="s">
        <v>925</v>
      </c>
      <c r="C78" s="465" t="s">
        <v>456</v>
      </c>
      <c r="D78" s="465" t="s">
        <v>919</v>
      </c>
      <c r="E78" s="465" t="s">
        <v>926</v>
      </c>
      <c r="F78" s="465" t="s">
        <v>1070</v>
      </c>
      <c r="G78" s="465" t="s">
        <v>1071</v>
      </c>
      <c r="H78" s="468"/>
      <c r="I78" s="468"/>
      <c r="J78" s="465"/>
      <c r="K78" s="465"/>
      <c r="L78" s="468"/>
      <c r="M78" s="468"/>
      <c r="N78" s="465"/>
      <c r="O78" s="465"/>
      <c r="P78" s="468">
        <v>9</v>
      </c>
      <c r="Q78" s="468">
        <v>2277</v>
      </c>
      <c r="R78" s="603"/>
      <c r="S78" s="469">
        <v>253</v>
      </c>
    </row>
    <row r="79" spans="1:19" ht="14.4" customHeight="1" x14ac:dyDescent="0.3">
      <c r="A79" s="522" t="s">
        <v>924</v>
      </c>
      <c r="B79" s="465" t="s">
        <v>925</v>
      </c>
      <c r="C79" s="465" t="s">
        <v>456</v>
      </c>
      <c r="D79" s="465" t="s">
        <v>919</v>
      </c>
      <c r="E79" s="465" t="s">
        <v>926</v>
      </c>
      <c r="F79" s="465" t="s">
        <v>1072</v>
      </c>
      <c r="G79" s="465" t="s">
        <v>1073</v>
      </c>
      <c r="H79" s="468"/>
      <c r="I79" s="468"/>
      <c r="J79" s="465"/>
      <c r="K79" s="465"/>
      <c r="L79" s="468"/>
      <c r="M79" s="468"/>
      <c r="N79" s="465"/>
      <c r="O79" s="465"/>
      <c r="P79" s="468">
        <v>9</v>
      </c>
      <c r="Q79" s="468">
        <v>3816</v>
      </c>
      <c r="R79" s="603"/>
      <c r="S79" s="469">
        <v>424</v>
      </c>
    </row>
    <row r="80" spans="1:19" ht="14.4" customHeight="1" x14ac:dyDescent="0.3">
      <c r="A80" s="522" t="s">
        <v>924</v>
      </c>
      <c r="B80" s="465" t="s">
        <v>925</v>
      </c>
      <c r="C80" s="465" t="s">
        <v>456</v>
      </c>
      <c r="D80" s="465" t="s">
        <v>919</v>
      </c>
      <c r="E80" s="465" t="s">
        <v>926</v>
      </c>
      <c r="F80" s="465" t="s">
        <v>1074</v>
      </c>
      <c r="G80" s="465" t="s">
        <v>1075</v>
      </c>
      <c r="H80" s="468"/>
      <c r="I80" s="468"/>
      <c r="J80" s="465"/>
      <c r="K80" s="465"/>
      <c r="L80" s="468"/>
      <c r="M80" s="468"/>
      <c r="N80" s="465"/>
      <c r="O80" s="465"/>
      <c r="P80" s="468">
        <v>88</v>
      </c>
      <c r="Q80" s="468">
        <v>674784</v>
      </c>
      <c r="R80" s="603"/>
      <c r="S80" s="469">
        <v>7668</v>
      </c>
    </row>
    <row r="81" spans="1:19" ht="14.4" customHeight="1" x14ac:dyDescent="0.3">
      <c r="A81" s="522" t="s">
        <v>924</v>
      </c>
      <c r="B81" s="465" t="s">
        <v>925</v>
      </c>
      <c r="C81" s="465" t="s">
        <v>456</v>
      </c>
      <c r="D81" s="465" t="s">
        <v>919</v>
      </c>
      <c r="E81" s="465" t="s">
        <v>926</v>
      </c>
      <c r="F81" s="465" t="s">
        <v>1076</v>
      </c>
      <c r="G81" s="465" t="s">
        <v>1077</v>
      </c>
      <c r="H81" s="468"/>
      <c r="I81" s="468"/>
      <c r="J81" s="465"/>
      <c r="K81" s="465"/>
      <c r="L81" s="468"/>
      <c r="M81" s="468"/>
      <c r="N81" s="465"/>
      <c r="O81" s="465"/>
      <c r="P81" s="468">
        <v>53</v>
      </c>
      <c r="Q81" s="468">
        <v>831676</v>
      </c>
      <c r="R81" s="603"/>
      <c r="S81" s="469">
        <v>15692</v>
      </c>
    </row>
    <row r="82" spans="1:19" ht="14.4" customHeight="1" x14ac:dyDescent="0.3">
      <c r="A82" s="522" t="s">
        <v>924</v>
      </c>
      <c r="B82" s="465" t="s">
        <v>925</v>
      </c>
      <c r="C82" s="465" t="s">
        <v>920</v>
      </c>
      <c r="D82" s="465" t="s">
        <v>919</v>
      </c>
      <c r="E82" s="465" t="s">
        <v>926</v>
      </c>
      <c r="F82" s="465" t="s">
        <v>1078</v>
      </c>
      <c r="G82" s="465" t="s">
        <v>1079</v>
      </c>
      <c r="H82" s="468">
        <v>140</v>
      </c>
      <c r="I82" s="468">
        <v>145180</v>
      </c>
      <c r="J82" s="465">
        <v>2.3310854206807963</v>
      </c>
      <c r="K82" s="465">
        <v>1037</v>
      </c>
      <c r="L82" s="468">
        <v>60</v>
      </c>
      <c r="M82" s="468">
        <v>62280</v>
      </c>
      <c r="N82" s="465">
        <v>1</v>
      </c>
      <c r="O82" s="465">
        <v>1038</v>
      </c>
      <c r="P82" s="468">
        <v>150</v>
      </c>
      <c r="Q82" s="468">
        <v>155700</v>
      </c>
      <c r="R82" s="603">
        <v>2.5</v>
      </c>
      <c r="S82" s="469">
        <v>1038</v>
      </c>
    </row>
    <row r="83" spans="1:19" ht="14.4" customHeight="1" thickBot="1" x14ac:dyDescent="0.35">
      <c r="A83" s="528" t="s">
        <v>924</v>
      </c>
      <c r="B83" s="529" t="s">
        <v>925</v>
      </c>
      <c r="C83" s="529" t="s">
        <v>920</v>
      </c>
      <c r="D83" s="529" t="s">
        <v>919</v>
      </c>
      <c r="E83" s="529" t="s">
        <v>926</v>
      </c>
      <c r="F83" s="529" t="s">
        <v>973</v>
      </c>
      <c r="G83" s="529" t="s">
        <v>974</v>
      </c>
      <c r="H83" s="532">
        <v>70</v>
      </c>
      <c r="I83" s="532">
        <v>15330</v>
      </c>
      <c r="J83" s="529">
        <v>2.3122171945701355</v>
      </c>
      <c r="K83" s="529">
        <v>219</v>
      </c>
      <c r="L83" s="532">
        <v>30</v>
      </c>
      <c r="M83" s="532">
        <v>6630</v>
      </c>
      <c r="N83" s="529">
        <v>1</v>
      </c>
      <c r="O83" s="529">
        <v>221</v>
      </c>
      <c r="P83" s="532">
        <v>76</v>
      </c>
      <c r="Q83" s="532">
        <v>16796</v>
      </c>
      <c r="R83" s="604">
        <v>2.5333333333333332</v>
      </c>
      <c r="S83" s="533">
        <v>221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8" bestFit="1" customWidth="1" collapsed="1"/>
    <col min="2" max="2" width="7.77734375" style="95" hidden="1" customWidth="1" outlineLevel="1"/>
    <col min="3" max="3" width="0.109375" style="118" hidden="1" customWidth="1"/>
    <col min="4" max="4" width="7.77734375" style="95" customWidth="1"/>
    <col min="5" max="5" width="5.44140625" style="118" hidden="1" customWidth="1"/>
    <col min="6" max="6" width="7.77734375" style="95" customWidth="1"/>
    <col min="7" max="7" width="7.77734375" style="199" customWidth="1" collapsed="1"/>
    <col min="8" max="8" width="7.77734375" style="95" hidden="1" customWidth="1" outlineLevel="1"/>
    <col min="9" max="9" width="5.44140625" style="118" hidden="1" customWidth="1"/>
    <col min="10" max="10" width="7.77734375" style="95" customWidth="1"/>
    <col min="11" max="11" width="5.44140625" style="118" hidden="1" customWidth="1"/>
    <col min="12" max="12" width="7.77734375" style="95" customWidth="1"/>
    <col min="13" max="13" width="7.77734375" style="199" customWidth="1" collapsed="1"/>
    <col min="14" max="14" width="7.77734375" style="95" hidden="1" customWidth="1" outlineLevel="1"/>
    <col min="15" max="15" width="5" style="118" hidden="1" customWidth="1"/>
    <col min="16" max="16" width="7.77734375" style="95" customWidth="1"/>
    <col min="17" max="17" width="5" style="118" hidden="1" customWidth="1"/>
    <col min="18" max="18" width="7.77734375" style="95" customWidth="1"/>
    <col min="19" max="19" width="7.77734375" style="199" customWidth="1"/>
    <col min="20" max="16384" width="8.88671875" style="118"/>
  </cols>
  <sheetData>
    <row r="1" spans="1:19" ht="18.600000000000001" customHeight="1" thickBot="1" x14ac:dyDescent="0.4">
      <c r="A1" s="347" t="s">
        <v>127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</row>
    <row r="2" spans="1:19" ht="14.4" customHeight="1" thickBot="1" x14ac:dyDescent="0.35">
      <c r="A2" s="224" t="s">
        <v>282</v>
      </c>
      <c r="B2" s="215"/>
      <c r="C2" s="100"/>
      <c r="D2" s="215"/>
      <c r="E2" s="100"/>
      <c r="F2" s="215"/>
      <c r="G2" s="216"/>
      <c r="H2" s="215"/>
      <c r="I2" s="100"/>
      <c r="J2" s="215"/>
      <c r="K2" s="100"/>
      <c r="L2" s="215"/>
      <c r="M2" s="216"/>
      <c r="N2" s="215"/>
      <c r="O2" s="100"/>
      <c r="P2" s="215"/>
      <c r="Q2" s="100"/>
      <c r="R2" s="215"/>
      <c r="S2" s="216"/>
    </row>
    <row r="3" spans="1:19" ht="14.4" customHeight="1" thickBot="1" x14ac:dyDescent="0.35">
      <c r="A3" s="209" t="s">
        <v>128</v>
      </c>
      <c r="B3" s="210">
        <f>SUBTOTAL(9,B6:B1048576)</f>
        <v>1864264</v>
      </c>
      <c r="C3" s="211">
        <f t="shared" ref="C3:R3" si="0">SUBTOTAL(9,C6:C1048576)</f>
        <v>20.52359787469047</v>
      </c>
      <c r="D3" s="211">
        <f t="shared" si="0"/>
        <v>1032527</v>
      </c>
      <c r="E3" s="211">
        <f t="shared" si="0"/>
        <v>14</v>
      </c>
      <c r="F3" s="211">
        <f t="shared" si="0"/>
        <v>2157076</v>
      </c>
      <c r="G3" s="214">
        <f>IF(D3&lt;&gt;0,F3/D3,"")</f>
        <v>2.089123093149138</v>
      </c>
      <c r="H3" s="210">
        <f t="shared" si="0"/>
        <v>0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2" t="str">
        <f>IF(J3&lt;&gt;0,L3/J3,"")</f>
        <v/>
      </c>
      <c r="N3" s="213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2" t="str">
        <f>IF(P3&lt;&gt;0,R3/P3,"")</f>
        <v/>
      </c>
    </row>
    <row r="4" spans="1:19" ht="14.4" customHeight="1" x14ac:dyDescent="0.3">
      <c r="A4" s="399" t="s">
        <v>105</v>
      </c>
      <c r="B4" s="400" t="s">
        <v>99</v>
      </c>
      <c r="C4" s="401"/>
      <c r="D4" s="401"/>
      <c r="E4" s="401"/>
      <c r="F4" s="401"/>
      <c r="G4" s="403"/>
      <c r="H4" s="400" t="s">
        <v>100</v>
      </c>
      <c r="I4" s="401"/>
      <c r="J4" s="401"/>
      <c r="K4" s="401"/>
      <c r="L4" s="401"/>
      <c r="M4" s="403"/>
      <c r="N4" s="400" t="s">
        <v>101</v>
      </c>
      <c r="O4" s="401"/>
      <c r="P4" s="401"/>
      <c r="Q4" s="401"/>
      <c r="R4" s="401"/>
      <c r="S4" s="403"/>
    </row>
    <row r="5" spans="1:19" ht="14.4" customHeight="1" thickBot="1" x14ac:dyDescent="0.35">
      <c r="A5" s="567"/>
      <c r="B5" s="568">
        <v>2015</v>
      </c>
      <c r="C5" s="569"/>
      <c r="D5" s="569">
        <v>2016</v>
      </c>
      <c r="E5" s="569"/>
      <c r="F5" s="569">
        <v>2017</v>
      </c>
      <c r="G5" s="606" t="s">
        <v>2</v>
      </c>
      <c r="H5" s="568">
        <v>2015</v>
      </c>
      <c r="I5" s="569"/>
      <c r="J5" s="569">
        <v>2016</v>
      </c>
      <c r="K5" s="569"/>
      <c r="L5" s="569">
        <v>2017</v>
      </c>
      <c r="M5" s="606" t="s">
        <v>2</v>
      </c>
      <c r="N5" s="568">
        <v>2015</v>
      </c>
      <c r="O5" s="569"/>
      <c r="P5" s="569">
        <v>2016</v>
      </c>
      <c r="Q5" s="569"/>
      <c r="R5" s="569">
        <v>2017</v>
      </c>
      <c r="S5" s="606" t="s">
        <v>2</v>
      </c>
    </row>
    <row r="6" spans="1:19" ht="14.4" customHeight="1" x14ac:dyDescent="0.3">
      <c r="A6" s="612" t="s">
        <v>1082</v>
      </c>
      <c r="B6" s="607">
        <v>64283</v>
      </c>
      <c r="C6" s="518">
        <v>1.4443345990518346</v>
      </c>
      <c r="D6" s="607">
        <v>44507</v>
      </c>
      <c r="E6" s="518">
        <v>1</v>
      </c>
      <c r="F6" s="607">
        <v>70355</v>
      </c>
      <c r="G6" s="602">
        <v>1.5807625766733322</v>
      </c>
      <c r="H6" s="607"/>
      <c r="I6" s="518"/>
      <c r="J6" s="607"/>
      <c r="K6" s="518"/>
      <c r="L6" s="607"/>
      <c r="M6" s="602"/>
      <c r="N6" s="607"/>
      <c r="O6" s="518"/>
      <c r="P6" s="607"/>
      <c r="Q6" s="518"/>
      <c r="R6" s="607"/>
      <c r="S6" s="111"/>
    </row>
    <row r="7" spans="1:19" ht="14.4" customHeight="1" x14ac:dyDescent="0.3">
      <c r="A7" s="613" t="s">
        <v>1083</v>
      </c>
      <c r="B7" s="608">
        <v>54216</v>
      </c>
      <c r="C7" s="465">
        <v>2.9642427556041553</v>
      </c>
      <c r="D7" s="608">
        <v>18290</v>
      </c>
      <c r="E7" s="465">
        <v>1</v>
      </c>
      <c r="F7" s="608">
        <v>27195</v>
      </c>
      <c r="G7" s="603">
        <v>1.4868780754510662</v>
      </c>
      <c r="H7" s="608"/>
      <c r="I7" s="465"/>
      <c r="J7" s="608"/>
      <c r="K7" s="465"/>
      <c r="L7" s="608"/>
      <c r="M7" s="603"/>
      <c r="N7" s="608"/>
      <c r="O7" s="465"/>
      <c r="P7" s="608"/>
      <c r="Q7" s="465"/>
      <c r="R7" s="608"/>
      <c r="S7" s="609"/>
    </row>
    <row r="8" spans="1:19" ht="14.4" customHeight="1" x14ac:dyDescent="0.3">
      <c r="A8" s="613" t="s">
        <v>1084</v>
      </c>
      <c r="B8" s="608">
        <v>378079</v>
      </c>
      <c r="C8" s="465">
        <v>2.5405632421027167</v>
      </c>
      <c r="D8" s="608">
        <v>148817</v>
      </c>
      <c r="E8" s="465">
        <v>1</v>
      </c>
      <c r="F8" s="608">
        <v>347783</v>
      </c>
      <c r="G8" s="603">
        <v>2.3369843499062606</v>
      </c>
      <c r="H8" s="608"/>
      <c r="I8" s="465"/>
      <c r="J8" s="608"/>
      <c r="K8" s="465"/>
      <c r="L8" s="608"/>
      <c r="M8" s="603"/>
      <c r="N8" s="608"/>
      <c r="O8" s="465"/>
      <c r="P8" s="608"/>
      <c r="Q8" s="465"/>
      <c r="R8" s="608"/>
      <c r="S8" s="609"/>
    </row>
    <row r="9" spans="1:19" ht="14.4" customHeight="1" x14ac:dyDescent="0.3">
      <c r="A9" s="613" t="s">
        <v>1085</v>
      </c>
      <c r="B9" s="608"/>
      <c r="C9" s="465"/>
      <c r="D9" s="608"/>
      <c r="E9" s="465"/>
      <c r="F9" s="608">
        <v>1686</v>
      </c>
      <c r="G9" s="603"/>
      <c r="H9" s="608"/>
      <c r="I9" s="465"/>
      <c r="J9" s="608"/>
      <c r="K9" s="465"/>
      <c r="L9" s="608"/>
      <c r="M9" s="603"/>
      <c r="N9" s="608"/>
      <c r="O9" s="465"/>
      <c r="P9" s="608"/>
      <c r="Q9" s="465"/>
      <c r="R9" s="608"/>
      <c r="S9" s="609"/>
    </row>
    <row r="10" spans="1:19" ht="14.4" customHeight="1" x14ac:dyDescent="0.3">
      <c r="A10" s="613" t="s">
        <v>1086</v>
      </c>
      <c r="B10" s="608">
        <v>4904</v>
      </c>
      <c r="C10" s="465">
        <v>1.8789272030651341</v>
      </c>
      <c r="D10" s="608">
        <v>2610</v>
      </c>
      <c r="E10" s="465">
        <v>1</v>
      </c>
      <c r="F10" s="608">
        <v>38917</v>
      </c>
      <c r="G10" s="603">
        <v>14.91072796934866</v>
      </c>
      <c r="H10" s="608"/>
      <c r="I10" s="465"/>
      <c r="J10" s="608"/>
      <c r="K10" s="465"/>
      <c r="L10" s="608"/>
      <c r="M10" s="603"/>
      <c r="N10" s="608"/>
      <c r="O10" s="465"/>
      <c r="P10" s="608"/>
      <c r="Q10" s="465"/>
      <c r="R10" s="608"/>
      <c r="S10" s="609"/>
    </row>
    <row r="11" spans="1:19" ht="14.4" customHeight="1" x14ac:dyDescent="0.3">
      <c r="A11" s="613" t="s">
        <v>1087</v>
      </c>
      <c r="B11" s="608">
        <v>4838</v>
      </c>
      <c r="C11" s="465">
        <v>0.47463945845187872</v>
      </c>
      <c r="D11" s="608">
        <v>10193</v>
      </c>
      <c r="E11" s="465">
        <v>1</v>
      </c>
      <c r="F11" s="608">
        <v>15501</v>
      </c>
      <c r="G11" s="603">
        <v>1.5207495339939174</v>
      </c>
      <c r="H11" s="608"/>
      <c r="I11" s="465"/>
      <c r="J11" s="608"/>
      <c r="K11" s="465"/>
      <c r="L11" s="608"/>
      <c r="M11" s="603"/>
      <c r="N11" s="608"/>
      <c r="O11" s="465"/>
      <c r="P11" s="608"/>
      <c r="Q11" s="465"/>
      <c r="R11" s="608"/>
      <c r="S11" s="609"/>
    </row>
    <row r="12" spans="1:19" ht="14.4" customHeight="1" x14ac:dyDescent="0.3">
      <c r="A12" s="613" t="s">
        <v>1088</v>
      </c>
      <c r="B12" s="608"/>
      <c r="C12" s="465"/>
      <c r="D12" s="608">
        <v>9129</v>
      </c>
      <c r="E12" s="465">
        <v>1</v>
      </c>
      <c r="F12" s="608">
        <v>17814</v>
      </c>
      <c r="G12" s="603">
        <v>1.9513637857377588</v>
      </c>
      <c r="H12" s="608"/>
      <c r="I12" s="465"/>
      <c r="J12" s="608"/>
      <c r="K12" s="465"/>
      <c r="L12" s="608"/>
      <c r="M12" s="603"/>
      <c r="N12" s="608"/>
      <c r="O12" s="465"/>
      <c r="P12" s="608"/>
      <c r="Q12" s="465"/>
      <c r="R12" s="608"/>
      <c r="S12" s="609"/>
    </row>
    <row r="13" spans="1:19" ht="14.4" customHeight="1" x14ac:dyDescent="0.3">
      <c r="A13" s="613" t="s">
        <v>1089</v>
      </c>
      <c r="B13" s="608">
        <v>22087</v>
      </c>
      <c r="C13" s="465">
        <v>1.0819535612814735</v>
      </c>
      <c r="D13" s="608">
        <v>20414</v>
      </c>
      <c r="E13" s="465">
        <v>1</v>
      </c>
      <c r="F13" s="608">
        <v>6039</v>
      </c>
      <c r="G13" s="603">
        <v>0.29582639365141572</v>
      </c>
      <c r="H13" s="608"/>
      <c r="I13" s="465"/>
      <c r="J13" s="608"/>
      <c r="K13" s="465"/>
      <c r="L13" s="608"/>
      <c r="M13" s="603"/>
      <c r="N13" s="608"/>
      <c r="O13" s="465"/>
      <c r="P13" s="608"/>
      <c r="Q13" s="465"/>
      <c r="R13" s="608"/>
      <c r="S13" s="609"/>
    </row>
    <row r="14" spans="1:19" ht="14.4" customHeight="1" x14ac:dyDescent="0.3">
      <c r="A14" s="613" t="s">
        <v>1090</v>
      </c>
      <c r="B14" s="608">
        <v>95383</v>
      </c>
      <c r="C14" s="465">
        <v>0.68918850569729551</v>
      </c>
      <c r="D14" s="608">
        <v>138399</v>
      </c>
      <c r="E14" s="465">
        <v>1</v>
      </c>
      <c r="F14" s="608">
        <v>337673</v>
      </c>
      <c r="G14" s="603">
        <v>2.4398514440133239</v>
      </c>
      <c r="H14" s="608"/>
      <c r="I14" s="465"/>
      <c r="J14" s="608"/>
      <c r="K14" s="465"/>
      <c r="L14" s="608"/>
      <c r="M14" s="603"/>
      <c r="N14" s="608"/>
      <c r="O14" s="465"/>
      <c r="P14" s="608"/>
      <c r="Q14" s="465"/>
      <c r="R14" s="608"/>
      <c r="S14" s="609"/>
    </row>
    <row r="15" spans="1:19" ht="14.4" customHeight="1" x14ac:dyDescent="0.3">
      <c r="A15" s="613" t="s">
        <v>1091</v>
      </c>
      <c r="B15" s="608">
        <v>1184</v>
      </c>
      <c r="C15" s="465">
        <v>0.8849028400597907</v>
      </c>
      <c r="D15" s="608">
        <v>1338</v>
      </c>
      <c r="E15" s="465">
        <v>1</v>
      </c>
      <c r="F15" s="608">
        <v>1483</v>
      </c>
      <c r="G15" s="603">
        <v>1.108370702541106</v>
      </c>
      <c r="H15" s="608"/>
      <c r="I15" s="465"/>
      <c r="J15" s="608"/>
      <c r="K15" s="465"/>
      <c r="L15" s="608"/>
      <c r="M15" s="603"/>
      <c r="N15" s="608"/>
      <c r="O15" s="465"/>
      <c r="P15" s="608"/>
      <c r="Q15" s="465"/>
      <c r="R15" s="608"/>
      <c r="S15" s="609"/>
    </row>
    <row r="16" spans="1:19" ht="14.4" customHeight="1" x14ac:dyDescent="0.3">
      <c r="A16" s="613" t="s">
        <v>1092</v>
      </c>
      <c r="B16" s="608"/>
      <c r="C16" s="465"/>
      <c r="D16" s="608"/>
      <c r="E16" s="465"/>
      <c r="F16" s="608">
        <v>168</v>
      </c>
      <c r="G16" s="603"/>
      <c r="H16" s="608"/>
      <c r="I16" s="465"/>
      <c r="J16" s="608"/>
      <c r="K16" s="465"/>
      <c r="L16" s="608"/>
      <c r="M16" s="603"/>
      <c r="N16" s="608"/>
      <c r="O16" s="465"/>
      <c r="P16" s="608"/>
      <c r="Q16" s="465"/>
      <c r="R16" s="608"/>
      <c r="S16" s="609"/>
    </row>
    <row r="17" spans="1:19" ht="14.4" customHeight="1" x14ac:dyDescent="0.3">
      <c r="A17" s="613" t="s">
        <v>1093</v>
      </c>
      <c r="B17" s="608">
        <v>2973</v>
      </c>
      <c r="C17" s="465"/>
      <c r="D17" s="608"/>
      <c r="E17" s="465"/>
      <c r="F17" s="608"/>
      <c r="G17" s="603"/>
      <c r="H17" s="608"/>
      <c r="I17" s="465"/>
      <c r="J17" s="608"/>
      <c r="K17" s="465"/>
      <c r="L17" s="608"/>
      <c r="M17" s="603"/>
      <c r="N17" s="608"/>
      <c r="O17" s="465"/>
      <c r="P17" s="608"/>
      <c r="Q17" s="465"/>
      <c r="R17" s="608"/>
      <c r="S17" s="609"/>
    </row>
    <row r="18" spans="1:19" ht="14.4" customHeight="1" x14ac:dyDescent="0.3">
      <c r="A18" s="613" t="s">
        <v>1094</v>
      </c>
      <c r="B18" s="608">
        <v>265113</v>
      </c>
      <c r="C18" s="465">
        <v>2.0327789662549169</v>
      </c>
      <c r="D18" s="608">
        <v>130419</v>
      </c>
      <c r="E18" s="465">
        <v>1</v>
      </c>
      <c r="F18" s="608">
        <v>331309</v>
      </c>
      <c r="G18" s="603">
        <v>2.5403430481754961</v>
      </c>
      <c r="H18" s="608"/>
      <c r="I18" s="465"/>
      <c r="J18" s="608"/>
      <c r="K18" s="465"/>
      <c r="L18" s="608"/>
      <c r="M18" s="603"/>
      <c r="N18" s="608"/>
      <c r="O18" s="465"/>
      <c r="P18" s="608"/>
      <c r="Q18" s="465"/>
      <c r="R18" s="608"/>
      <c r="S18" s="609"/>
    </row>
    <row r="19" spans="1:19" ht="14.4" customHeight="1" x14ac:dyDescent="0.3">
      <c r="A19" s="613" t="s">
        <v>1095</v>
      </c>
      <c r="B19" s="608">
        <v>144328</v>
      </c>
      <c r="C19" s="465">
        <v>3.1156204127450136</v>
      </c>
      <c r="D19" s="608">
        <v>46324</v>
      </c>
      <c r="E19" s="465">
        <v>1</v>
      </c>
      <c r="F19" s="608">
        <v>239379</v>
      </c>
      <c r="G19" s="603">
        <v>5.1674941714877818</v>
      </c>
      <c r="H19" s="608"/>
      <c r="I19" s="465"/>
      <c r="J19" s="608"/>
      <c r="K19" s="465"/>
      <c r="L19" s="608"/>
      <c r="M19" s="603"/>
      <c r="N19" s="608"/>
      <c r="O19" s="465"/>
      <c r="P19" s="608"/>
      <c r="Q19" s="465"/>
      <c r="R19" s="608"/>
      <c r="S19" s="609"/>
    </row>
    <row r="20" spans="1:19" ht="14.4" customHeight="1" x14ac:dyDescent="0.3">
      <c r="A20" s="613" t="s">
        <v>1096</v>
      </c>
      <c r="B20" s="608">
        <v>117868</v>
      </c>
      <c r="C20" s="465">
        <v>1.1091266667293993</v>
      </c>
      <c r="D20" s="608">
        <v>106271</v>
      </c>
      <c r="E20" s="465">
        <v>1</v>
      </c>
      <c r="F20" s="608">
        <v>223319</v>
      </c>
      <c r="G20" s="603">
        <v>2.1014105447393927</v>
      </c>
      <c r="H20" s="608"/>
      <c r="I20" s="465"/>
      <c r="J20" s="608"/>
      <c r="K20" s="465"/>
      <c r="L20" s="608"/>
      <c r="M20" s="603"/>
      <c r="N20" s="608"/>
      <c r="O20" s="465"/>
      <c r="P20" s="608"/>
      <c r="Q20" s="465"/>
      <c r="R20" s="608"/>
      <c r="S20" s="609"/>
    </row>
    <row r="21" spans="1:19" ht="14.4" customHeight="1" x14ac:dyDescent="0.3">
      <c r="A21" s="613" t="s">
        <v>1097</v>
      </c>
      <c r="B21" s="608">
        <v>681</v>
      </c>
      <c r="C21" s="465"/>
      <c r="D21" s="608"/>
      <c r="E21" s="465"/>
      <c r="F21" s="608"/>
      <c r="G21" s="603"/>
      <c r="H21" s="608"/>
      <c r="I21" s="465"/>
      <c r="J21" s="608"/>
      <c r="K21" s="465"/>
      <c r="L21" s="608"/>
      <c r="M21" s="603"/>
      <c r="N21" s="608"/>
      <c r="O21" s="465"/>
      <c r="P21" s="608"/>
      <c r="Q21" s="465"/>
      <c r="R21" s="608"/>
      <c r="S21" s="609"/>
    </row>
    <row r="22" spans="1:19" ht="14.4" customHeight="1" x14ac:dyDescent="0.3">
      <c r="A22" s="613" t="s">
        <v>1098</v>
      </c>
      <c r="B22" s="608"/>
      <c r="C22" s="465"/>
      <c r="D22" s="608"/>
      <c r="E22" s="465"/>
      <c r="F22" s="608">
        <v>1483</v>
      </c>
      <c r="G22" s="603"/>
      <c r="H22" s="608"/>
      <c r="I22" s="465"/>
      <c r="J22" s="608"/>
      <c r="K22" s="465"/>
      <c r="L22" s="608"/>
      <c r="M22" s="603"/>
      <c r="N22" s="608"/>
      <c r="O22" s="465"/>
      <c r="P22" s="608"/>
      <c r="Q22" s="465"/>
      <c r="R22" s="608"/>
      <c r="S22" s="609"/>
    </row>
    <row r="23" spans="1:19" ht="14.4" customHeight="1" x14ac:dyDescent="0.3">
      <c r="A23" s="613" t="s">
        <v>1099</v>
      </c>
      <c r="B23" s="608">
        <v>2253</v>
      </c>
      <c r="C23" s="465"/>
      <c r="D23" s="608"/>
      <c r="E23" s="465"/>
      <c r="F23" s="608"/>
      <c r="G23" s="603"/>
      <c r="H23" s="608"/>
      <c r="I23" s="465"/>
      <c r="J23" s="608"/>
      <c r="K23" s="465"/>
      <c r="L23" s="608"/>
      <c r="M23" s="603"/>
      <c r="N23" s="608"/>
      <c r="O23" s="465"/>
      <c r="P23" s="608"/>
      <c r="Q23" s="465"/>
      <c r="R23" s="608"/>
      <c r="S23" s="609"/>
    </row>
    <row r="24" spans="1:19" ht="14.4" customHeight="1" x14ac:dyDescent="0.3">
      <c r="A24" s="613" t="s">
        <v>1100</v>
      </c>
      <c r="B24" s="608">
        <v>704890</v>
      </c>
      <c r="C24" s="465">
        <v>2.0029494836982775</v>
      </c>
      <c r="D24" s="608">
        <v>351926</v>
      </c>
      <c r="E24" s="465">
        <v>1</v>
      </c>
      <c r="F24" s="608">
        <v>492715</v>
      </c>
      <c r="G24" s="603">
        <v>1.4000528520200268</v>
      </c>
      <c r="H24" s="608"/>
      <c r="I24" s="465"/>
      <c r="J24" s="608"/>
      <c r="K24" s="465"/>
      <c r="L24" s="608"/>
      <c r="M24" s="603"/>
      <c r="N24" s="608"/>
      <c r="O24" s="465"/>
      <c r="P24" s="608"/>
      <c r="Q24" s="465"/>
      <c r="R24" s="608"/>
      <c r="S24" s="609"/>
    </row>
    <row r="25" spans="1:19" ht="14.4" customHeight="1" thickBot="1" x14ac:dyDescent="0.35">
      <c r="A25" s="614" t="s">
        <v>1101</v>
      </c>
      <c r="B25" s="610">
        <v>1184</v>
      </c>
      <c r="C25" s="529">
        <v>0.30437017994858612</v>
      </c>
      <c r="D25" s="610">
        <v>3890</v>
      </c>
      <c r="E25" s="529">
        <v>1</v>
      </c>
      <c r="F25" s="610">
        <v>4257</v>
      </c>
      <c r="G25" s="604">
        <v>1.0943444730077121</v>
      </c>
      <c r="H25" s="610"/>
      <c r="I25" s="529"/>
      <c r="J25" s="610"/>
      <c r="K25" s="529"/>
      <c r="L25" s="610"/>
      <c r="M25" s="604"/>
      <c r="N25" s="610"/>
      <c r="O25" s="529"/>
      <c r="P25" s="610"/>
      <c r="Q25" s="529"/>
      <c r="R25" s="610"/>
      <c r="S25" s="61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9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8" bestFit="1" customWidth="1"/>
    <col min="2" max="2" width="8.6640625" style="118" bestFit="1" customWidth="1"/>
    <col min="3" max="3" width="2.109375" style="118" bestFit="1" customWidth="1"/>
    <col min="4" max="4" width="8" style="118" bestFit="1" customWidth="1"/>
    <col min="5" max="5" width="52.88671875" style="118" bestFit="1" customWidth="1" collapsed="1"/>
    <col min="6" max="7" width="11.109375" style="196" hidden="1" customWidth="1" outlineLevel="1"/>
    <col min="8" max="9" width="9.33203125" style="196" hidden="1" customWidth="1"/>
    <col min="10" max="11" width="11.109375" style="196" customWidth="1"/>
    <col min="12" max="13" width="9.33203125" style="196" hidden="1" customWidth="1"/>
    <col min="14" max="15" width="11.109375" style="196" customWidth="1"/>
    <col min="16" max="16" width="11.109375" style="199" customWidth="1"/>
    <col min="17" max="17" width="11.109375" style="196" customWidth="1"/>
    <col min="18" max="16384" width="8.88671875" style="118"/>
  </cols>
  <sheetData>
    <row r="1" spans="1:17" ht="18.600000000000001" customHeight="1" thickBot="1" x14ac:dyDescent="0.4">
      <c r="A1" s="335" t="s">
        <v>1121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</row>
    <row r="2" spans="1:17" ht="14.4" customHeight="1" thickBot="1" x14ac:dyDescent="0.35">
      <c r="A2" s="224" t="s">
        <v>282</v>
      </c>
      <c r="B2" s="119"/>
      <c r="C2" s="119"/>
      <c r="D2" s="119"/>
      <c r="E2" s="119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  <c r="Q2" s="217"/>
    </row>
    <row r="3" spans="1:17" ht="14.4" customHeight="1" thickBot="1" x14ac:dyDescent="0.35">
      <c r="E3" s="77" t="s">
        <v>128</v>
      </c>
      <c r="F3" s="91">
        <f t="shared" ref="F3:O3" si="0">SUBTOTAL(9,F6:F1048576)</f>
        <v>3857</v>
      </c>
      <c r="G3" s="92">
        <f t="shared" si="0"/>
        <v>1864264</v>
      </c>
      <c r="H3" s="92"/>
      <c r="I3" s="92"/>
      <c r="J3" s="92">
        <f t="shared" si="0"/>
        <v>2133</v>
      </c>
      <c r="K3" s="92">
        <f t="shared" si="0"/>
        <v>1032527</v>
      </c>
      <c r="L3" s="92"/>
      <c r="M3" s="92"/>
      <c r="N3" s="92">
        <f t="shared" si="0"/>
        <v>3924</v>
      </c>
      <c r="O3" s="92">
        <f t="shared" si="0"/>
        <v>2157076</v>
      </c>
      <c r="P3" s="67">
        <f>IF(K3=0,0,O3/K3)</f>
        <v>2.089123093149138</v>
      </c>
      <c r="Q3" s="93">
        <f>IF(N3=0,0,O3/N3)</f>
        <v>549.7135575942915</v>
      </c>
    </row>
    <row r="4" spans="1:17" ht="14.4" customHeight="1" x14ac:dyDescent="0.3">
      <c r="A4" s="408" t="s">
        <v>69</v>
      </c>
      <c r="B4" s="406" t="s">
        <v>95</v>
      </c>
      <c r="C4" s="408" t="s">
        <v>96</v>
      </c>
      <c r="D4" s="417" t="s">
        <v>97</v>
      </c>
      <c r="E4" s="409" t="s">
        <v>70</v>
      </c>
      <c r="F4" s="415">
        <v>2015</v>
      </c>
      <c r="G4" s="416"/>
      <c r="H4" s="94"/>
      <c r="I4" s="94"/>
      <c r="J4" s="415">
        <v>2016</v>
      </c>
      <c r="K4" s="416"/>
      <c r="L4" s="94"/>
      <c r="M4" s="94"/>
      <c r="N4" s="415">
        <v>2017</v>
      </c>
      <c r="O4" s="416"/>
      <c r="P4" s="418" t="s">
        <v>2</v>
      </c>
      <c r="Q4" s="407" t="s">
        <v>98</v>
      </c>
    </row>
    <row r="5" spans="1:17" ht="14.4" customHeight="1" thickBot="1" x14ac:dyDescent="0.35">
      <c r="A5" s="594"/>
      <c r="B5" s="592"/>
      <c r="C5" s="594"/>
      <c r="D5" s="615"/>
      <c r="E5" s="596"/>
      <c r="F5" s="616" t="s">
        <v>72</v>
      </c>
      <c r="G5" s="617" t="s">
        <v>14</v>
      </c>
      <c r="H5" s="618"/>
      <c r="I5" s="618"/>
      <c r="J5" s="616" t="s">
        <v>72</v>
      </c>
      <c r="K5" s="617" t="s">
        <v>14</v>
      </c>
      <c r="L5" s="618"/>
      <c r="M5" s="618"/>
      <c r="N5" s="616" t="s">
        <v>72</v>
      </c>
      <c r="O5" s="617" t="s">
        <v>14</v>
      </c>
      <c r="P5" s="619"/>
      <c r="Q5" s="601"/>
    </row>
    <row r="6" spans="1:17" ht="14.4" customHeight="1" x14ac:dyDescent="0.3">
      <c r="A6" s="517" t="s">
        <v>1102</v>
      </c>
      <c r="B6" s="518" t="s">
        <v>925</v>
      </c>
      <c r="C6" s="518" t="s">
        <v>926</v>
      </c>
      <c r="D6" s="518" t="s">
        <v>927</v>
      </c>
      <c r="E6" s="518" t="s">
        <v>928</v>
      </c>
      <c r="F6" s="105">
        <v>1</v>
      </c>
      <c r="G6" s="105">
        <v>1184</v>
      </c>
      <c r="H6" s="105">
        <v>0.9974726200505476</v>
      </c>
      <c r="I6" s="105">
        <v>1184</v>
      </c>
      <c r="J6" s="105">
        <v>1</v>
      </c>
      <c r="K6" s="105">
        <v>1187</v>
      </c>
      <c r="L6" s="105">
        <v>1</v>
      </c>
      <c r="M6" s="105">
        <v>1187</v>
      </c>
      <c r="N6" s="105"/>
      <c r="O6" s="105"/>
      <c r="P6" s="602"/>
      <c r="Q6" s="521"/>
    </row>
    <row r="7" spans="1:17" ht="14.4" customHeight="1" x14ac:dyDescent="0.3">
      <c r="A7" s="522" t="s">
        <v>1102</v>
      </c>
      <c r="B7" s="465" t="s">
        <v>925</v>
      </c>
      <c r="C7" s="465" t="s">
        <v>926</v>
      </c>
      <c r="D7" s="465" t="s">
        <v>939</v>
      </c>
      <c r="E7" s="465" t="s">
        <v>940</v>
      </c>
      <c r="F7" s="468"/>
      <c r="G7" s="468"/>
      <c r="H7" s="468"/>
      <c r="I7" s="468"/>
      <c r="J7" s="468"/>
      <c r="K7" s="468"/>
      <c r="L7" s="468"/>
      <c r="M7" s="468"/>
      <c r="N7" s="468">
        <v>2</v>
      </c>
      <c r="O7" s="468">
        <v>1686</v>
      </c>
      <c r="P7" s="603"/>
      <c r="Q7" s="469">
        <v>843</v>
      </c>
    </row>
    <row r="8" spans="1:17" ht="14.4" customHeight="1" x14ac:dyDescent="0.3">
      <c r="A8" s="522" t="s">
        <v>1102</v>
      </c>
      <c r="B8" s="465" t="s">
        <v>925</v>
      </c>
      <c r="C8" s="465" t="s">
        <v>926</v>
      </c>
      <c r="D8" s="465" t="s">
        <v>943</v>
      </c>
      <c r="E8" s="465" t="s">
        <v>944</v>
      </c>
      <c r="F8" s="468">
        <v>1</v>
      </c>
      <c r="G8" s="468">
        <v>812</v>
      </c>
      <c r="H8" s="468"/>
      <c r="I8" s="468">
        <v>812</v>
      </c>
      <c r="J8" s="468"/>
      <c r="K8" s="468"/>
      <c r="L8" s="468"/>
      <c r="M8" s="468"/>
      <c r="N8" s="468">
        <v>1</v>
      </c>
      <c r="O8" s="468">
        <v>814</v>
      </c>
      <c r="P8" s="603"/>
      <c r="Q8" s="469">
        <v>814</v>
      </c>
    </row>
    <row r="9" spans="1:17" ht="14.4" customHeight="1" x14ac:dyDescent="0.3">
      <c r="A9" s="522" t="s">
        <v>1102</v>
      </c>
      <c r="B9" s="465" t="s">
        <v>925</v>
      </c>
      <c r="C9" s="465" t="s">
        <v>926</v>
      </c>
      <c r="D9" s="465" t="s">
        <v>945</v>
      </c>
      <c r="E9" s="465" t="s">
        <v>946</v>
      </c>
      <c r="F9" s="468">
        <v>1</v>
      </c>
      <c r="G9" s="468">
        <v>812</v>
      </c>
      <c r="H9" s="468"/>
      <c r="I9" s="468">
        <v>812</v>
      </c>
      <c r="J9" s="468"/>
      <c r="K9" s="468"/>
      <c r="L9" s="468"/>
      <c r="M9" s="468"/>
      <c r="N9" s="468">
        <v>1</v>
      </c>
      <c r="O9" s="468">
        <v>814</v>
      </c>
      <c r="P9" s="603"/>
      <c r="Q9" s="469">
        <v>814</v>
      </c>
    </row>
    <row r="10" spans="1:17" ht="14.4" customHeight="1" x14ac:dyDescent="0.3">
      <c r="A10" s="522" t="s">
        <v>1102</v>
      </c>
      <c r="B10" s="465" t="s">
        <v>925</v>
      </c>
      <c r="C10" s="465" t="s">
        <v>926</v>
      </c>
      <c r="D10" s="465" t="s">
        <v>947</v>
      </c>
      <c r="E10" s="465" t="s">
        <v>948</v>
      </c>
      <c r="F10" s="468">
        <v>2</v>
      </c>
      <c r="G10" s="468">
        <v>334</v>
      </c>
      <c r="H10" s="468">
        <v>1.9880952380952381</v>
      </c>
      <c r="I10" s="468">
        <v>167</v>
      </c>
      <c r="J10" s="468">
        <v>1</v>
      </c>
      <c r="K10" s="468">
        <v>168</v>
      </c>
      <c r="L10" s="468">
        <v>1</v>
      </c>
      <c r="M10" s="468">
        <v>168</v>
      </c>
      <c r="N10" s="468">
        <v>3</v>
      </c>
      <c r="O10" s="468">
        <v>504</v>
      </c>
      <c r="P10" s="603">
        <v>3</v>
      </c>
      <c r="Q10" s="469">
        <v>168</v>
      </c>
    </row>
    <row r="11" spans="1:17" ht="14.4" customHeight="1" x14ac:dyDescent="0.3">
      <c r="A11" s="522" t="s">
        <v>1102</v>
      </c>
      <c r="B11" s="465" t="s">
        <v>925</v>
      </c>
      <c r="C11" s="465" t="s">
        <v>926</v>
      </c>
      <c r="D11" s="465" t="s">
        <v>949</v>
      </c>
      <c r="E11" s="465" t="s">
        <v>950</v>
      </c>
      <c r="F11" s="468">
        <v>2</v>
      </c>
      <c r="G11" s="468">
        <v>346</v>
      </c>
      <c r="H11" s="468">
        <v>1.9885057471264367</v>
      </c>
      <c r="I11" s="468">
        <v>173</v>
      </c>
      <c r="J11" s="468">
        <v>1</v>
      </c>
      <c r="K11" s="468">
        <v>174</v>
      </c>
      <c r="L11" s="468">
        <v>1</v>
      </c>
      <c r="M11" s="468">
        <v>174</v>
      </c>
      <c r="N11" s="468">
        <v>1</v>
      </c>
      <c r="O11" s="468">
        <v>174</v>
      </c>
      <c r="P11" s="603">
        <v>1</v>
      </c>
      <c r="Q11" s="469">
        <v>174</v>
      </c>
    </row>
    <row r="12" spans="1:17" ht="14.4" customHeight="1" x14ac:dyDescent="0.3">
      <c r="A12" s="522" t="s">
        <v>1102</v>
      </c>
      <c r="B12" s="465" t="s">
        <v>925</v>
      </c>
      <c r="C12" s="465" t="s">
        <v>926</v>
      </c>
      <c r="D12" s="465" t="s">
        <v>951</v>
      </c>
      <c r="E12" s="465" t="s">
        <v>952</v>
      </c>
      <c r="F12" s="468">
        <v>14</v>
      </c>
      <c r="G12" s="468">
        <v>4914</v>
      </c>
      <c r="H12" s="468">
        <v>1.5511363636363635</v>
      </c>
      <c r="I12" s="468">
        <v>351</v>
      </c>
      <c r="J12" s="468">
        <v>9</v>
      </c>
      <c r="K12" s="468">
        <v>3168</v>
      </c>
      <c r="L12" s="468">
        <v>1</v>
      </c>
      <c r="M12" s="468">
        <v>352</v>
      </c>
      <c r="N12" s="468">
        <v>13</v>
      </c>
      <c r="O12" s="468">
        <v>4576</v>
      </c>
      <c r="P12" s="603">
        <v>1.4444444444444444</v>
      </c>
      <c r="Q12" s="469">
        <v>352</v>
      </c>
    </row>
    <row r="13" spans="1:17" ht="14.4" customHeight="1" x14ac:dyDescent="0.3">
      <c r="A13" s="522" t="s">
        <v>1102</v>
      </c>
      <c r="B13" s="465" t="s">
        <v>925</v>
      </c>
      <c r="C13" s="465" t="s">
        <v>926</v>
      </c>
      <c r="D13" s="465" t="s">
        <v>1078</v>
      </c>
      <c r="E13" s="465" t="s">
        <v>1079</v>
      </c>
      <c r="F13" s="468"/>
      <c r="G13" s="468"/>
      <c r="H13" s="468"/>
      <c r="I13" s="468"/>
      <c r="J13" s="468">
        <v>2</v>
      </c>
      <c r="K13" s="468">
        <v>2076</v>
      </c>
      <c r="L13" s="468">
        <v>1</v>
      </c>
      <c r="M13" s="468">
        <v>1038</v>
      </c>
      <c r="N13" s="468"/>
      <c r="O13" s="468"/>
      <c r="P13" s="603"/>
      <c r="Q13" s="469"/>
    </row>
    <row r="14" spans="1:17" ht="14.4" customHeight="1" x14ac:dyDescent="0.3">
      <c r="A14" s="522" t="s">
        <v>1102</v>
      </c>
      <c r="B14" s="465" t="s">
        <v>925</v>
      </c>
      <c r="C14" s="465" t="s">
        <v>926</v>
      </c>
      <c r="D14" s="465" t="s">
        <v>959</v>
      </c>
      <c r="E14" s="465" t="s">
        <v>960</v>
      </c>
      <c r="F14" s="468">
        <v>14</v>
      </c>
      <c r="G14" s="468">
        <v>7658</v>
      </c>
      <c r="H14" s="468">
        <v>1.5498886865007084</v>
      </c>
      <c r="I14" s="468">
        <v>547</v>
      </c>
      <c r="J14" s="468">
        <v>9</v>
      </c>
      <c r="K14" s="468">
        <v>4941</v>
      </c>
      <c r="L14" s="468">
        <v>1</v>
      </c>
      <c r="M14" s="468">
        <v>549</v>
      </c>
      <c r="N14" s="468">
        <v>12</v>
      </c>
      <c r="O14" s="468">
        <v>6588</v>
      </c>
      <c r="P14" s="603">
        <v>1.3333333333333333</v>
      </c>
      <c r="Q14" s="469">
        <v>549</v>
      </c>
    </row>
    <row r="15" spans="1:17" ht="14.4" customHeight="1" x14ac:dyDescent="0.3">
      <c r="A15" s="522" t="s">
        <v>1102</v>
      </c>
      <c r="B15" s="465" t="s">
        <v>925</v>
      </c>
      <c r="C15" s="465" t="s">
        <v>926</v>
      </c>
      <c r="D15" s="465" t="s">
        <v>961</v>
      </c>
      <c r="E15" s="465" t="s">
        <v>962</v>
      </c>
      <c r="F15" s="468">
        <v>3</v>
      </c>
      <c r="G15" s="468">
        <v>1956</v>
      </c>
      <c r="H15" s="468">
        <v>1.4954128440366972</v>
      </c>
      <c r="I15" s="468">
        <v>652</v>
      </c>
      <c r="J15" s="468">
        <v>2</v>
      </c>
      <c r="K15" s="468">
        <v>1308</v>
      </c>
      <c r="L15" s="468">
        <v>1</v>
      </c>
      <c r="M15" s="468">
        <v>654</v>
      </c>
      <c r="N15" s="468">
        <v>3</v>
      </c>
      <c r="O15" s="468">
        <v>1962</v>
      </c>
      <c r="P15" s="603">
        <v>1.5</v>
      </c>
      <c r="Q15" s="469">
        <v>654</v>
      </c>
    </row>
    <row r="16" spans="1:17" ht="14.4" customHeight="1" x14ac:dyDescent="0.3">
      <c r="A16" s="522" t="s">
        <v>1102</v>
      </c>
      <c r="B16" s="465" t="s">
        <v>925</v>
      </c>
      <c r="C16" s="465" t="s">
        <v>926</v>
      </c>
      <c r="D16" s="465" t="s">
        <v>963</v>
      </c>
      <c r="E16" s="465" t="s">
        <v>964</v>
      </c>
      <c r="F16" s="468">
        <v>3</v>
      </c>
      <c r="G16" s="468">
        <v>1956</v>
      </c>
      <c r="H16" s="468">
        <v>1.4954128440366972</v>
      </c>
      <c r="I16" s="468">
        <v>652</v>
      </c>
      <c r="J16" s="468">
        <v>2</v>
      </c>
      <c r="K16" s="468">
        <v>1308</v>
      </c>
      <c r="L16" s="468">
        <v>1</v>
      </c>
      <c r="M16" s="468">
        <v>654</v>
      </c>
      <c r="N16" s="468">
        <v>3</v>
      </c>
      <c r="O16" s="468">
        <v>1962</v>
      </c>
      <c r="P16" s="603">
        <v>1.5</v>
      </c>
      <c r="Q16" s="469">
        <v>654</v>
      </c>
    </row>
    <row r="17" spans="1:17" ht="14.4" customHeight="1" x14ac:dyDescent="0.3">
      <c r="A17" s="522" t="s">
        <v>1102</v>
      </c>
      <c r="B17" s="465" t="s">
        <v>925</v>
      </c>
      <c r="C17" s="465" t="s">
        <v>926</v>
      </c>
      <c r="D17" s="465" t="s">
        <v>965</v>
      </c>
      <c r="E17" s="465" t="s">
        <v>966</v>
      </c>
      <c r="F17" s="468"/>
      <c r="G17" s="468"/>
      <c r="H17" s="468"/>
      <c r="I17" s="468"/>
      <c r="J17" s="468">
        <v>1</v>
      </c>
      <c r="K17" s="468">
        <v>678</v>
      </c>
      <c r="L17" s="468">
        <v>1</v>
      </c>
      <c r="M17" s="468">
        <v>678</v>
      </c>
      <c r="N17" s="468"/>
      <c r="O17" s="468"/>
      <c r="P17" s="603"/>
      <c r="Q17" s="469"/>
    </row>
    <row r="18" spans="1:17" ht="14.4" customHeight="1" x14ac:dyDescent="0.3">
      <c r="A18" s="522" t="s">
        <v>1102</v>
      </c>
      <c r="B18" s="465" t="s">
        <v>925</v>
      </c>
      <c r="C18" s="465" t="s">
        <v>926</v>
      </c>
      <c r="D18" s="465" t="s">
        <v>967</v>
      </c>
      <c r="E18" s="465" t="s">
        <v>968</v>
      </c>
      <c r="F18" s="468">
        <v>14</v>
      </c>
      <c r="G18" s="468">
        <v>7154</v>
      </c>
      <c r="H18" s="468">
        <v>1.3945419103313841</v>
      </c>
      <c r="I18" s="468">
        <v>511</v>
      </c>
      <c r="J18" s="468">
        <v>10</v>
      </c>
      <c r="K18" s="468">
        <v>5130</v>
      </c>
      <c r="L18" s="468">
        <v>1</v>
      </c>
      <c r="M18" s="468">
        <v>513</v>
      </c>
      <c r="N18" s="468">
        <v>13</v>
      </c>
      <c r="O18" s="468">
        <v>6669</v>
      </c>
      <c r="P18" s="603">
        <v>1.3</v>
      </c>
      <c r="Q18" s="469">
        <v>513</v>
      </c>
    </row>
    <row r="19" spans="1:17" ht="14.4" customHeight="1" x14ac:dyDescent="0.3">
      <c r="A19" s="522" t="s">
        <v>1102</v>
      </c>
      <c r="B19" s="465" t="s">
        <v>925</v>
      </c>
      <c r="C19" s="465" t="s">
        <v>926</v>
      </c>
      <c r="D19" s="465" t="s">
        <v>969</v>
      </c>
      <c r="E19" s="465" t="s">
        <v>970</v>
      </c>
      <c r="F19" s="468">
        <v>14</v>
      </c>
      <c r="G19" s="468">
        <v>5894</v>
      </c>
      <c r="H19" s="468">
        <v>1.3933806146572103</v>
      </c>
      <c r="I19" s="468">
        <v>421</v>
      </c>
      <c r="J19" s="468">
        <v>10</v>
      </c>
      <c r="K19" s="468">
        <v>4230</v>
      </c>
      <c r="L19" s="468">
        <v>1</v>
      </c>
      <c r="M19" s="468">
        <v>423</v>
      </c>
      <c r="N19" s="468">
        <v>13</v>
      </c>
      <c r="O19" s="468">
        <v>5499</v>
      </c>
      <c r="P19" s="603">
        <v>1.3</v>
      </c>
      <c r="Q19" s="469">
        <v>423</v>
      </c>
    </row>
    <row r="20" spans="1:17" ht="14.4" customHeight="1" x14ac:dyDescent="0.3">
      <c r="A20" s="522" t="s">
        <v>1102</v>
      </c>
      <c r="B20" s="465" t="s">
        <v>925</v>
      </c>
      <c r="C20" s="465" t="s">
        <v>926</v>
      </c>
      <c r="D20" s="465" t="s">
        <v>971</v>
      </c>
      <c r="E20" s="465" t="s">
        <v>972</v>
      </c>
      <c r="F20" s="468">
        <v>14</v>
      </c>
      <c r="G20" s="468">
        <v>4858</v>
      </c>
      <c r="H20" s="468">
        <v>1.5466411970709966</v>
      </c>
      <c r="I20" s="468">
        <v>347</v>
      </c>
      <c r="J20" s="468">
        <v>9</v>
      </c>
      <c r="K20" s="468">
        <v>3141</v>
      </c>
      <c r="L20" s="468">
        <v>1</v>
      </c>
      <c r="M20" s="468">
        <v>349</v>
      </c>
      <c r="N20" s="468">
        <v>13</v>
      </c>
      <c r="O20" s="468">
        <v>4537</v>
      </c>
      <c r="P20" s="603">
        <v>1.4444444444444444</v>
      </c>
      <c r="Q20" s="469">
        <v>349</v>
      </c>
    </row>
    <row r="21" spans="1:17" ht="14.4" customHeight="1" x14ac:dyDescent="0.3">
      <c r="A21" s="522" t="s">
        <v>1102</v>
      </c>
      <c r="B21" s="465" t="s">
        <v>925</v>
      </c>
      <c r="C21" s="465" t="s">
        <v>926</v>
      </c>
      <c r="D21" s="465" t="s">
        <v>973</v>
      </c>
      <c r="E21" s="465" t="s">
        <v>974</v>
      </c>
      <c r="F21" s="468"/>
      <c r="G21" s="468"/>
      <c r="H21" s="468"/>
      <c r="I21" s="468"/>
      <c r="J21" s="468">
        <v>1</v>
      </c>
      <c r="K21" s="468">
        <v>221</v>
      </c>
      <c r="L21" s="468">
        <v>1</v>
      </c>
      <c r="M21" s="468">
        <v>221</v>
      </c>
      <c r="N21" s="468"/>
      <c r="O21" s="468"/>
      <c r="P21" s="603"/>
      <c r="Q21" s="469"/>
    </row>
    <row r="22" spans="1:17" ht="14.4" customHeight="1" x14ac:dyDescent="0.3">
      <c r="A22" s="522" t="s">
        <v>1102</v>
      </c>
      <c r="B22" s="465" t="s">
        <v>925</v>
      </c>
      <c r="C22" s="465" t="s">
        <v>926</v>
      </c>
      <c r="D22" s="465" t="s">
        <v>981</v>
      </c>
      <c r="E22" s="465" t="s">
        <v>982</v>
      </c>
      <c r="F22" s="468">
        <v>2</v>
      </c>
      <c r="G22" s="468">
        <v>222</v>
      </c>
      <c r="H22" s="468"/>
      <c r="I22" s="468">
        <v>111</v>
      </c>
      <c r="J22" s="468"/>
      <c r="K22" s="468"/>
      <c r="L22" s="468"/>
      <c r="M22" s="468"/>
      <c r="N22" s="468">
        <v>2</v>
      </c>
      <c r="O22" s="468">
        <v>222</v>
      </c>
      <c r="P22" s="603"/>
      <c r="Q22" s="469">
        <v>111</v>
      </c>
    </row>
    <row r="23" spans="1:17" ht="14.4" customHeight="1" x14ac:dyDescent="0.3">
      <c r="A23" s="522" t="s">
        <v>1102</v>
      </c>
      <c r="B23" s="465" t="s">
        <v>925</v>
      </c>
      <c r="C23" s="465" t="s">
        <v>926</v>
      </c>
      <c r="D23" s="465" t="s">
        <v>985</v>
      </c>
      <c r="E23" s="465" t="s">
        <v>986</v>
      </c>
      <c r="F23" s="468">
        <v>3</v>
      </c>
      <c r="G23" s="468">
        <v>933</v>
      </c>
      <c r="H23" s="468">
        <v>1.4951923076923077</v>
      </c>
      <c r="I23" s="468">
        <v>311</v>
      </c>
      <c r="J23" s="468">
        <v>2</v>
      </c>
      <c r="K23" s="468">
        <v>624</v>
      </c>
      <c r="L23" s="468">
        <v>1</v>
      </c>
      <c r="M23" s="468">
        <v>312</v>
      </c>
      <c r="N23" s="468">
        <v>3</v>
      </c>
      <c r="O23" s="468">
        <v>936</v>
      </c>
      <c r="P23" s="603">
        <v>1.5</v>
      </c>
      <c r="Q23" s="469">
        <v>312</v>
      </c>
    </row>
    <row r="24" spans="1:17" ht="14.4" customHeight="1" x14ac:dyDescent="0.3">
      <c r="A24" s="522" t="s">
        <v>1102</v>
      </c>
      <c r="B24" s="465" t="s">
        <v>925</v>
      </c>
      <c r="C24" s="465" t="s">
        <v>926</v>
      </c>
      <c r="D24" s="465" t="s">
        <v>989</v>
      </c>
      <c r="E24" s="465" t="s">
        <v>990</v>
      </c>
      <c r="F24" s="468">
        <v>11</v>
      </c>
      <c r="G24" s="468">
        <v>176</v>
      </c>
      <c r="H24" s="468">
        <v>1.2941176470588236</v>
      </c>
      <c r="I24" s="468">
        <v>16</v>
      </c>
      <c r="J24" s="468">
        <v>8</v>
      </c>
      <c r="K24" s="468">
        <v>136</v>
      </c>
      <c r="L24" s="468">
        <v>1</v>
      </c>
      <c r="M24" s="468">
        <v>17</v>
      </c>
      <c r="N24" s="468">
        <v>10</v>
      </c>
      <c r="O24" s="468">
        <v>170</v>
      </c>
      <c r="P24" s="603">
        <v>1.25</v>
      </c>
      <c r="Q24" s="469">
        <v>17</v>
      </c>
    </row>
    <row r="25" spans="1:17" ht="14.4" customHeight="1" x14ac:dyDescent="0.3">
      <c r="A25" s="522" t="s">
        <v>1102</v>
      </c>
      <c r="B25" s="465" t="s">
        <v>925</v>
      </c>
      <c r="C25" s="465" t="s">
        <v>926</v>
      </c>
      <c r="D25" s="465" t="s">
        <v>1003</v>
      </c>
      <c r="E25" s="465" t="s">
        <v>1004</v>
      </c>
      <c r="F25" s="468">
        <v>2</v>
      </c>
      <c r="G25" s="468">
        <v>414</v>
      </c>
      <c r="H25" s="468">
        <v>1.9808612440191387</v>
      </c>
      <c r="I25" s="468">
        <v>207</v>
      </c>
      <c r="J25" s="468">
        <v>1</v>
      </c>
      <c r="K25" s="468">
        <v>209</v>
      </c>
      <c r="L25" s="468">
        <v>1</v>
      </c>
      <c r="M25" s="468">
        <v>209</v>
      </c>
      <c r="N25" s="468">
        <v>3</v>
      </c>
      <c r="O25" s="468">
        <v>627</v>
      </c>
      <c r="P25" s="603">
        <v>3</v>
      </c>
      <c r="Q25" s="469">
        <v>209</v>
      </c>
    </row>
    <row r="26" spans="1:17" ht="14.4" customHeight="1" x14ac:dyDescent="0.3">
      <c r="A26" s="522" t="s">
        <v>1102</v>
      </c>
      <c r="B26" s="465" t="s">
        <v>925</v>
      </c>
      <c r="C26" s="465" t="s">
        <v>926</v>
      </c>
      <c r="D26" s="465" t="s">
        <v>1005</v>
      </c>
      <c r="E26" s="465" t="s">
        <v>1006</v>
      </c>
      <c r="F26" s="468">
        <v>3</v>
      </c>
      <c r="G26" s="468">
        <v>117</v>
      </c>
      <c r="H26" s="468">
        <v>1.4624999999999999</v>
      </c>
      <c r="I26" s="468">
        <v>39</v>
      </c>
      <c r="J26" s="468">
        <v>2</v>
      </c>
      <c r="K26" s="468">
        <v>80</v>
      </c>
      <c r="L26" s="468">
        <v>1</v>
      </c>
      <c r="M26" s="468">
        <v>40</v>
      </c>
      <c r="N26" s="468">
        <v>4</v>
      </c>
      <c r="O26" s="468">
        <v>160</v>
      </c>
      <c r="P26" s="603">
        <v>2</v>
      </c>
      <c r="Q26" s="469">
        <v>40</v>
      </c>
    </row>
    <row r="27" spans="1:17" ht="14.4" customHeight="1" x14ac:dyDescent="0.3">
      <c r="A27" s="522" t="s">
        <v>1102</v>
      </c>
      <c r="B27" s="465" t="s">
        <v>925</v>
      </c>
      <c r="C27" s="465" t="s">
        <v>926</v>
      </c>
      <c r="D27" s="465" t="s">
        <v>1007</v>
      </c>
      <c r="E27" s="465" t="s">
        <v>1008</v>
      </c>
      <c r="F27" s="468"/>
      <c r="G27" s="468"/>
      <c r="H27" s="468"/>
      <c r="I27" s="468"/>
      <c r="J27" s="468"/>
      <c r="K27" s="468"/>
      <c r="L27" s="468"/>
      <c r="M27" s="468"/>
      <c r="N27" s="468">
        <v>1</v>
      </c>
      <c r="O27" s="468">
        <v>5023</v>
      </c>
      <c r="P27" s="603"/>
      <c r="Q27" s="469">
        <v>5023</v>
      </c>
    </row>
    <row r="28" spans="1:17" ht="14.4" customHeight="1" x14ac:dyDescent="0.3">
      <c r="A28" s="522" t="s">
        <v>1102</v>
      </c>
      <c r="B28" s="465" t="s">
        <v>925</v>
      </c>
      <c r="C28" s="465" t="s">
        <v>926</v>
      </c>
      <c r="D28" s="465" t="s">
        <v>1009</v>
      </c>
      <c r="E28" s="465" t="s">
        <v>1010</v>
      </c>
      <c r="F28" s="468">
        <v>2</v>
      </c>
      <c r="G28" s="468">
        <v>340</v>
      </c>
      <c r="H28" s="468">
        <v>1.9883040935672514</v>
      </c>
      <c r="I28" s="468">
        <v>170</v>
      </c>
      <c r="J28" s="468">
        <v>1</v>
      </c>
      <c r="K28" s="468">
        <v>171</v>
      </c>
      <c r="L28" s="468">
        <v>1</v>
      </c>
      <c r="M28" s="468">
        <v>171</v>
      </c>
      <c r="N28" s="468">
        <v>3</v>
      </c>
      <c r="O28" s="468">
        <v>513</v>
      </c>
      <c r="P28" s="603">
        <v>3</v>
      </c>
      <c r="Q28" s="469">
        <v>171</v>
      </c>
    </row>
    <row r="29" spans="1:17" ht="14.4" customHeight="1" x14ac:dyDescent="0.3">
      <c r="A29" s="522" t="s">
        <v>1102</v>
      </c>
      <c r="B29" s="465" t="s">
        <v>925</v>
      </c>
      <c r="C29" s="465" t="s">
        <v>926</v>
      </c>
      <c r="D29" s="465" t="s">
        <v>1013</v>
      </c>
      <c r="E29" s="465" t="s">
        <v>1014</v>
      </c>
      <c r="F29" s="468">
        <v>4</v>
      </c>
      <c r="G29" s="468">
        <v>2752</v>
      </c>
      <c r="H29" s="468">
        <v>1.9942028985507247</v>
      </c>
      <c r="I29" s="468">
        <v>688</v>
      </c>
      <c r="J29" s="468">
        <v>2</v>
      </c>
      <c r="K29" s="468">
        <v>1380</v>
      </c>
      <c r="L29" s="468">
        <v>1</v>
      </c>
      <c r="M29" s="468">
        <v>690</v>
      </c>
      <c r="N29" s="468">
        <v>4</v>
      </c>
      <c r="O29" s="468">
        <v>2760</v>
      </c>
      <c r="P29" s="603">
        <v>2</v>
      </c>
      <c r="Q29" s="469">
        <v>690</v>
      </c>
    </row>
    <row r="30" spans="1:17" ht="14.4" customHeight="1" x14ac:dyDescent="0.3">
      <c r="A30" s="522" t="s">
        <v>1102</v>
      </c>
      <c r="B30" s="465" t="s">
        <v>925</v>
      </c>
      <c r="C30" s="465" t="s">
        <v>926</v>
      </c>
      <c r="D30" s="465" t="s">
        <v>1015</v>
      </c>
      <c r="E30" s="465" t="s">
        <v>1016</v>
      </c>
      <c r="F30" s="468">
        <v>1</v>
      </c>
      <c r="G30" s="468">
        <v>348</v>
      </c>
      <c r="H30" s="468">
        <v>0.99428571428571433</v>
      </c>
      <c r="I30" s="468">
        <v>348</v>
      </c>
      <c r="J30" s="468">
        <v>1</v>
      </c>
      <c r="K30" s="468">
        <v>350</v>
      </c>
      <c r="L30" s="468">
        <v>1</v>
      </c>
      <c r="M30" s="468">
        <v>350</v>
      </c>
      <c r="N30" s="468">
        <v>2</v>
      </c>
      <c r="O30" s="468">
        <v>700</v>
      </c>
      <c r="P30" s="603">
        <v>2</v>
      </c>
      <c r="Q30" s="469">
        <v>350</v>
      </c>
    </row>
    <row r="31" spans="1:17" ht="14.4" customHeight="1" x14ac:dyDescent="0.3">
      <c r="A31" s="522" t="s">
        <v>1102</v>
      </c>
      <c r="B31" s="465" t="s">
        <v>925</v>
      </c>
      <c r="C31" s="465" t="s">
        <v>926</v>
      </c>
      <c r="D31" s="465" t="s">
        <v>1017</v>
      </c>
      <c r="E31" s="465" t="s">
        <v>1018</v>
      </c>
      <c r="F31" s="468">
        <v>2</v>
      </c>
      <c r="G31" s="468">
        <v>346</v>
      </c>
      <c r="H31" s="468">
        <v>1.9885057471264367</v>
      </c>
      <c r="I31" s="468">
        <v>173</v>
      </c>
      <c r="J31" s="468">
        <v>1</v>
      </c>
      <c r="K31" s="468">
        <v>174</v>
      </c>
      <c r="L31" s="468">
        <v>1</v>
      </c>
      <c r="M31" s="468">
        <v>174</v>
      </c>
      <c r="N31" s="468">
        <v>3</v>
      </c>
      <c r="O31" s="468">
        <v>522</v>
      </c>
      <c r="P31" s="603">
        <v>3</v>
      </c>
      <c r="Q31" s="469">
        <v>174</v>
      </c>
    </row>
    <row r="32" spans="1:17" ht="14.4" customHeight="1" x14ac:dyDescent="0.3">
      <c r="A32" s="522" t="s">
        <v>1102</v>
      </c>
      <c r="B32" s="465" t="s">
        <v>925</v>
      </c>
      <c r="C32" s="465" t="s">
        <v>926</v>
      </c>
      <c r="D32" s="465" t="s">
        <v>1021</v>
      </c>
      <c r="E32" s="465" t="s">
        <v>1022</v>
      </c>
      <c r="F32" s="468">
        <v>3</v>
      </c>
      <c r="G32" s="468">
        <v>1956</v>
      </c>
      <c r="H32" s="468">
        <v>1.4954128440366972</v>
      </c>
      <c r="I32" s="468">
        <v>652</v>
      </c>
      <c r="J32" s="468">
        <v>2</v>
      </c>
      <c r="K32" s="468">
        <v>1308</v>
      </c>
      <c r="L32" s="468">
        <v>1</v>
      </c>
      <c r="M32" s="468">
        <v>654</v>
      </c>
      <c r="N32" s="468">
        <v>3</v>
      </c>
      <c r="O32" s="468">
        <v>1962</v>
      </c>
      <c r="P32" s="603">
        <v>1.5</v>
      </c>
      <c r="Q32" s="469">
        <v>654</v>
      </c>
    </row>
    <row r="33" spans="1:17" ht="14.4" customHeight="1" x14ac:dyDescent="0.3">
      <c r="A33" s="522" t="s">
        <v>1102</v>
      </c>
      <c r="B33" s="465" t="s">
        <v>925</v>
      </c>
      <c r="C33" s="465" t="s">
        <v>926</v>
      </c>
      <c r="D33" s="465" t="s">
        <v>1023</v>
      </c>
      <c r="E33" s="465" t="s">
        <v>1024</v>
      </c>
      <c r="F33" s="468">
        <v>3</v>
      </c>
      <c r="G33" s="468">
        <v>1956</v>
      </c>
      <c r="H33" s="468">
        <v>1.4954128440366972</v>
      </c>
      <c r="I33" s="468">
        <v>652</v>
      </c>
      <c r="J33" s="468">
        <v>2</v>
      </c>
      <c r="K33" s="468">
        <v>1308</v>
      </c>
      <c r="L33" s="468">
        <v>1</v>
      </c>
      <c r="M33" s="468">
        <v>654</v>
      </c>
      <c r="N33" s="468">
        <v>3</v>
      </c>
      <c r="O33" s="468">
        <v>1962</v>
      </c>
      <c r="P33" s="603">
        <v>1.5</v>
      </c>
      <c r="Q33" s="469">
        <v>654</v>
      </c>
    </row>
    <row r="34" spans="1:17" ht="14.4" customHeight="1" x14ac:dyDescent="0.3">
      <c r="A34" s="522" t="s">
        <v>1102</v>
      </c>
      <c r="B34" s="465" t="s">
        <v>925</v>
      </c>
      <c r="C34" s="465" t="s">
        <v>926</v>
      </c>
      <c r="D34" s="465" t="s">
        <v>1027</v>
      </c>
      <c r="E34" s="465" t="s">
        <v>1028</v>
      </c>
      <c r="F34" s="468"/>
      <c r="G34" s="468"/>
      <c r="H34" s="468"/>
      <c r="I34" s="468"/>
      <c r="J34" s="468"/>
      <c r="K34" s="468"/>
      <c r="L34" s="468"/>
      <c r="M34" s="468"/>
      <c r="N34" s="468">
        <v>3</v>
      </c>
      <c r="O34" s="468">
        <v>2082</v>
      </c>
      <c r="P34" s="603"/>
      <c r="Q34" s="469">
        <v>694</v>
      </c>
    </row>
    <row r="35" spans="1:17" ht="14.4" customHeight="1" x14ac:dyDescent="0.3">
      <c r="A35" s="522" t="s">
        <v>1102</v>
      </c>
      <c r="B35" s="465" t="s">
        <v>925</v>
      </c>
      <c r="C35" s="465" t="s">
        <v>926</v>
      </c>
      <c r="D35" s="465" t="s">
        <v>1029</v>
      </c>
      <c r="E35" s="465" t="s">
        <v>1030</v>
      </c>
      <c r="F35" s="468"/>
      <c r="G35" s="468"/>
      <c r="H35" s="468"/>
      <c r="I35" s="468"/>
      <c r="J35" s="468">
        <v>1</v>
      </c>
      <c r="K35" s="468">
        <v>678</v>
      </c>
      <c r="L35" s="468">
        <v>1</v>
      </c>
      <c r="M35" s="468">
        <v>678</v>
      </c>
      <c r="N35" s="468"/>
      <c r="O35" s="468"/>
      <c r="P35" s="603"/>
      <c r="Q35" s="469"/>
    </row>
    <row r="36" spans="1:17" ht="14.4" customHeight="1" x14ac:dyDescent="0.3">
      <c r="A36" s="522" t="s">
        <v>1102</v>
      </c>
      <c r="B36" s="465" t="s">
        <v>925</v>
      </c>
      <c r="C36" s="465" t="s">
        <v>926</v>
      </c>
      <c r="D36" s="465" t="s">
        <v>1031</v>
      </c>
      <c r="E36" s="465" t="s">
        <v>1032</v>
      </c>
      <c r="F36" s="468">
        <v>14</v>
      </c>
      <c r="G36" s="468">
        <v>6650</v>
      </c>
      <c r="H36" s="468">
        <v>1.5490333100395994</v>
      </c>
      <c r="I36" s="468">
        <v>475</v>
      </c>
      <c r="J36" s="468">
        <v>9</v>
      </c>
      <c r="K36" s="468">
        <v>4293</v>
      </c>
      <c r="L36" s="468">
        <v>1</v>
      </c>
      <c r="M36" s="468">
        <v>477</v>
      </c>
      <c r="N36" s="468">
        <v>15</v>
      </c>
      <c r="O36" s="468">
        <v>7155</v>
      </c>
      <c r="P36" s="603">
        <v>1.6666666666666667</v>
      </c>
      <c r="Q36" s="469">
        <v>477</v>
      </c>
    </row>
    <row r="37" spans="1:17" ht="14.4" customHeight="1" x14ac:dyDescent="0.3">
      <c r="A37" s="522" t="s">
        <v>1102</v>
      </c>
      <c r="B37" s="465" t="s">
        <v>925</v>
      </c>
      <c r="C37" s="465" t="s">
        <v>926</v>
      </c>
      <c r="D37" s="465" t="s">
        <v>1033</v>
      </c>
      <c r="E37" s="465" t="s">
        <v>1034</v>
      </c>
      <c r="F37" s="468">
        <v>14</v>
      </c>
      <c r="G37" s="468">
        <v>4046</v>
      </c>
      <c r="H37" s="468">
        <v>1.3903780068728522</v>
      </c>
      <c r="I37" s="468">
        <v>289</v>
      </c>
      <c r="J37" s="468">
        <v>10</v>
      </c>
      <c r="K37" s="468">
        <v>2910</v>
      </c>
      <c r="L37" s="468">
        <v>1</v>
      </c>
      <c r="M37" s="468">
        <v>291</v>
      </c>
      <c r="N37" s="468">
        <v>13</v>
      </c>
      <c r="O37" s="468">
        <v>3783</v>
      </c>
      <c r="P37" s="603">
        <v>1.3</v>
      </c>
      <c r="Q37" s="469">
        <v>291</v>
      </c>
    </row>
    <row r="38" spans="1:17" ht="14.4" customHeight="1" x14ac:dyDescent="0.3">
      <c r="A38" s="522" t="s">
        <v>1102</v>
      </c>
      <c r="B38" s="465" t="s">
        <v>925</v>
      </c>
      <c r="C38" s="465" t="s">
        <v>926</v>
      </c>
      <c r="D38" s="465" t="s">
        <v>1035</v>
      </c>
      <c r="E38" s="465" t="s">
        <v>1036</v>
      </c>
      <c r="F38" s="468">
        <v>1</v>
      </c>
      <c r="G38" s="468">
        <v>812</v>
      </c>
      <c r="H38" s="468"/>
      <c r="I38" s="468">
        <v>812</v>
      </c>
      <c r="J38" s="468"/>
      <c r="K38" s="468"/>
      <c r="L38" s="468"/>
      <c r="M38" s="468"/>
      <c r="N38" s="468">
        <v>1</v>
      </c>
      <c r="O38" s="468">
        <v>814</v>
      </c>
      <c r="P38" s="603"/>
      <c r="Q38" s="469">
        <v>814</v>
      </c>
    </row>
    <row r="39" spans="1:17" ht="14.4" customHeight="1" x14ac:dyDescent="0.3">
      <c r="A39" s="522" t="s">
        <v>1102</v>
      </c>
      <c r="B39" s="465" t="s">
        <v>925</v>
      </c>
      <c r="C39" s="465" t="s">
        <v>926</v>
      </c>
      <c r="D39" s="465" t="s">
        <v>1039</v>
      </c>
      <c r="E39" s="465" t="s">
        <v>1040</v>
      </c>
      <c r="F39" s="468">
        <v>2</v>
      </c>
      <c r="G39" s="468">
        <v>334</v>
      </c>
      <c r="H39" s="468">
        <v>1.9880952380952381</v>
      </c>
      <c r="I39" s="468">
        <v>167</v>
      </c>
      <c r="J39" s="468">
        <v>1</v>
      </c>
      <c r="K39" s="468">
        <v>168</v>
      </c>
      <c r="L39" s="468">
        <v>1</v>
      </c>
      <c r="M39" s="468">
        <v>168</v>
      </c>
      <c r="N39" s="468">
        <v>1</v>
      </c>
      <c r="O39" s="468">
        <v>168</v>
      </c>
      <c r="P39" s="603">
        <v>1</v>
      </c>
      <c r="Q39" s="469">
        <v>168</v>
      </c>
    </row>
    <row r="40" spans="1:17" ht="14.4" customHeight="1" x14ac:dyDescent="0.3">
      <c r="A40" s="522" t="s">
        <v>1102</v>
      </c>
      <c r="B40" s="465" t="s">
        <v>925</v>
      </c>
      <c r="C40" s="465" t="s">
        <v>926</v>
      </c>
      <c r="D40" s="465" t="s">
        <v>1053</v>
      </c>
      <c r="E40" s="465" t="s">
        <v>1054</v>
      </c>
      <c r="F40" s="468">
        <v>3</v>
      </c>
      <c r="G40" s="468">
        <v>4191</v>
      </c>
      <c r="H40" s="468">
        <v>1.4978556111508221</v>
      </c>
      <c r="I40" s="468">
        <v>1397</v>
      </c>
      <c r="J40" s="468">
        <v>2</v>
      </c>
      <c r="K40" s="468">
        <v>2798</v>
      </c>
      <c r="L40" s="468">
        <v>1</v>
      </c>
      <c r="M40" s="468">
        <v>1399</v>
      </c>
      <c r="N40" s="468">
        <v>3</v>
      </c>
      <c r="O40" s="468">
        <v>4197</v>
      </c>
      <c r="P40" s="603">
        <v>1.5</v>
      </c>
      <c r="Q40" s="469">
        <v>1399</v>
      </c>
    </row>
    <row r="41" spans="1:17" ht="14.4" customHeight="1" x14ac:dyDescent="0.3">
      <c r="A41" s="522" t="s">
        <v>1102</v>
      </c>
      <c r="B41" s="465" t="s">
        <v>925</v>
      </c>
      <c r="C41" s="465" t="s">
        <v>926</v>
      </c>
      <c r="D41" s="465" t="s">
        <v>1057</v>
      </c>
      <c r="E41" s="465" t="s">
        <v>1058</v>
      </c>
      <c r="F41" s="468"/>
      <c r="G41" s="468"/>
      <c r="H41" s="468"/>
      <c r="I41" s="468"/>
      <c r="J41" s="468">
        <v>1</v>
      </c>
      <c r="K41" s="468">
        <v>190</v>
      </c>
      <c r="L41" s="468">
        <v>1</v>
      </c>
      <c r="M41" s="468">
        <v>190</v>
      </c>
      <c r="N41" s="468"/>
      <c r="O41" s="468"/>
      <c r="P41" s="603"/>
      <c r="Q41" s="469"/>
    </row>
    <row r="42" spans="1:17" ht="14.4" customHeight="1" x14ac:dyDescent="0.3">
      <c r="A42" s="522" t="s">
        <v>1102</v>
      </c>
      <c r="B42" s="465" t="s">
        <v>925</v>
      </c>
      <c r="C42" s="465" t="s">
        <v>926</v>
      </c>
      <c r="D42" s="465" t="s">
        <v>1059</v>
      </c>
      <c r="E42" s="465" t="s">
        <v>1060</v>
      </c>
      <c r="F42" s="468">
        <v>1</v>
      </c>
      <c r="G42" s="468">
        <v>812</v>
      </c>
      <c r="H42" s="468"/>
      <c r="I42" s="468">
        <v>812</v>
      </c>
      <c r="J42" s="468"/>
      <c r="K42" s="468"/>
      <c r="L42" s="468"/>
      <c r="M42" s="468"/>
      <c r="N42" s="468">
        <v>1</v>
      </c>
      <c r="O42" s="468">
        <v>814</v>
      </c>
      <c r="P42" s="603"/>
      <c r="Q42" s="469">
        <v>814</v>
      </c>
    </row>
    <row r="43" spans="1:17" ht="14.4" customHeight="1" x14ac:dyDescent="0.3">
      <c r="A43" s="522" t="s">
        <v>1103</v>
      </c>
      <c r="B43" s="465" t="s">
        <v>925</v>
      </c>
      <c r="C43" s="465" t="s">
        <v>926</v>
      </c>
      <c r="D43" s="465" t="s">
        <v>927</v>
      </c>
      <c r="E43" s="465" t="s">
        <v>928</v>
      </c>
      <c r="F43" s="468"/>
      <c r="G43" s="468"/>
      <c r="H43" s="468"/>
      <c r="I43" s="468"/>
      <c r="J43" s="468">
        <v>1</v>
      </c>
      <c r="K43" s="468">
        <v>1187</v>
      </c>
      <c r="L43" s="468">
        <v>1</v>
      </c>
      <c r="M43" s="468">
        <v>1187</v>
      </c>
      <c r="N43" s="468">
        <v>2</v>
      </c>
      <c r="O43" s="468">
        <v>2966</v>
      </c>
      <c r="P43" s="603">
        <v>2.498736310025274</v>
      </c>
      <c r="Q43" s="469">
        <v>1483</v>
      </c>
    </row>
    <row r="44" spans="1:17" ht="14.4" customHeight="1" x14ac:dyDescent="0.3">
      <c r="A44" s="522" t="s">
        <v>1103</v>
      </c>
      <c r="B44" s="465" t="s">
        <v>925</v>
      </c>
      <c r="C44" s="465" t="s">
        <v>926</v>
      </c>
      <c r="D44" s="465" t="s">
        <v>943</v>
      </c>
      <c r="E44" s="465" t="s">
        <v>944</v>
      </c>
      <c r="F44" s="468">
        <v>2</v>
      </c>
      <c r="G44" s="468">
        <v>1624</v>
      </c>
      <c r="H44" s="468"/>
      <c r="I44" s="468">
        <v>812</v>
      </c>
      <c r="J44" s="468"/>
      <c r="K44" s="468"/>
      <c r="L44" s="468"/>
      <c r="M44" s="468"/>
      <c r="N44" s="468">
        <v>1</v>
      </c>
      <c r="O44" s="468">
        <v>814</v>
      </c>
      <c r="P44" s="603"/>
      <c r="Q44" s="469">
        <v>814</v>
      </c>
    </row>
    <row r="45" spans="1:17" ht="14.4" customHeight="1" x14ac:dyDescent="0.3">
      <c r="A45" s="522" t="s">
        <v>1103</v>
      </c>
      <c r="B45" s="465" t="s">
        <v>925</v>
      </c>
      <c r="C45" s="465" t="s">
        <v>926</v>
      </c>
      <c r="D45" s="465" t="s">
        <v>945</v>
      </c>
      <c r="E45" s="465" t="s">
        <v>946</v>
      </c>
      <c r="F45" s="468">
        <v>2</v>
      </c>
      <c r="G45" s="468">
        <v>1624</v>
      </c>
      <c r="H45" s="468"/>
      <c r="I45" s="468">
        <v>812</v>
      </c>
      <c r="J45" s="468"/>
      <c r="K45" s="468"/>
      <c r="L45" s="468"/>
      <c r="M45" s="468"/>
      <c r="N45" s="468">
        <v>1</v>
      </c>
      <c r="O45" s="468">
        <v>814</v>
      </c>
      <c r="P45" s="603"/>
      <c r="Q45" s="469">
        <v>814</v>
      </c>
    </row>
    <row r="46" spans="1:17" ht="14.4" customHeight="1" x14ac:dyDescent="0.3">
      <c r="A46" s="522" t="s">
        <v>1103</v>
      </c>
      <c r="B46" s="465" t="s">
        <v>925</v>
      </c>
      <c r="C46" s="465" t="s">
        <v>926</v>
      </c>
      <c r="D46" s="465" t="s">
        <v>947</v>
      </c>
      <c r="E46" s="465" t="s">
        <v>948</v>
      </c>
      <c r="F46" s="468">
        <v>11</v>
      </c>
      <c r="G46" s="468">
        <v>1837</v>
      </c>
      <c r="H46" s="468">
        <v>10.93452380952381</v>
      </c>
      <c r="I46" s="468">
        <v>167</v>
      </c>
      <c r="J46" s="468">
        <v>1</v>
      </c>
      <c r="K46" s="468">
        <v>168</v>
      </c>
      <c r="L46" s="468">
        <v>1</v>
      </c>
      <c r="M46" s="468">
        <v>168</v>
      </c>
      <c r="N46" s="468">
        <v>1</v>
      </c>
      <c r="O46" s="468">
        <v>168</v>
      </c>
      <c r="P46" s="603">
        <v>1</v>
      </c>
      <c r="Q46" s="469">
        <v>168</v>
      </c>
    </row>
    <row r="47" spans="1:17" ht="14.4" customHeight="1" x14ac:dyDescent="0.3">
      <c r="A47" s="522" t="s">
        <v>1103</v>
      </c>
      <c r="B47" s="465" t="s">
        <v>925</v>
      </c>
      <c r="C47" s="465" t="s">
        <v>926</v>
      </c>
      <c r="D47" s="465" t="s">
        <v>949</v>
      </c>
      <c r="E47" s="465" t="s">
        <v>950</v>
      </c>
      <c r="F47" s="468">
        <v>6</v>
      </c>
      <c r="G47" s="468">
        <v>1038</v>
      </c>
      <c r="H47" s="468"/>
      <c r="I47" s="468">
        <v>173</v>
      </c>
      <c r="J47" s="468"/>
      <c r="K47" s="468"/>
      <c r="L47" s="468"/>
      <c r="M47" s="468"/>
      <c r="N47" s="468"/>
      <c r="O47" s="468"/>
      <c r="P47" s="603"/>
      <c r="Q47" s="469"/>
    </row>
    <row r="48" spans="1:17" ht="14.4" customHeight="1" x14ac:dyDescent="0.3">
      <c r="A48" s="522" t="s">
        <v>1103</v>
      </c>
      <c r="B48" s="465" t="s">
        <v>925</v>
      </c>
      <c r="C48" s="465" t="s">
        <v>926</v>
      </c>
      <c r="D48" s="465" t="s">
        <v>951</v>
      </c>
      <c r="E48" s="465" t="s">
        <v>952</v>
      </c>
      <c r="F48" s="468">
        <v>2</v>
      </c>
      <c r="G48" s="468">
        <v>702</v>
      </c>
      <c r="H48" s="468">
        <v>1.9943181818181819</v>
      </c>
      <c r="I48" s="468">
        <v>351</v>
      </c>
      <c r="J48" s="468">
        <v>1</v>
      </c>
      <c r="K48" s="468">
        <v>352</v>
      </c>
      <c r="L48" s="468">
        <v>1</v>
      </c>
      <c r="M48" s="468">
        <v>352</v>
      </c>
      <c r="N48" s="468">
        <v>1</v>
      </c>
      <c r="O48" s="468">
        <v>352</v>
      </c>
      <c r="P48" s="603">
        <v>1</v>
      </c>
      <c r="Q48" s="469">
        <v>352</v>
      </c>
    </row>
    <row r="49" spans="1:17" ht="14.4" customHeight="1" x14ac:dyDescent="0.3">
      <c r="A49" s="522" t="s">
        <v>1103</v>
      </c>
      <c r="B49" s="465" t="s">
        <v>925</v>
      </c>
      <c r="C49" s="465" t="s">
        <v>926</v>
      </c>
      <c r="D49" s="465" t="s">
        <v>953</v>
      </c>
      <c r="E49" s="465" t="s">
        <v>954</v>
      </c>
      <c r="F49" s="468">
        <v>4</v>
      </c>
      <c r="G49" s="468">
        <v>756</v>
      </c>
      <c r="H49" s="468">
        <v>3.9789473684210526</v>
      </c>
      <c r="I49" s="468">
        <v>189</v>
      </c>
      <c r="J49" s="468">
        <v>1</v>
      </c>
      <c r="K49" s="468">
        <v>190</v>
      </c>
      <c r="L49" s="468">
        <v>1</v>
      </c>
      <c r="M49" s="468">
        <v>190</v>
      </c>
      <c r="N49" s="468">
        <v>1</v>
      </c>
      <c r="O49" s="468">
        <v>190</v>
      </c>
      <c r="P49" s="603">
        <v>1</v>
      </c>
      <c r="Q49" s="469">
        <v>190</v>
      </c>
    </row>
    <row r="50" spans="1:17" ht="14.4" customHeight="1" x14ac:dyDescent="0.3">
      <c r="A50" s="522" t="s">
        <v>1103</v>
      </c>
      <c r="B50" s="465" t="s">
        <v>925</v>
      </c>
      <c r="C50" s="465" t="s">
        <v>926</v>
      </c>
      <c r="D50" s="465" t="s">
        <v>959</v>
      </c>
      <c r="E50" s="465" t="s">
        <v>960</v>
      </c>
      <c r="F50" s="468">
        <v>3</v>
      </c>
      <c r="G50" s="468">
        <v>1641</v>
      </c>
      <c r="H50" s="468">
        <v>1.4945355191256831</v>
      </c>
      <c r="I50" s="468">
        <v>547</v>
      </c>
      <c r="J50" s="468">
        <v>2</v>
      </c>
      <c r="K50" s="468">
        <v>1098</v>
      </c>
      <c r="L50" s="468">
        <v>1</v>
      </c>
      <c r="M50" s="468">
        <v>549</v>
      </c>
      <c r="N50" s="468">
        <v>1</v>
      </c>
      <c r="O50" s="468">
        <v>549</v>
      </c>
      <c r="P50" s="603">
        <v>0.5</v>
      </c>
      <c r="Q50" s="469">
        <v>549</v>
      </c>
    </row>
    <row r="51" spans="1:17" ht="14.4" customHeight="1" x14ac:dyDescent="0.3">
      <c r="A51" s="522" t="s">
        <v>1103</v>
      </c>
      <c r="B51" s="465" t="s">
        <v>925</v>
      </c>
      <c r="C51" s="465" t="s">
        <v>926</v>
      </c>
      <c r="D51" s="465" t="s">
        <v>961</v>
      </c>
      <c r="E51" s="465" t="s">
        <v>962</v>
      </c>
      <c r="F51" s="468"/>
      <c r="G51" s="468"/>
      <c r="H51" s="468"/>
      <c r="I51" s="468"/>
      <c r="J51" s="468"/>
      <c r="K51" s="468"/>
      <c r="L51" s="468"/>
      <c r="M51" s="468"/>
      <c r="N51" s="468">
        <v>1</v>
      </c>
      <c r="O51" s="468">
        <v>654</v>
      </c>
      <c r="P51" s="603"/>
      <c r="Q51" s="469">
        <v>654</v>
      </c>
    </row>
    <row r="52" spans="1:17" ht="14.4" customHeight="1" x14ac:dyDescent="0.3">
      <c r="A52" s="522" t="s">
        <v>1103</v>
      </c>
      <c r="B52" s="465" t="s">
        <v>925</v>
      </c>
      <c r="C52" s="465" t="s">
        <v>926</v>
      </c>
      <c r="D52" s="465" t="s">
        <v>963</v>
      </c>
      <c r="E52" s="465" t="s">
        <v>964</v>
      </c>
      <c r="F52" s="468"/>
      <c r="G52" s="468"/>
      <c r="H52" s="468"/>
      <c r="I52" s="468"/>
      <c r="J52" s="468"/>
      <c r="K52" s="468"/>
      <c r="L52" s="468"/>
      <c r="M52" s="468"/>
      <c r="N52" s="468">
        <v>1</v>
      </c>
      <c r="O52" s="468">
        <v>654</v>
      </c>
      <c r="P52" s="603"/>
      <c r="Q52" s="469">
        <v>654</v>
      </c>
    </row>
    <row r="53" spans="1:17" ht="14.4" customHeight="1" x14ac:dyDescent="0.3">
      <c r="A53" s="522" t="s">
        <v>1103</v>
      </c>
      <c r="B53" s="465" t="s">
        <v>925</v>
      </c>
      <c r="C53" s="465" t="s">
        <v>926</v>
      </c>
      <c r="D53" s="465" t="s">
        <v>965</v>
      </c>
      <c r="E53" s="465" t="s">
        <v>966</v>
      </c>
      <c r="F53" s="468">
        <v>1</v>
      </c>
      <c r="G53" s="468">
        <v>676</v>
      </c>
      <c r="H53" s="468">
        <v>0.99705014749262533</v>
      </c>
      <c r="I53" s="468">
        <v>676</v>
      </c>
      <c r="J53" s="468">
        <v>1</v>
      </c>
      <c r="K53" s="468">
        <v>678</v>
      </c>
      <c r="L53" s="468">
        <v>1</v>
      </c>
      <c r="M53" s="468">
        <v>678</v>
      </c>
      <c r="N53" s="468">
        <v>1</v>
      </c>
      <c r="O53" s="468">
        <v>678</v>
      </c>
      <c r="P53" s="603">
        <v>1</v>
      </c>
      <c r="Q53" s="469">
        <v>678</v>
      </c>
    </row>
    <row r="54" spans="1:17" ht="14.4" customHeight="1" x14ac:dyDescent="0.3">
      <c r="A54" s="522" t="s">
        <v>1103</v>
      </c>
      <c r="B54" s="465" t="s">
        <v>925</v>
      </c>
      <c r="C54" s="465" t="s">
        <v>926</v>
      </c>
      <c r="D54" s="465" t="s">
        <v>971</v>
      </c>
      <c r="E54" s="465" t="s">
        <v>972</v>
      </c>
      <c r="F54" s="468">
        <v>6</v>
      </c>
      <c r="G54" s="468">
        <v>2082</v>
      </c>
      <c r="H54" s="468">
        <v>2.9828080229226361</v>
      </c>
      <c r="I54" s="468">
        <v>347</v>
      </c>
      <c r="J54" s="468">
        <v>2</v>
      </c>
      <c r="K54" s="468">
        <v>698</v>
      </c>
      <c r="L54" s="468">
        <v>1</v>
      </c>
      <c r="M54" s="468">
        <v>349</v>
      </c>
      <c r="N54" s="468">
        <v>1</v>
      </c>
      <c r="O54" s="468">
        <v>349</v>
      </c>
      <c r="P54" s="603">
        <v>0.5</v>
      </c>
      <c r="Q54" s="469">
        <v>349</v>
      </c>
    </row>
    <row r="55" spans="1:17" ht="14.4" customHeight="1" x14ac:dyDescent="0.3">
      <c r="A55" s="522" t="s">
        <v>1103</v>
      </c>
      <c r="B55" s="465" t="s">
        <v>925</v>
      </c>
      <c r="C55" s="465" t="s">
        <v>926</v>
      </c>
      <c r="D55" s="465" t="s">
        <v>979</v>
      </c>
      <c r="E55" s="465" t="s">
        <v>980</v>
      </c>
      <c r="F55" s="468">
        <v>1</v>
      </c>
      <c r="G55" s="468">
        <v>238</v>
      </c>
      <c r="H55" s="468">
        <v>0.99581589958159</v>
      </c>
      <c r="I55" s="468">
        <v>238</v>
      </c>
      <c r="J55" s="468">
        <v>1</v>
      </c>
      <c r="K55" s="468">
        <v>239</v>
      </c>
      <c r="L55" s="468">
        <v>1</v>
      </c>
      <c r="M55" s="468">
        <v>239</v>
      </c>
      <c r="N55" s="468">
        <v>1</v>
      </c>
      <c r="O55" s="468">
        <v>239</v>
      </c>
      <c r="P55" s="603">
        <v>1</v>
      </c>
      <c r="Q55" s="469">
        <v>239</v>
      </c>
    </row>
    <row r="56" spans="1:17" ht="14.4" customHeight="1" x14ac:dyDescent="0.3">
      <c r="A56" s="522" t="s">
        <v>1103</v>
      </c>
      <c r="B56" s="465" t="s">
        <v>925</v>
      </c>
      <c r="C56" s="465" t="s">
        <v>926</v>
      </c>
      <c r="D56" s="465" t="s">
        <v>981</v>
      </c>
      <c r="E56" s="465" t="s">
        <v>982</v>
      </c>
      <c r="F56" s="468">
        <v>1</v>
      </c>
      <c r="G56" s="468">
        <v>111</v>
      </c>
      <c r="H56" s="468"/>
      <c r="I56" s="468">
        <v>111</v>
      </c>
      <c r="J56" s="468"/>
      <c r="K56" s="468"/>
      <c r="L56" s="468"/>
      <c r="M56" s="468"/>
      <c r="N56" s="468"/>
      <c r="O56" s="468"/>
      <c r="P56" s="603"/>
      <c r="Q56" s="469"/>
    </row>
    <row r="57" spans="1:17" ht="14.4" customHeight="1" x14ac:dyDescent="0.3">
      <c r="A57" s="522" t="s">
        <v>1103</v>
      </c>
      <c r="B57" s="465" t="s">
        <v>925</v>
      </c>
      <c r="C57" s="465" t="s">
        <v>926</v>
      </c>
      <c r="D57" s="465" t="s">
        <v>985</v>
      </c>
      <c r="E57" s="465" t="s">
        <v>986</v>
      </c>
      <c r="F57" s="468"/>
      <c r="G57" s="468"/>
      <c r="H57" s="468"/>
      <c r="I57" s="468"/>
      <c r="J57" s="468"/>
      <c r="K57" s="468"/>
      <c r="L57" s="468"/>
      <c r="M57" s="468"/>
      <c r="N57" s="468">
        <v>1</v>
      </c>
      <c r="O57" s="468">
        <v>312</v>
      </c>
      <c r="P57" s="603"/>
      <c r="Q57" s="469">
        <v>312</v>
      </c>
    </row>
    <row r="58" spans="1:17" ht="14.4" customHeight="1" x14ac:dyDescent="0.3">
      <c r="A58" s="522" t="s">
        <v>1103</v>
      </c>
      <c r="B58" s="465" t="s">
        <v>925</v>
      </c>
      <c r="C58" s="465" t="s">
        <v>926</v>
      </c>
      <c r="D58" s="465" t="s">
        <v>989</v>
      </c>
      <c r="E58" s="465" t="s">
        <v>990</v>
      </c>
      <c r="F58" s="468">
        <v>2</v>
      </c>
      <c r="G58" s="468">
        <v>32</v>
      </c>
      <c r="H58" s="468"/>
      <c r="I58" s="468">
        <v>16</v>
      </c>
      <c r="J58" s="468"/>
      <c r="K58" s="468"/>
      <c r="L58" s="468"/>
      <c r="M58" s="468"/>
      <c r="N58" s="468"/>
      <c r="O58" s="468"/>
      <c r="P58" s="603"/>
      <c r="Q58" s="469"/>
    </row>
    <row r="59" spans="1:17" ht="14.4" customHeight="1" x14ac:dyDescent="0.3">
      <c r="A59" s="522" t="s">
        <v>1103</v>
      </c>
      <c r="B59" s="465" t="s">
        <v>925</v>
      </c>
      <c r="C59" s="465" t="s">
        <v>926</v>
      </c>
      <c r="D59" s="465" t="s">
        <v>993</v>
      </c>
      <c r="E59" s="465" t="s">
        <v>994</v>
      </c>
      <c r="F59" s="468">
        <v>20</v>
      </c>
      <c r="G59" s="468">
        <v>6980</v>
      </c>
      <c r="H59" s="468"/>
      <c r="I59" s="468">
        <v>349</v>
      </c>
      <c r="J59" s="468"/>
      <c r="K59" s="468"/>
      <c r="L59" s="468"/>
      <c r="M59" s="468"/>
      <c r="N59" s="468"/>
      <c r="O59" s="468"/>
      <c r="P59" s="603"/>
      <c r="Q59" s="469"/>
    </row>
    <row r="60" spans="1:17" ht="14.4" customHeight="1" x14ac:dyDescent="0.3">
      <c r="A60" s="522" t="s">
        <v>1103</v>
      </c>
      <c r="B60" s="465" t="s">
        <v>925</v>
      </c>
      <c r="C60" s="465" t="s">
        <v>926</v>
      </c>
      <c r="D60" s="465" t="s">
        <v>1001</v>
      </c>
      <c r="E60" s="465" t="s">
        <v>1002</v>
      </c>
      <c r="F60" s="468">
        <v>2</v>
      </c>
      <c r="G60" s="468">
        <v>588</v>
      </c>
      <c r="H60" s="468">
        <v>1.993220338983051</v>
      </c>
      <c r="I60" s="468">
        <v>294</v>
      </c>
      <c r="J60" s="468">
        <v>1</v>
      </c>
      <c r="K60" s="468">
        <v>295</v>
      </c>
      <c r="L60" s="468">
        <v>1</v>
      </c>
      <c r="M60" s="468">
        <v>295</v>
      </c>
      <c r="N60" s="468">
        <v>1</v>
      </c>
      <c r="O60" s="468">
        <v>295</v>
      </c>
      <c r="P60" s="603">
        <v>1</v>
      </c>
      <c r="Q60" s="469">
        <v>295</v>
      </c>
    </row>
    <row r="61" spans="1:17" ht="14.4" customHeight="1" x14ac:dyDescent="0.3">
      <c r="A61" s="522" t="s">
        <v>1103</v>
      </c>
      <c r="B61" s="465" t="s">
        <v>925</v>
      </c>
      <c r="C61" s="465" t="s">
        <v>926</v>
      </c>
      <c r="D61" s="465" t="s">
        <v>1003</v>
      </c>
      <c r="E61" s="465" t="s">
        <v>1004</v>
      </c>
      <c r="F61" s="468">
        <v>4</v>
      </c>
      <c r="G61" s="468">
        <v>828</v>
      </c>
      <c r="H61" s="468">
        <v>1.9808612440191387</v>
      </c>
      <c r="I61" s="468">
        <v>207</v>
      </c>
      <c r="J61" s="468">
        <v>2</v>
      </c>
      <c r="K61" s="468">
        <v>418</v>
      </c>
      <c r="L61" s="468">
        <v>1</v>
      </c>
      <c r="M61" s="468">
        <v>209</v>
      </c>
      <c r="N61" s="468">
        <v>1</v>
      </c>
      <c r="O61" s="468">
        <v>209</v>
      </c>
      <c r="P61" s="603">
        <v>0.5</v>
      </c>
      <c r="Q61" s="469">
        <v>209</v>
      </c>
    </row>
    <row r="62" spans="1:17" ht="14.4" customHeight="1" x14ac:dyDescent="0.3">
      <c r="A62" s="522" t="s">
        <v>1103</v>
      </c>
      <c r="B62" s="465" t="s">
        <v>925</v>
      </c>
      <c r="C62" s="465" t="s">
        <v>926</v>
      </c>
      <c r="D62" s="465" t="s">
        <v>1005</v>
      </c>
      <c r="E62" s="465" t="s">
        <v>1006</v>
      </c>
      <c r="F62" s="468">
        <v>4</v>
      </c>
      <c r="G62" s="468">
        <v>156</v>
      </c>
      <c r="H62" s="468">
        <v>3.9</v>
      </c>
      <c r="I62" s="468">
        <v>39</v>
      </c>
      <c r="J62" s="468">
        <v>1</v>
      </c>
      <c r="K62" s="468">
        <v>40</v>
      </c>
      <c r="L62" s="468">
        <v>1</v>
      </c>
      <c r="M62" s="468">
        <v>40</v>
      </c>
      <c r="N62" s="468"/>
      <c r="O62" s="468"/>
      <c r="P62" s="603"/>
      <c r="Q62" s="469"/>
    </row>
    <row r="63" spans="1:17" ht="14.4" customHeight="1" x14ac:dyDescent="0.3">
      <c r="A63" s="522" t="s">
        <v>1103</v>
      </c>
      <c r="B63" s="465" t="s">
        <v>925</v>
      </c>
      <c r="C63" s="465" t="s">
        <v>926</v>
      </c>
      <c r="D63" s="465" t="s">
        <v>1009</v>
      </c>
      <c r="E63" s="465" t="s">
        <v>1010</v>
      </c>
      <c r="F63" s="468">
        <v>11</v>
      </c>
      <c r="G63" s="468">
        <v>1870</v>
      </c>
      <c r="H63" s="468">
        <v>10.935672514619883</v>
      </c>
      <c r="I63" s="468">
        <v>170</v>
      </c>
      <c r="J63" s="468">
        <v>1</v>
      </c>
      <c r="K63" s="468">
        <v>171</v>
      </c>
      <c r="L63" s="468">
        <v>1</v>
      </c>
      <c r="M63" s="468">
        <v>171</v>
      </c>
      <c r="N63" s="468">
        <v>1</v>
      </c>
      <c r="O63" s="468">
        <v>171</v>
      </c>
      <c r="P63" s="603">
        <v>1</v>
      </c>
      <c r="Q63" s="469">
        <v>171</v>
      </c>
    </row>
    <row r="64" spans="1:17" ht="14.4" customHeight="1" x14ac:dyDescent="0.3">
      <c r="A64" s="522" t="s">
        <v>1103</v>
      </c>
      <c r="B64" s="465" t="s">
        <v>925</v>
      </c>
      <c r="C64" s="465" t="s">
        <v>926</v>
      </c>
      <c r="D64" s="465" t="s">
        <v>1013</v>
      </c>
      <c r="E64" s="465" t="s">
        <v>1014</v>
      </c>
      <c r="F64" s="468"/>
      <c r="G64" s="468"/>
      <c r="H64" s="468"/>
      <c r="I64" s="468"/>
      <c r="J64" s="468"/>
      <c r="K64" s="468"/>
      <c r="L64" s="468"/>
      <c r="M64" s="468"/>
      <c r="N64" s="468">
        <v>1</v>
      </c>
      <c r="O64" s="468">
        <v>690</v>
      </c>
      <c r="P64" s="603"/>
      <c r="Q64" s="469">
        <v>690</v>
      </c>
    </row>
    <row r="65" spans="1:17" ht="14.4" customHeight="1" x14ac:dyDescent="0.3">
      <c r="A65" s="522" t="s">
        <v>1103</v>
      </c>
      <c r="B65" s="465" t="s">
        <v>925</v>
      </c>
      <c r="C65" s="465" t="s">
        <v>926</v>
      </c>
      <c r="D65" s="465" t="s">
        <v>1015</v>
      </c>
      <c r="E65" s="465" t="s">
        <v>1016</v>
      </c>
      <c r="F65" s="468">
        <v>11</v>
      </c>
      <c r="G65" s="468">
        <v>3828</v>
      </c>
      <c r="H65" s="468">
        <v>10.937142857142858</v>
      </c>
      <c r="I65" s="468">
        <v>348</v>
      </c>
      <c r="J65" s="468">
        <v>1</v>
      </c>
      <c r="K65" s="468">
        <v>350</v>
      </c>
      <c r="L65" s="468">
        <v>1</v>
      </c>
      <c r="M65" s="468">
        <v>350</v>
      </c>
      <c r="N65" s="468">
        <v>1</v>
      </c>
      <c r="O65" s="468">
        <v>350</v>
      </c>
      <c r="P65" s="603">
        <v>1</v>
      </c>
      <c r="Q65" s="469">
        <v>350</v>
      </c>
    </row>
    <row r="66" spans="1:17" ht="14.4" customHeight="1" x14ac:dyDescent="0.3">
      <c r="A66" s="522" t="s">
        <v>1103</v>
      </c>
      <c r="B66" s="465" t="s">
        <v>925</v>
      </c>
      <c r="C66" s="465" t="s">
        <v>926</v>
      </c>
      <c r="D66" s="465" t="s">
        <v>1017</v>
      </c>
      <c r="E66" s="465" t="s">
        <v>1018</v>
      </c>
      <c r="F66" s="468">
        <v>11</v>
      </c>
      <c r="G66" s="468">
        <v>1903</v>
      </c>
      <c r="H66" s="468">
        <v>10.936781609195402</v>
      </c>
      <c r="I66" s="468">
        <v>173</v>
      </c>
      <c r="J66" s="468">
        <v>1</v>
      </c>
      <c r="K66" s="468">
        <v>174</v>
      </c>
      <c r="L66" s="468">
        <v>1</v>
      </c>
      <c r="M66" s="468">
        <v>174</v>
      </c>
      <c r="N66" s="468">
        <v>1</v>
      </c>
      <c r="O66" s="468">
        <v>174</v>
      </c>
      <c r="P66" s="603">
        <v>1</v>
      </c>
      <c r="Q66" s="469">
        <v>174</v>
      </c>
    </row>
    <row r="67" spans="1:17" ht="14.4" customHeight="1" x14ac:dyDescent="0.3">
      <c r="A67" s="522" t="s">
        <v>1103</v>
      </c>
      <c r="B67" s="465" t="s">
        <v>925</v>
      </c>
      <c r="C67" s="465" t="s">
        <v>926</v>
      </c>
      <c r="D67" s="465" t="s">
        <v>1019</v>
      </c>
      <c r="E67" s="465" t="s">
        <v>1020</v>
      </c>
      <c r="F67" s="468">
        <v>36</v>
      </c>
      <c r="G67" s="468">
        <v>14400</v>
      </c>
      <c r="H67" s="468">
        <v>1.7955112219451372</v>
      </c>
      <c r="I67" s="468">
        <v>400</v>
      </c>
      <c r="J67" s="468">
        <v>20</v>
      </c>
      <c r="K67" s="468">
        <v>8020</v>
      </c>
      <c r="L67" s="468">
        <v>1</v>
      </c>
      <c r="M67" s="468">
        <v>401</v>
      </c>
      <c r="N67" s="468">
        <v>20</v>
      </c>
      <c r="O67" s="468">
        <v>8020</v>
      </c>
      <c r="P67" s="603">
        <v>1</v>
      </c>
      <c r="Q67" s="469">
        <v>401</v>
      </c>
    </row>
    <row r="68" spans="1:17" ht="14.4" customHeight="1" x14ac:dyDescent="0.3">
      <c r="A68" s="522" t="s">
        <v>1103</v>
      </c>
      <c r="B68" s="465" t="s">
        <v>925</v>
      </c>
      <c r="C68" s="465" t="s">
        <v>926</v>
      </c>
      <c r="D68" s="465" t="s">
        <v>1021</v>
      </c>
      <c r="E68" s="465" t="s">
        <v>1022</v>
      </c>
      <c r="F68" s="468"/>
      <c r="G68" s="468"/>
      <c r="H68" s="468"/>
      <c r="I68" s="468"/>
      <c r="J68" s="468"/>
      <c r="K68" s="468"/>
      <c r="L68" s="468"/>
      <c r="M68" s="468"/>
      <c r="N68" s="468">
        <v>1</v>
      </c>
      <c r="O68" s="468">
        <v>654</v>
      </c>
      <c r="P68" s="603"/>
      <c r="Q68" s="469">
        <v>654</v>
      </c>
    </row>
    <row r="69" spans="1:17" ht="14.4" customHeight="1" x14ac:dyDescent="0.3">
      <c r="A69" s="522" t="s">
        <v>1103</v>
      </c>
      <c r="B69" s="465" t="s">
        <v>925</v>
      </c>
      <c r="C69" s="465" t="s">
        <v>926</v>
      </c>
      <c r="D69" s="465" t="s">
        <v>1023</v>
      </c>
      <c r="E69" s="465" t="s">
        <v>1024</v>
      </c>
      <c r="F69" s="468"/>
      <c r="G69" s="468"/>
      <c r="H69" s="468"/>
      <c r="I69" s="468"/>
      <c r="J69" s="468"/>
      <c r="K69" s="468"/>
      <c r="L69" s="468"/>
      <c r="M69" s="468"/>
      <c r="N69" s="468">
        <v>1</v>
      </c>
      <c r="O69" s="468">
        <v>654</v>
      </c>
      <c r="P69" s="603"/>
      <c r="Q69" s="469">
        <v>654</v>
      </c>
    </row>
    <row r="70" spans="1:17" ht="14.4" customHeight="1" x14ac:dyDescent="0.3">
      <c r="A70" s="522" t="s">
        <v>1103</v>
      </c>
      <c r="B70" s="465" t="s">
        <v>925</v>
      </c>
      <c r="C70" s="465" t="s">
        <v>926</v>
      </c>
      <c r="D70" s="465" t="s">
        <v>1029</v>
      </c>
      <c r="E70" s="465" t="s">
        <v>1030</v>
      </c>
      <c r="F70" s="468">
        <v>1</v>
      </c>
      <c r="G70" s="468">
        <v>676</v>
      </c>
      <c r="H70" s="468">
        <v>0.99705014749262533</v>
      </c>
      <c r="I70" s="468">
        <v>676</v>
      </c>
      <c r="J70" s="468">
        <v>1</v>
      </c>
      <c r="K70" s="468">
        <v>678</v>
      </c>
      <c r="L70" s="468">
        <v>1</v>
      </c>
      <c r="M70" s="468">
        <v>678</v>
      </c>
      <c r="N70" s="468">
        <v>1</v>
      </c>
      <c r="O70" s="468">
        <v>678</v>
      </c>
      <c r="P70" s="603">
        <v>1</v>
      </c>
      <c r="Q70" s="469">
        <v>678</v>
      </c>
    </row>
    <row r="71" spans="1:17" ht="14.4" customHeight="1" x14ac:dyDescent="0.3">
      <c r="A71" s="522" t="s">
        <v>1103</v>
      </c>
      <c r="B71" s="465" t="s">
        <v>925</v>
      </c>
      <c r="C71" s="465" t="s">
        <v>926</v>
      </c>
      <c r="D71" s="465" t="s">
        <v>1031</v>
      </c>
      <c r="E71" s="465" t="s">
        <v>1032</v>
      </c>
      <c r="F71" s="468">
        <v>1</v>
      </c>
      <c r="G71" s="468">
        <v>475</v>
      </c>
      <c r="H71" s="468">
        <v>0.99580712788259962</v>
      </c>
      <c r="I71" s="468">
        <v>475</v>
      </c>
      <c r="J71" s="468">
        <v>1</v>
      </c>
      <c r="K71" s="468">
        <v>477</v>
      </c>
      <c r="L71" s="468">
        <v>1</v>
      </c>
      <c r="M71" s="468">
        <v>477</v>
      </c>
      <c r="N71" s="468">
        <v>1</v>
      </c>
      <c r="O71" s="468">
        <v>477</v>
      </c>
      <c r="P71" s="603">
        <v>1</v>
      </c>
      <c r="Q71" s="469">
        <v>477</v>
      </c>
    </row>
    <row r="72" spans="1:17" ht="14.4" customHeight="1" x14ac:dyDescent="0.3">
      <c r="A72" s="522" t="s">
        <v>1103</v>
      </c>
      <c r="B72" s="465" t="s">
        <v>925</v>
      </c>
      <c r="C72" s="465" t="s">
        <v>926</v>
      </c>
      <c r="D72" s="465" t="s">
        <v>1035</v>
      </c>
      <c r="E72" s="465" t="s">
        <v>1036</v>
      </c>
      <c r="F72" s="468">
        <v>2</v>
      </c>
      <c r="G72" s="468">
        <v>1624</v>
      </c>
      <c r="H72" s="468"/>
      <c r="I72" s="468">
        <v>812</v>
      </c>
      <c r="J72" s="468"/>
      <c r="K72" s="468"/>
      <c r="L72" s="468"/>
      <c r="M72" s="468"/>
      <c r="N72" s="468">
        <v>1</v>
      </c>
      <c r="O72" s="468">
        <v>814</v>
      </c>
      <c r="P72" s="603"/>
      <c r="Q72" s="469">
        <v>814</v>
      </c>
    </row>
    <row r="73" spans="1:17" ht="14.4" customHeight="1" x14ac:dyDescent="0.3">
      <c r="A73" s="522" t="s">
        <v>1103</v>
      </c>
      <c r="B73" s="465" t="s">
        <v>925</v>
      </c>
      <c r="C73" s="465" t="s">
        <v>926</v>
      </c>
      <c r="D73" s="465" t="s">
        <v>1039</v>
      </c>
      <c r="E73" s="465" t="s">
        <v>1040</v>
      </c>
      <c r="F73" s="468">
        <v>6</v>
      </c>
      <c r="G73" s="468">
        <v>1002</v>
      </c>
      <c r="H73" s="468"/>
      <c r="I73" s="468">
        <v>167</v>
      </c>
      <c r="J73" s="468"/>
      <c r="K73" s="468"/>
      <c r="L73" s="468"/>
      <c r="M73" s="468"/>
      <c r="N73" s="468"/>
      <c r="O73" s="468"/>
      <c r="P73" s="603"/>
      <c r="Q73" s="469"/>
    </row>
    <row r="74" spans="1:17" ht="14.4" customHeight="1" x14ac:dyDescent="0.3">
      <c r="A74" s="522" t="s">
        <v>1103</v>
      </c>
      <c r="B74" s="465" t="s">
        <v>925</v>
      </c>
      <c r="C74" s="465" t="s">
        <v>926</v>
      </c>
      <c r="D74" s="465" t="s">
        <v>1043</v>
      </c>
      <c r="E74" s="465" t="s">
        <v>1044</v>
      </c>
      <c r="F74" s="468">
        <v>9</v>
      </c>
      <c r="G74" s="468">
        <v>5157</v>
      </c>
      <c r="H74" s="468">
        <v>1.7968641114982578</v>
      </c>
      <c r="I74" s="468">
        <v>573</v>
      </c>
      <c r="J74" s="468">
        <v>5</v>
      </c>
      <c r="K74" s="468">
        <v>2870</v>
      </c>
      <c r="L74" s="468">
        <v>1</v>
      </c>
      <c r="M74" s="468">
        <v>574</v>
      </c>
      <c r="N74" s="468">
        <v>5</v>
      </c>
      <c r="O74" s="468">
        <v>2870</v>
      </c>
      <c r="P74" s="603">
        <v>1</v>
      </c>
      <c r="Q74" s="469">
        <v>574</v>
      </c>
    </row>
    <row r="75" spans="1:17" ht="14.4" customHeight="1" x14ac:dyDescent="0.3">
      <c r="A75" s="522" t="s">
        <v>1103</v>
      </c>
      <c r="B75" s="465" t="s">
        <v>925</v>
      </c>
      <c r="C75" s="465" t="s">
        <v>926</v>
      </c>
      <c r="D75" s="465" t="s">
        <v>1047</v>
      </c>
      <c r="E75" s="465" t="s">
        <v>1048</v>
      </c>
      <c r="F75" s="468">
        <v>4</v>
      </c>
      <c r="G75" s="468">
        <v>744</v>
      </c>
      <c r="H75" s="468">
        <v>3.9786096256684491</v>
      </c>
      <c r="I75" s="468">
        <v>186</v>
      </c>
      <c r="J75" s="468">
        <v>1</v>
      </c>
      <c r="K75" s="468">
        <v>187</v>
      </c>
      <c r="L75" s="468">
        <v>1</v>
      </c>
      <c r="M75" s="468">
        <v>187</v>
      </c>
      <c r="N75" s="468">
        <v>1</v>
      </c>
      <c r="O75" s="468">
        <v>187</v>
      </c>
      <c r="P75" s="603">
        <v>1</v>
      </c>
      <c r="Q75" s="469">
        <v>187</v>
      </c>
    </row>
    <row r="76" spans="1:17" ht="14.4" customHeight="1" x14ac:dyDescent="0.3">
      <c r="A76" s="522" t="s">
        <v>1103</v>
      </c>
      <c r="B76" s="465" t="s">
        <v>925</v>
      </c>
      <c r="C76" s="465" t="s">
        <v>926</v>
      </c>
      <c r="D76" s="465" t="s">
        <v>1053</v>
      </c>
      <c r="E76" s="465" t="s">
        <v>1054</v>
      </c>
      <c r="F76" s="468"/>
      <c r="G76" s="468"/>
      <c r="H76" s="468"/>
      <c r="I76" s="468"/>
      <c r="J76" s="468"/>
      <c r="K76" s="468"/>
      <c r="L76" s="468"/>
      <c r="M76" s="468"/>
      <c r="N76" s="468">
        <v>1</v>
      </c>
      <c r="O76" s="468">
        <v>1399</v>
      </c>
      <c r="P76" s="603"/>
      <c r="Q76" s="469">
        <v>1399</v>
      </c>
    </row>
    <row r="77" spans="1:17" ht="14.4" customHeight="1" x14ac:dyDescent="0.3">
      <c r="A77" s="522" t="s">
        <v>1103</v>
      </c>
      <c r="B77" s="465" t="s">
        <v>925</v>
      </c>
      <c r="C77" s="465" t="s">
        <v>926</v>
      </c>
      <c r="D77" s="465" t="s">
        <v>1059</v>
      </c>
      <c r="E77" s="465" t="s">
        <v>1060</v>
      </c>
      <c r="F77" s="468">
        <v>2</v>
      </c>
      <c r="G77" s="468">
        <v>1624</v>
      </c>
      <c r="H77" s="468"/>
      <c r="I77" s="468">
        <v>812</v>
      </c>
      <c r="J77" s="468"/>
      <c r="K77" s="468"/>
      <c r="L77" s="468"/>
      <c r="M77" s="468"/>
      <c r="N77" s="468">
        <v>1</v>
      </c>
      <c r="O77" s="468">
        <v>814</v>
      </c>
      <c r="P77" s="603"/>
      <c r="Q77" s="469">
        <v>814</v>
      </c>
    </row>
    <row r="78" spans="1:17" ht="14.4" customHeight="1" x14ac:dyDescent="0.3">
      <c r="A78" s="522" t="s">
        <v>1104</v>
      </c>
      <c r="B78" s="465" t="s">
        <v>925</v>
      </c>
      <c r="C78" s="465" t="s">
        <v>926</v>
      </c>
      <c r="D78" s="465" t="s">
        <v>927</v>
      </c>
      <c r="E78" s="465" t="s">
        <v>928</v>
      </c>
      <c r="F78" s="468">
        <v>7</v>
      </c>
      <c r="G78" s="468">
        <v>8288</v>
      </c>
      <c r="H78" s="468">
        <v>3.4911541701769164</v>
      </c>
      <c r="I78" s="468">
        <v>1184</v>
      </c>
      <c r="J78" s="468">
        <v>2</v>
      </c>
      <c r="K78" s="468">
        <v>2374</v>
      </c>
      <c r="L78" s="468">
        <v>1</v>
      </c>
      <c r="M78" s="468">
        <v>1187</v>
      </c>
      <c r="N78" s="468">
        <v>9</v>
      </c>
      <c r="O78" s="468">
        <v>13347</v>
      </c>
      <c r="P78" s="603">
        <v>5.622156697556866</v>
      </c>
      <c r="Q78" s="469">
        <v>1483</v>
      </c>
    </row>
    <row r="79" spans="1:17" ht="14.4" customHeight="1" x14ac:dyDescent="0.3">
      <c r="A79" s="522" t="s">
        <v>1104</v>
      </c>
      <c r="B79" s="465" t="s">
        <v>925</v>
      </c>
      <c r="C79" s="465" t="s">
        <v>926</v>
      </c>
      <c r="D79" s="465" t="s">
        <v>931</v>
      </c>
      <c r="E79" s="465" t="s">
        <v>932</v>
      </c>
      <c r="F79" s="468">
        <v>9</v>
      </c>
      <c r="G79" s="468">
        <v>5886</v>
      </c>
      <c r="H79" s="468">
        <v>2.9863013698630136</v>
      </c>
      <c r="I79" s="468">
        <v>654</v>
      </c>
      <c r="J79" s="468">
        <v>3</v>
      </c>
      <c r="K79" s="468">
        <v>1971</v>
      </c>
      <c r="L79" s="468">
        <v>1</v>
      </c>
      <c r="M79" s="468">
        <v>657</v>
      </c>
      <c r="N79" s="468">
        <v>9</v>
      </c>
      <c r="O79" s="468">
        <v>5922</v>
      </c>
      <c r="P79" s="603">
        <v>3.0045662100456623</v>
      </c>
      <c r="Q79" s="469">
        <v>658</v>
      </c>
    </row>
    <row r="80" spans="1:17" ht="14.4" customHeight="1" x14ac:dyDescent="0.3">
      <c r="A80" s="522" t="s">
        <v>1104</v>
      </c>
      <c r="B80" s="465" t="s">
        <v>925</v>
      </c>
      <c r="C80" s="465" t="s">
        <v>926</v>
      </c>
      <c r="D80" s="465" t="s">
        <v>935</v>
      </c>
      <c r="E80" s="465" t="s">
        <v>936</v>
      </c>
      <c r="F80" s="468">
        <v>2</v>
      </c>
      <c r="G80" s="468">
        <v>2030</v>
      </c>
      <c r="H80" s="468"/>
      <c r="I80" s="468">
        <v>1015</v>
      </c>
      <c r="J80" s="468"/>
      <c r="K80" s="468"/>
      <c r="L80" s="468"/>
      <c r="M80" s="468"/>
      <c r="N80" s="468"/>
      <c r="O80" s="468"/>
      <c r="P80" s="603"/>
      <c r="Q80" s="469"/>
    </row>
    <row r="81" spans="1:17" ht="14.4" customHeight="1" x14ac:dyDescent="0.3">
      <c r="A81" s="522" t="s">
        <v>1104</v>
      </c>
      <c r="B81" s="465" t="s">
        <v>925</v>
      </c>
      <c r="C81" s="465" t="s">
        <v>926</v>
      </c>
      <c r="D81" s="465" t="s">
        <v>937</v>
      </c>
      <c r="E81" s="465" t="s">
        <v>938</v>
      </c>
      <c r="F81" s="468">
        <v>11</v>
      </c>
      <c r="G81" s="468">
        <v>11473</v>
      </c>
      <c r="H81" s="468">
        <v>3.5279827798277981</v>
      </c>
      <c r="I81" s="468">
        <v>1043</v>
      </c>
      <c r="J81" s="468">
        <v>3</v>
      </c>
      <c r="K81" s="468">
        <v>3252</v>
      </c>
      <c r="L81" s="468">
        <v>1</v>
      </c>
      <c r="M81" s="468">
        <v>1084</v>
      </c>
      <c r="N81" s="468">
        <v>8</v>
      </c>
      <c r="O81" s="468">
        <v>8680</v>
      </c>
      <c r="P81" s="603">
        <v>2.6691266912669125</v>
      </c>
      <c r="Q81" s="469">
        <v>1085</v>
      </c>
    </row>
    <row r="82" spans="1:17" ht="14.4" customHeight="1" x14ac:dyDescent="0.3">
      <c r="A82" s="522" t="s">
        <v>1104</v>
      </c>
      <c r="B82" s="465" t="s">
        <v>925</v>
      </c>
      <c r="C82" s="465" t="s">
        <v>926</v>
      </c>
      <c r="D82" s="465" t="s">
        <v>939</v>
      </c>
      <c r="E82" s="465" t="s">
        <v>940</v>
      </c>
      <c r="F82" s="468">
        <v>6</v>
      </c>
      <c r="G82" s="468">
        <v>4986</v>
      </c>
      <c r="H82" s="468"/>
      <c r="I82" s="468">
        <v>831</v>
      </c>
      <c r="J82" s="468"/>
      <c r="K82" s="468"/>
      <c r="L82" s="468"/>
      <c r="M82" s="468"/>
      <c r="N82" s="468">
        <v>3</v>
      </c>
      <c r="O82" s="468">
        <v>2529</v>
      </c>
      <c r="P82" s="603"/>
      <c r="Q82" s="469">
        <v>843</v>
      </c>
    </row>
    <row r="83" spans="1:17" ht="14.4" customHeight="1" x14ac:dyDescent="0.3">
      <c r="A83" s="522" t="s">
        <v>1104</v>
      </c>
      <c r="B83" s="465" t="s">
        <v>925</v>
      </c>
      <c r="C83" s="465" t="s">
        <v>926</v>
      </c>
      <c r="D83" s="465" t="s">
        <v>941</v>
      </c>
      <c r="E83" s="465" t="s">
        <v>942</v>
      </c>
      <c r="F83" s="468">
        <v>13</v>
      </c>
      <c r="G83" s="468">
        <v>2639</v>
      </c>
      <c r="H83" s="468">
        <v>6.4053398058252426</v>
      </c>
      <c r="I83" s="468">
        <v>203</v>
      </c>
      <c r="J83" s="468">
        <v>2</v>
      </c>
      <c r="K83" s="468">
        <v>412</v>
      </c>
      <c r="L83" s="468">
        <v>1</v>
      </c>
      <c r="M83" s="468">
        <v>206</v>
      </c>
      <c r="N83" s="468">
        <v>5</v>
      </c>
      <c r="O83" s="468">
        <v>1035</v>
      </c>
      <c r="P83" s="603">
        <v>2.512135922330097</v>
      </c>
      <c r="Q83" s="469">
        <v>207</v>
      </c>
    </row>
    <row r="84" spans="1:17" ht="14.4" customHeight="1" x14ac:dyDescent="0.3">
      <c r="A84" s="522" t="s">
        <v>1104</v>
      </c>
      <c r="B84" s="465" t="s">
        <v>925</v>
      </c>
      <c r="C84" s="465" t="s">
        <v>926</v>
      </c>
      <c r="D84" s="465" t="s">
        <v>943</v>
      </c>
      <c r="E84" s="465" t="s">
        <v>944</v>
      </c>
      <c r="F84" s="468">
        <v>1</v>
      </c>
      <c r="G84" s="468">
        <v>812</v>
      </c>
      <c r="H84" s="468">
        <v>0.99876998769987702</v>
      </c>
      <c r="I84" s="468">
        <v>812</v>
      </c>
      <c r="J84" s="468">
        <v>1</v>
      </c>
      <c r="K84" s="468">
        <v>813</v>
      </c>
      <c r="L84" s="468">
        <v>1</v>
      </c>
      <c r="M84" s="468">
        <v>813</v>
      </c>
      <c r="N84" s="468">
        <v>4</v>
      </c>
      <c r="O84" s="468">
        <v>3256</v>
      </c>
      <c r="P84" s="603">
        <v>4.0049200492004919</v>
      </c>
      <c r="Q84" s="469">
        <v>814</v>
      </c>
    </row>
    <row r="85" spans="1:17" ht="14.4" customHeight="1" x14ac:dyDescent="0.3">
      <c r="A85" s="522" t="s">
        <v>1104</v>
      </c>
      <c r="B85" s="465" t="s">
        <v>925</v>
      </c>
      <c r="C85" s="465" t="s">
        <v>926</v>
      </c>
      <c r="D85" s="465" t="s">
        <v>945</v>
      </c>
      <c r="E85" s="465" t="s">
        <v>946</v>
      </c>
      <c r="F85" s="468">
        <v>1</v>
      </c>
      <c r="G85" s="468">
        <v>812</v>
      </c>
      <c r="H85" s="468">
        <v>0.99876998769987702</v>
      </c>
      <c r="I85" s="468">
        <v>812</v>
      </c>
      <c r="J85" s="468">
        <v>1</v>
      </c>
      <c r="K85" s="468">
        <v>813</v>
      </c>
      <c r="L85" s="468">
        <v>1</v>
      </c>
      <c r="M85" s="468">
        <v>813</v>
      </c>
      <c r="N85" s="468">
        <v>4</v>
      </c>
      <c r="O85" s="468">
        <v>3256</v>
      </c>
      <c r="P85" s="603">
        <v>4.0049200492004919</v>
      </c>
      <c r="Q85" s="469">
        <v>814</v>
      </c>
    </row>
    <row r="86" spans="1:17" ht="14.4" customHeight="1" x14ac:dyDescent="0.3">
      <c r="A86" s="522" t="s">
        <v>1104</v>
      </c>
      <c r="B86" s="465" t="s">
        <v>925</v>
      </c>
      <c r="C86" s="465" t="s">
        <v>926</v>
      </c>
      <c r="D86" s="465" t="s">
        <v>947</v>
      </c>
      <c r="E86" s="465" t="s">
        <v>948</v>
      </c>
      <c r="F86" s="468">
        <v>11</v>
      </c>
      <c r="G86" s="468">
        <v>1837</v>
      </c>
      <c r="H86" s="468">
        <v>1.3668154761904763</v>
      </c>
      <c r="I86" s="468">
        <v>167</v>
      </c>
      <c r="J86" s="468">
        <v>8</v>
      </c>
      <c r="K86" s="468">
        <v>1344</v>
      </c>
      <c r="L86" s="468">
        <v>1</v>
      </c>
      <c r="M86" s="468">
        <v>168</v>
      </c>
      <c r="N86" s="468">
        <v>25</v>
      </c>
      <c r="O86" s="468">
        <v>4200</v>
      </c>
      <c r="P86" s="603">
        <v>3.125</v>
      </c>
      <c r="Q86" s="469">
        <v>168</v>
      </c>
    </row>
    <row r="87" spans="1:17" ht="14.4" customHeight="1" x14ac:dyDescent="0.3">
      <c r="A87" s="522" t="s">
        <v>1104</v>
      </c>
      <c r="B87" s="465" t="s">
        <v>925</v>
      </c>
      <c r="C87" s="465" t="s">
        <v>926</v>
      </c>
      <c r="D87" s="465" t="s">
        <v>949</v>
      </c>
      <c r="E87" s="465" t="s">
        <v>950</v>
      </c>
      <c r="F87" s="468">
        <v>51</v>
      </c>
      <c r="G87" s="468">
        <v>8823</v>
      </c>
      <c r="H87" s="468">
        <v>2.1127873563218391</v>
      </c>
      <c r="I87" s="468">
        <v>173</v>
      </c>
      <c r="J87" s="468">
        <v>24</v>
      </c>
      <c r="K87" s="468">
        <v>4176</v>
      </c>
      <c r="L87" s="468">
        <v>1</v>
      </c>
      <c r="M87" s="468">
        <v>174</v>
      </c>
      <c r="N87" s="468">
        <v>51</v>
      </c>
      <c r="O87" s="468">
        <v>8874</v>
      </c>
      <c r="P87" s="603">
        <v>2.125</v>
      </c>
      <c r="Q87" s="469">
        <v>174</v>
      </c>
    </row>
    <row r="88" spans="1:17" ht="14.4" customHeight="1" x14ac:dyDescent="0.3">
      <c r="A88" s="522" t="s">
        <v>1104</v>
      </c>
      <c r="B88" s="465" t="s">
        <v>925</v>
      </c>
      <c r="C88" s="465" t="s">
        <v>926</v>
      </c>
      <c r="D88" s="465" t="s">
        <v>951</v>
      </c>
      <c r="E88" s="465" t="s">
        <v>952</v>
      </c>
      <c r="F88" s="468">
        <v>41</v>
      </c>
      <c r="G88" s="468">
        <v>14391</v>
      </c>
      <c r="H88" s="468">
        <v>2.9202516233766236</v>
      </c>
      <c r="I88" s="468">
        <v>351</v>
      </c>
      <c r="J88" s="468">
        <v>14</v>
      </c>
      <c r="K88" s="468">
        <v>4928</v>
      </c>
      <c r="L88" s="468">
        <v>1</v>
      </c>
      <c r="M88" s="468">
        <v>352</v>
      </c>
      <c r="N88" s="468">
        <v>52</v>
      </c>
      <c r="O88" s="468">
        <v>18304</v>
      </c>
      <c r="P88" s="603">
        <v>3.7142857142857144</v>
      </c>
      <c r="Q88" s="469">
        <v>352</v>
      </c>
    </row>
    <row r="89" spans="1:17" ht="14.4" customHeight="1" x14ac:dyDescent="0.3">
      <c r="A89" s="522" t="s">
        <v>1104</v>
      </c>
      <c r="B89" s="465" t="s">
        <v>925</v>
      </c>
      <c r="C89" s="465" t="s">
        <v>926</v>
      </c>
      <c r="D89" s="465" t="s">
        <v>1078</v>
      </c>
      <c r="E89" s="465" t="s">
        <v>1079</v>
      </c>
      <c r="F89" s="468">
        <v>18</v>
      </c>
      <c r="G89" s="468">
        <v>18666</v>
      </c>
      <c r="H89" s="468">
        <v>2.9971098265895955</v>
      </c>
      <c r="I89" s="468">
        <v>1037</v>
      </c>
      <c r="J89" s="468">
        <v>6</v>
      </c>
      <c r="K89" s="468">
        <v>6228</v>
      </c>
      <c r="L89" s="468">
        <v>1</v>
      </c>
      <c r="M89" s="468">
        <v>1038</v>
      </c>
      <c r="N89" s="468">
        <v>10</v>
      </c>
      <c r="O89" s="468">
        <v>10380</v>
      </c>
      <c r="P89" s="603">
        <v>1.6666666666666667</v>
      </c>
      <c r="Q89" s="469">
        <v>1038</v>
      </c>
    </row>
    <row r="90" spans="1:17" ht="14.4" customHeight="1" x14ac:dyDescent="0.3">
      <c r="A90" s="522" t="s">
        <v>1104</v>
      </c>
      <c r="B90" s="465" t="s">
        <v>925</v>
      </c>
      <c r="C90" s="465" t="s">
        <v>926</v>
      </c>
      <c r="D90" s="465" t="s">
        <v>953</v>
      </c>
      <c r="E90" s="465" t="s">
        <v>954</v>
      </c>
      <c r="F90" s="468">
        <v>13</v>
      </c>
      <c r="G90" s="468">
        <v>2457</v>
      </c>
      <c r="H90" s="468">
        <v>3.232894736842105</v>
      </c>
      <c r="I90" s="468">
        <v>189</v>
      </c>
      <c r="J90" s="468">
        <v>4</v>
      </c>
      <c r="K90" s="468">
        <v>760</v>
      </c>
      <c r="L90" s="468">
        <v>1</v>
      </c>
      <c r="M90" s="468">
        <v>190</v>
      </c>
      <c r="N90" s="468">
        <v>5</v>
      </c>
      <c r="O90" s="468">
        <v>950</v>
      </c>
      <c r="P90" s="603">
        <v>1.25</v>
      </c>
      <c r="Q90" s="469">
        <v>190</v>
      </c>
    </row>
    <row r="91" spans="1:17" ht="14.4" customHeight="1" x14ac:dyDescent="0.3">
      <c r="A91" s="522" t="s">
        <v>1104</v>
      </c>
      <c r="B91" s="465" t="s">
        <v>925</v>
      </c>
      <c r="C91" s="465" t="s">
        <v>926</v>
      </c>
      <c r="D91" s="465" t="s">
        <v>959</v>
      </c>
      <c r="E91" s="465" t="s">
        <v>960</v>
      </c>
      <c r="F91" s="468">
        <v>44</v>
      </c>
      <c r="G91" s="468">
        <v>24068</v>
      </c>
      <c r="H91" s="468">
        <v>1.9927140255009108</v>
      </c>
      <c r="I91" s="468">
        <v>547</v>
      </c>
      <c r="J91" s="468">
        <v>22</v>
      </c>
      <c r="K91" s="468">
        <v>12078</v>
      </c>
      <c r="L91" s="468">
        <v>1</v>
      </c>
      <c r="M91" s="468">
        <v>549</v>
      </c>
      <c r="N91" s="468">
        <v>45</v>
      </c>
      <c r="O91" s="468">
        <v>24705</v>
      </c>
      <c r="P91" s="603">
        <v>2.0454545454545454</v>
      </c>
      <c r="Q91" s="469">
        <v>549</v>
      </c>
    </row>
    <row r="92" spans="1:17" ht="14.4" customHeight="1" x14ac:dyDescent="0.3">
      <c r="A92" s="522" t="s">
        <v>1104</v>
      </c>
      <c r="B92" s="465" t="s">
        <v>925</v>
      </c>
      <c r="C92" s="465" t="s">
        <v>926</v>
      </c>
      <c r="D92" s="465" t="s">
        <v>961</v>
      </c>
      <c r="E92" s="465" t="s">
        <v>962</v>
      </c>
      <c r="F92" s="468">
        <v>16</v>
      </c>
      <c r="G92" s="468">
        <v>10432</v>
      </c>
      <c r="H92" s="468">
        <v>1.5951070336391437</v>
      </c>
      <c r="I92" s="468">
        <v>652</v>
      </c>
      <c r="J92" s="468">
        <v>10</v>
      </c>
      <c r="K92" s="468">
        <v>6540</v>
      </c>
      <c r="L92" s="468">
        <v>1</v>
      </c>
      <c r="M92" s="468">
        <v>654</v>
      </c>
      <c r="N92" s="468">
        <v>16</v>
      </c>
      <c r="O92" s="468">
        <v>10464</v>
      </c>
      <c r="P92" s="603">
        <v>1.6</v>
      </c>
      <c r="Q92" s="469">
        <v>654</v>
      </c>
    </row>
    <row r="93" spans="1:17" ht="14.4" customHeight="1" x14ac:dyDescent="0.3">
      <c r="A93" s="522" t="s">
        <v>1104</v>
      </c>
      <c r="B93" s="465" t="s">
        <v>925</v>
      </c>
      <c r="C93" s="465" t="s">
        <v>926</v>
      </c>
      <c r="D93" s="465" t="s">
        <v>963</v>
      </c>
      <c r="E93" s="465" t="s">
        <v>964</v>
      </c>
      <c r="F93" s="468">
        <v>16</v>
      </c>
      <c r="G93" s="468">
        <v>10432</v>
      </c>
      <c r="H93" s="468">
        <v>1.5951070336391437</v>
      </c>
      <c r="I93" s="468">
        <v>652</v>
      </c>
      <c r="J93" s="468">
        <v>10</v>
      </c>
      <c r="K93" s="468">
        <v>6540</v>
      </c>
      <c r="L93" s="468">
        <v>1</v>
      </c>
      <c r="M93" s="468">
        <v>654</v>
      </c>
      <c r="N93" s="468">
        <v>16</v>
      </c>
      <c r="O93" s="468">
        <v>10464</v>
      </c>
      <c r="P93" s="603">
        <v>1.6</v>
      </c>
      <c r="Q93" s="469">
        <v>654</v>
      </c>
    </row>
    <row r="94" spans="1:17" ht="14.4" customHeight="1" x14ac:dyDescent="0.3">
      <c r="A94" s="522" t="s">
        <v>1104</v>
      </c>
      <c r="B94" s="465" t="s">
        <v>925</v>
      </c>
      <c r="C94" s="465" t="s">
        <v>926</v>
      </c>
      <c r="D94" s="465" t="s">
        <v>965</v>
      </c>
      <c r="E94" s="465" t="s">
        <v>966</v>
      </c>
      <c r="F94" s="468">
        <v>15</v>
      </c>
      <c r="G94" s="468">
        <v>10140</v>
      </c>
      <c r="H94" s="468">
        <v>14.955752212389381</v>
      </c>
      <c r="I94" s="468">
        <v>676</v>
      </c>
      <c r="J94" s="468">
        <v>1</v>
      </c>
      <c r="K94" s="468">
        <v>678</v>
      </c>
      <c r="L94" s="468">
        <v>1</v>
      </c>
      <c r="M94" s="468">
        <v>678</v>
      </c>
      <c r="N94" s="468">
        <v>19</v>
      </c>
      <c r="O94" s="468">
        <v>12882</v>
      </c>
      <c r="P94" s="603">
        <v>19</v>
      </c>
      <c r="Q94" s="469">
        <v>678</v>
      </c>
    </row>
    <row r="95" spans="1:17" ht="14.4" customHeight="1" x14ac:dyDescent="0.3">
      <c r="A95" s="522" t="s">
        <v>1104</v>
      </c>
      <c r="B95" s="465" t="s">
        <v>925</v>
      </c>
      <c r="C95" s="465" t="s">
        <v>926</v>
      </c>
      <c r="D95" s="465" t="s">
        <v>967</v>
      </c>
      <c r="E95" s="465" t="s">
        <v>968</v>
      </c>
      <c r="F95" s="468">
        <v>10</v>
      </c>
      <c r="G95" s="468">
        <v>5110</v>
      </c>
      <c r="H95" s="468"/>
      <c r="I95" s="468">
        <v>511</v>
      </c>
      <c r="J95" s="468"/>
      <c r="K95" s="468"/>
      <c r="L95" s="468"/>
      <c r="M95" s="468"/>
      <c r="N95" s="468">
        <v>3</v>
      </c>
      <c r="O95" s="468">
        <v>1539</v>
      </c>
      <c r="P95" s="603"/>
      <c r="Q95" s="469">
        <v>513</v>
      </c>
    </row>
    <row r="96" spans="1:17" ht="14.4" customHeight="1" x14ac:dyDescent="0.3">
      <c r="A96" s="522" t="s">
        <v>1104</v>
      </c>
      <c r="B96" s="465" t="s">
        <v>925</v>
      </c>
      <c r="C96" s="465" t="s">
        <v>926</v>
      </c>
      <c r="D96" s="465" t="s">
        <v>969</v>
      </c>
      <c r="E96" s="465" t="s">
        <v>970</v>
      </c>
      <c r="F96" s="468">
        <v>10</v>
      </c>
      <c r="G96" s="468">
        <v>4210</v>
      </c>
      <c r="H96" s="468"/>
      <c r="I96" s="468">
        <v>421</v>
      </c>
      <c r="J96" s="468"/>
      <c r="K96" s="468"/>
      <c r="L96" s="468"/>
      <c r="M96" s="468"/>
      <c r="N96" s="468">
        <v>3</v>
      </c>
      <c r="O96" s="468">
        <v>1269</v>
      </c>
      <c r="P96" s="603"/>
      <c r="Q96" s="469">
        <v>423</v>
      </c>
    </row>
    <row r="97" spans="1:17" ht="14.4" customHeight="1" x14ac:dyDescent="0.3">
      <c r="A97" s="522" t="s">
        <v>1104</v>
      </c>
      <c r="B97" s="465" t="s">
        <v>925</v>
      </c>
      <c r="C97" s="465" t="s">
        <v>926</v>
      </c>
      <c r="D97" s="465" t="s">
        <v>971</v>
      </c>
      <c r="E97" s="465" t="s">
        <v>972</v>
      </c>
      <c r="F97" s="468">
        <v>51</v>
      </c>
      <c r="G97" s="468">
        <v>17697</v>
      </c>
      <c r="H97" s="468">
        <v>2.3048971086220371</v>
      </c>
      <c r="I97" s="468">
        <v>347</v>
      </c>
      <c r="J97" s="468">
        <v>22</v>
      </c>
      <c r="K97" s="468">
        <v>7678</v>
      </c>
      <c r="L97" s="468">
        <v>1</v>
      </c>
      <c r="M97" s="468">
        <v>349</v>
      </c>
      <c r="N97" s="468">
        <v>52</v>
      </c>
      <c r="O97" s="468">
        <v>18148</v>
      </c>
      <c r="P97" s="603">
        <v>2.3636363636363638</v>
      </c>
      <c r="Q97" s="469">
        <v>349</v>
      </c>
    </row>
    <row r="98" spans="1:17" ht="14.4" customHeight="1" x14ac:dyDescent="0.3">
      <c r="A98" s="522" t="s">
        <v>1104</v>
      </c>
      <c r="B98" s="465" t="s">
        <v>925</v>
      </c>
      <c r="C98" s="465" t="s">
        <v>926</v>
      </c>
      <c r="D98" s="465" t="s">
        <v>973</v>
      </c>
      <c r="E98" s="465" t="s">
        <v>974</v>
      </c>
      <c r="F98" s="468">
        <v>18</v>
      </c>
      <c r="G98" s="468">
        <v>3942</v>
      </c>
      <c r="H98" s="468">
        <v>2.9728506787330318</v>
      </c>
      <c r="I98" s="468">
        <v>219</v>
      </c>
      <c r="J98" s="468">
        <v>6</v>
      </c>
      <c r="K98" s="468">
        <v>1326</v>
      </c>
      <c r="L98" s="468">
        <v>1</v>
      </c>
      <c r="M98" s="468">
        <v>221</v>
      </c>
      <c r="N98" s="468">
        <v>14</v>
      </c>
      <c r="O98" s="468">
        <v>3094</v>
      </c>
      <c r="P98" s="603">
        <v>2.3333333333333335</v>
      </c>
      <c r="Q98" s="469">
        <v>221</v>
      </c>
    </row>
    <row r="99" spans="1:17" ht="14.4" customHeight="1" x14ac:dyDescent="0.3">
      <c r="A99" s="522" t="s">
        <v>1104</v>
      </c>
      <c r="B99" s="465" t="s">
        <v>925</v>
      </c>
      <c r="C99" s="465" t="s">
        <v>926</v>
      </c>
      <c r="D99" s="465" t="s">
        <v>975</v>
      </c>
      <c r="E99" s="465" t="s">
        <v>976</v>
      </c>
      <c r="F99" s="468"/>
      <c r="G99" s="468"/>
      <c r="H99" s="468"/>
      <c r="I99" s="468"/>
      <c r="J99" s="468">
        <v>4</v>
      </c>
      <c r="K99" s="468">
        <v>2032</v>
      </c>
      <c r="L99" s="468">
        <v>1</v>
      </c>
      <c r="M99" s="468">
        <v>508</v>
      </c>
      <c r="N99" s="468"/>
      <c r="O99" s="468"/>
      <c r="P99" s="603"/>
      <c r="Q99" s="469"/>
    </row>
    <row r="100" spans="1:17" ht="14.4" customHeight="1" x14ac:dyDescent="0.3">
      <c r="A100" s="522" t="s">
        <v>1104</v>
      </c>
      <c r="B100" s="465" t="s">
        <v>925</v>
      </c>
      <c r="C100" s="465" t="s">
        <v>926</v>
      </c>
      <c r="D100" s="465" t="s">
        <v>979</v>
      </c>
      <c r="E100" s="465" t="s">
        <v>980</v>
      </c>
      <c r="F100" s="468">
        <v>9</v>
      </c>
      <c r="G100" s="468">
        <v>2142</v>
      </c>
      <c r="H100" s="468">
        <v>4.481171548117155</v>
      </c>
      <c r="I100" s="468">
        <v>238</v>
      </c>
      <c r="J100" s="468">
        <v>2</v>
      </c>
      <c r="K100" s="468">
        <v>478</v>
      </c>
      <c r="L100" s="468">
        <v>1</v>
      </c>
      <c r="M100" s="468">
        <v>239</v>
      </c>
      <c r="N100" s="468">
        <v>5</v>
      </c>
      <c r="O100" s="468">
        <v>1195</v>
      </c>
      <c r="P100" s="603">
        <v>2.5</v>
      </c>
      <c r="Q100" s="469">
        <v>239</v>
      </c>
    </row>
    <row r="101" spans="1:17" ht="14.4" customHeight="1" x14ac:dyDescent="0.3">
      <c r="A101" s="522" t="s">
        <v>1104</v>
      </c>
      <c r="B101" s="465" t="s">
        <v>925</v>
      </c>
      <c r="C101" s="465" t="s">
        <v>926</v>
      </c>
      <c r="D101" s="465" t="s">
        <v>981</v>
      </c>
      <c r="E101" s="465" t="s">
        <v>982</v>
      </c>
      <c r="F101" s="468">
        <v>34</v>
      </c>
      <c r="G101" s="468">
        <v>3774</v>
      </c>
      <c r="H101" s="468">
        <v>2.6153846153846154</v>
      </c>
      <c r="I101" s="468">
        <v>111</v>
      </c>
      <c r="J101" s="468">
        <v>13</v>
      </c>
      <c r="K101" s="468">
        <v>1443</v>
      </c>
      <c r="L101" s="468">
        <v>1</v>
      </c>
      <c r="M101" s="468">
        <v>111</v>
      </c>
      <c r="N101" s="468">
        <v>47</v>
      </c>
      <c r="O101" s="468">
        <v>5217</v>
      </c>
      <c r="P101" s="603">
        <v>3.6153846153846154</v>
      </c>
      <c r="Q101" s="469">
        <v>111</v>
      </c>
    </row>
    <row r="102" spans="1:17" ht="14.4" customHeight="1" x14ac:dyDescent="0.3">
      <c r="A102" s="522" t="s">
        <v>1104</v>
      </c>
      <c r="B102" s="465" t="s">
        <v>925</v>
      </c>
      <c r="C102" s="465" t="s">
        <v>926</v>
      </c>
      <c r="D102" s="465" t="s">
        <v>983</v>
      </c>
      <c r="E102" s="465" t="s">
        <v>984</v>
      </c>
      <c r="F102" s="468">
        <v>4</v>
      </c>
      <c r="G102" s="468">
        <v>1316</v>
      </c>
      <c r="H102" s="468">
        <v>1.3252769385699898</v>
      </c>
      <c r="I102" s="468">
        <v>329</v>
      </c>
      <c r="J102" s="468">
        <v>3</v>
      </c>
      <c r="K102" s="468">
        <v>993</v>
      </c>
      <c r="L102" s="468">
        <v>1</v>
      </c>
      <c r="M102" s="468">
        <v>331</v>
      </c>
      <c r="N102" s="468">
        <v>2</v>
      </c>
      <c r="O102" s="468">
        <v>662</v>
      </c>
      <c r="P102" s="603">
        <v>0.66666666666666663</v>
      </c>
      <c r="Q102" s="469">
        <v>331</v>
      </c>
    </row>
    <row r="103" spans="1:17" ht="14.4" customHeight="1" x14ac:dyDescent="0.3">
      <c r="A103" s="522" t="s">
        <v>1104</v>
      </c>
      <c r="B103" s="465" t="s">
        <v>925</v>
      </c>
      <c r="C103" s="465" t="s">
        <v>926</v>
      </c>
      <c r="D103" s="465" t="s">
        <v>985</v>
      </c>
      <c r="E103" s="465" t="s">
        <v>986</v>
      </c>
      <c r="F103" s="468">
        <v>45</v>
      </c>
      <c r="G103" s="468">
        <v>13995</v>
      </c>
      <c r="H103" s="468">
        <v>2.6385746606334841</v>
      </c>
      <c r="I103" s="468">
        <v>311</v>
      </c>
      <c r="J103" s="468">
        <v>17</v>
      </c>
      <c r="K103" s="468">
        <v>5304</v>
      </c>
      <c r="L103" s="468">
        <v>1</v>
      </c>
      <c r="M103" s="468">
        <v>312</v>
      </c>
      <c r="N103" s="468">
        <v>21</v>
      </c>
      <c r="O103" s="468">
        <v>6552</v>
      </c>
      <c r="P103" s="603">
        <v>1.2352941176470589</v>
      </c>
      <c r="Q103" s="469">
        <v>312</v>
      </c>
    </row>
    <row r="104" spans="1:17" ht="14.4" customHeight="1" x14ac:dyDescent="0.3">
      <c r="A104" s="522" t="s">
        <v>1104</v>
      </c>
      <c r="B104" s="465" t="s">
        <v>925</v>
      </c>
      <c r="C104" s="465" t="s">
        <v>926</v>
      </c>
      <c r="D104" s="465" t="s">
        <v>989</v>
      </c>
      <c r="E104" s="465" t="s">
        <v>990</v>
      </c>
      <c r="F104" s="468">
        <v>2</v>
      </c>
      <c r="G104" s="468">
        <v>32</v>
      </c>
      <c r="H104" s="468">
        <v>0.37647058823529411</v>
      </c>
      <c r="I104" s="468">
        <v>16</v>
      </c>
      <c r="J104" s="468">
        <v>5</v>
      </c>
      <c r="K104" s="468">
        <v>85</v>
      </c>
      <c r="L104" s="468">
        <v>1</v>
      </c>
      <c r="M104" s="468">
        <v>17</v>
      </c>
      <c r="N104" s="468">
        <v>2</v>
      </c>
      <c r="O104" s="468">
        <v>34</v>
      </c>
      <c r="P104" s="603">
        <v>0.4</v>
      </c>
      <c r="Q104" s="469">
        <v>17</v>
      </c>
    </row>
    <row r="105" spans="1:17" ht="14.4" customHeight="1" x14ac:dyDescent="0.3">
      <c r="A105" s="522" t="s">
        <v>1104</v>
      </c>
      <c r="B105" s="465" t="s">
        <v>925</v>
      </c>
      <c r="C105" s="465" t="s">
        <v>926</v>
      </c>
      <c r="D105" s="465" t="s">
        <v>993</v>
      </c>
      <c r="E105" s="465" t="s">
        <v>994</v>
      </c>
      <c r="F105" s="468">
        <v>9</v>
      </c>
      <c r="G105" s="468">
        <v>3141</v>
      </c>
      <c r="H105" s="468">
        <v>0.74785714285714289</v>
      </c>
      <c r="I105" s="468">
        <v>349</v>
      </c>
      <c r="J105" s="468">
        <v>12</v>
      </c>
      <c r="K105" s="468">
        <v>4200</v>
      </c>
      <c r="L105" s="468">
        <v>1</v>
      </c>
      <c r="M105" s="468">
        <v>350</v>
      </c>
      <c r="N105" s="468"/>
      <c r="O105" s="468"/>
      <c r="P105" s="603"/>
      <c r="Q105" s="469"/>
    </row>
    <row r="106" spans="1:17" ht="14.4" customHeight="1" x14ac:dyDescent="0.3">
      <c r="A106" s="522" t="s">
        <v>1104</v>
      </c>
      <c r="B106" s="465" t="s">
        <v>925</v>
      </c>
      <c r="C106" s="465" t="s">
        <v>926</v>
      </c>
      <c r="D106" s="465" t="s">
        <v>1001</v>
      </c>
      <c r="E106" s="465" t="s">
        <v>1002</v>
      </c>
      <c r="F106" s="468">
        <v>9</v>
      </c>
      <c r="G106" s="468">
        <v>2646</v>
      </c>
      <c r="H106" s="468">
        <v>4.4847457627118645</v>
      </c>
      <c r="I106" s="468">
        <v>294</v>
      </c>
      <c r="J106" s="468">
        <v>2</v>
      </c>
      <c r="K106" s="468">
        <v>590</v>
      </c>
      <c r="L106" s="468">
        <v>1</v>
      </c>
      <c r="M106" s="468">
        <v>295</v>
      </c>
      <c r="N106" s="468">
        <v>5</v>
      </c>
      <c r="O106" s="468">
        <v>1475</v>
      </c>
      <c r="P106" s="603">
        <v>2.5</v>
      </c>
      <c r="Q106" s="469">
        <v>295</v>
      </c>
    </row>
    <row r="107" spans="1:17" ht="14.4" customHeight="1" x14ac:dyDescent="0.3">
      <c r="A107" s="522" t="s">
        <v>1104</v>
      </c>
      <c r="B107" s="465" t="s">
        <v>925</v>
      </c>
      <c r="C107" s="465" t="s">
        <v>926</v>
      </c>
      <c r="D107" s="465" t="s">
        <v>1003</v>
      </c>
      <c r="E107" s="465" t="s">
        <v>1004</v>
      </c>
      <c r="F107" s="468">
        <v>30</v>
      </c>
      <c r="G107" s="468">
        <v>6210</v>
      </c>
      <c r="H107" s="468">
        <v>3.714114832535885</v>
      </c>
      <c r="I107" s="468">
        <v>207</v>
      </c>
      <c r="J107" s="468">
        <v>8</v>
      </c>
      <c r="K107" s="468">
        <v>1672</v>
      </c>
      <c r="L107" s="468">
        <v>1</v>
      </c>
      <c r="M107" s="468">
        <v>209</v>
      </c>
      <c r="N107" s="468">
        <v>35</v>
      </c>
      <c r="O107" s="468">
        <v>7315</v>
      </c>
      <c r="P107" s="603">
        <v>4.375</v>
      </c>
      <c r="Q107" s="469">
        <v>209</v>
      </c>
    </row>
    <row r="108" spans="1:17" ht="14.4" customHeight="1" x14ac:dyDescent="0.3">
      <c r="A108" s="522" t="s">
        <v>1104</v>
      </c>
      <c r="B108" s="465" t="s">
        <v>925</v>
      </c>
      <c r="C108" s="465" t="s">
        <v>926</v>
      </c>
      <c r="D108" s="465" t="s">
        <v>1005</v>
      </c>
      <c r="E108" s="465" t="s">
        <v>1006</v>
      </c>
      <c r="F108" s="468">
        <v>55</v>
      </c>
      <c r="G108" s="468">
        <v>2145</v>
      </c>
      <c r="H108" s="468">
        <v>2.234375</v>
      </c>
      <c r="I108" s="468">
        <v>39</v>
      </c>
      <c r="J108" s="468">
        <v>24</v>
      </c>
      <c r="K108" s="468">
        <v>960</v>
      </c>
      <c r="L108" s="468">
        <v>1</v>
      </c>
      <c r="M108" s="468">
        <v>40</v>
      </c>
      <c r="N108" s="468">
        <v>56</v>
      </c>
      <c r="O108" s="468">
        <v>2240</v>
      </c>
      <c r="P108" s="603">
        <v>2.3333333333333335</v>
      </c>
      <c r="Q108" s="469">
        <v>40</v>
      </c>
    </row>
    <row r="109" spans="1:17" ht="14.4" customHeight="1" x14ac:dyDescent="0.3">
      <c r="A109" s="522" t="s">
        <v>1104</v>
      </c>
      <c r="B109" s="465" t="s">
        <v>925</v>
      </c>
      <c r="C109" s="465" t="s">
        <v>926</v>
      </c>
      <c r="D109" s="465" t="s">
        <v>1007</v>
      </c>
      <c r="E109" s="465" t="s">
        <v>1008</v>
      </c>
      <c r="F109" s="468">
        <v>6</v>
      </c>
      <c r="G109" s="468">
        <v>30018</v>
      </c>
      <c r="H109" s="468"/>
      <c r="I109" s="468">
        <v>5003</v>
      </c>
      <c r="J109" s="468"/>
      <c r="K109" s="468"/>
      <c r="L109" s="468"/>
      <c r="M109" s="468"/>
      <c r="N109" s="468">
        <v>2</v>
      </c>
      <c r="O109" s="468">
        <v>10046</v>
      </c>
      <c r="P109" s="603"/>
      <c r="Q109" s="469">
        <v>5023</v>
      </c>
    </row>
    <row r="110" spans="1:17" ht="14.4" customHeight="1" x14ac:dyDescent="0.3">
      <c r="A110" s="522" t="s">
        <v>1104</v>
      </c>
      <c r="B110" s="465" t="s">
        <v>925</v>
      </c>
      <c r="C110" s="465" t="s">
        <v>926</v>
      </c>
      <c r="D110" s="465" t="s">
        <v>1009</v>
      </c>
      <c r="E110" s="465" t="s">
        <v>1010</v>
      </c>
      <c r="F110" s="468">
        <v>8</v>
      </c>
      <c r="G110" s="468">
        <v>1360</v>
      </c>
      <c r="H110" s="468">
        <v>0.99415204678362568</v>
      </c>
      <c r="I110" s="468">
        <v>170</v>
      </c>
      <c r="J110" s="468">
        <v>8</v>
      </c>
      <c r="K110" s="468">
        <v>1368</v>
      </c>
      <c r="L110" s="468">
        <v>1</v>
      </c>
      <c r="M110" s="468">
        <v>171</v>
      </c>
      <c r="N110" s="468">
        <v>25</v>
      </c>
      <c r="O110" s="468">
        <v>4275</v>
      </c>
      <c r="P110" s="603">
        <v>3.125</v>
      </c>
      <c r="Q110" s="469">
        <v>171</v>
      </c>
    </row>
    <row r="111" spans="1:17" ht="14.4" customHeight="1" x14ac:dyDescent="0.3">
      <c r="A111" s="522" t="s">
        <v>1104</v>
      </c>
      <c r="B111" s="465" t="s">
        <v>925</v>
      </c>
      <c r="C111" s="465" t="s">
        <v>926</v>
      </c>
      <c r="D111" s="465" t="s">
        <v>1011</v>
      </c>
      <c r="E111" s="465" t="s">
        <v>1012</v>
      </c>
      <c r="F111" s="468">
        <v>1</v>
      </c>
      <c r="G111" s="468">
        <v>326</v>
      </c>
      <c r="H111" s="468">
        <v>0.33231396534148827</v>
      </c>
      <c r="I111" s="468">
        <v>326</v>
      </c>
      <c r="J111" s="468">
        <v>3</v>
      </c>
      <c r="K111" s="468">
        <v>981</v>
      </c>
      <c r="L111" s="468">
        <v>1</v>
      </c>
      <c r="M111" s="468">
        <v>327</v>
      </c>
      <c r="N111" s="468">
        <v>4</v>
      </c>
      <c r="O111" s="468">
        <v>1308</v>
      </c>
      <c r="P111" s="603">
        <v>1.3333333333333333</v>
      </c>
      <c r="Q111" s="469">
        <v>327</v>
      </c>
    </row>
    <row r="112" spans="1:17" ht="14.4" customHeight="1" x14ac:dyDescent="0.3">
      <c r="A112" s="522" t="s">
        <v>1104</v>
      </c>
      <c r="B112" s="465" t="s">
        <v>925</v>
      </c>
      <c r="C112" s="465" t="s">
        <v>926</v>
      </c>
      <c r="D112" s="465" t="s">
        <v>1013</v>
      </c>
      <c r="E112" s="465" t="s">
        <v>1014</v>
      </c>
      <c r="F112" s="468">
        <v>43</v>
      </c>
      <c r="G112" s="468">
        <v>29584</v>
      </c>
      <c r="H112" s="468">
        <v>1.5312629399585922</v>
      </c>
      <c r="I112" s="468">
        <v>688</v>
      </c>
      <c r="J112" s="468">
        <v>28</v>
      </c>
      <c r="K112" s="468">
        <v>19320</v>
      </c>
      <c r="L112" s="468">
        <v>1</v>
      </c>
      <c r="M112" s="468">
        <v>690</v>
      </c>
      <c r="N112" s="468">
        <v>49</v>
      </c>
      <c r="O112" s="468">
        <v>33810</v>
      </c>
      <c r="P112" s="603">
        <v>1.75</v>
      </c>
      <c r="Q112" s="469">
        <v>690</v>
      </c>
    </row>
    <row r="113" spans="1:17" ht="14.4" customHeight="1" x14ac:dyDescent="0.3">
      <c r="A113" s="522" t="s">
        <v>1104</v>
      </c>
      <c r="B113" s="465" t="s">
        <v>925</v>
      </c>
      <c r="C113" s="465" t="s">
        <v>926</v>
      </c>
      <c r="D113" s="465" t="s">
        <v>1015</v>
      </c>
      <c r="E113" s="465" t="s">
        <v>1016</v>
      </c>
      <c r="F113" s="468">
        <v>1</v>
      </c>
      <c r="G113" s="468">
        <v>348</v>
      </c>
      <c r="H113" s="468">
        <v>0.99428571428571433</v>
      </c>
      <c r="I113" s="468">
        <v>348</v>
      </c>
      <c r="J113" s="468">
        <v>1</v>
      </c>
      <c r="K113" s="468">
        <v>350</v>
      </c>
      <c r="L113" s="468">
        <v>1</v>
      </c>
      <c r="M113" s="468">
        <v>350</v>
      </c>
      <c r="N113" s="468">
        <v>9</v>
      </c>
      <c r="O113" s="468">
        <v>3150</v>
      </c>
      <c r="P113" s="603">
        <v>9</v>
      </c>
      <c r="Q113" s="469">
        <v>350</v>
      </c>
    </row>
    <row r="114" spans="1:17" ht="14.4" customHeight="1" x14ac:dyDescent="0.3">
      <c r="A114" s="522" t="s">
        <v>1104</v>
      </c>
      <c r="B114" s="465" t="s">
        <v>925</v>
      </c>
      <c r="C114" s="465" t="s">
        <v>926</v>
      </c>
      <c r="D114" s="465" t="s">
        <v>1017</v>
      </c>
      <c r="E114" s="465" t="s">
        <v>1018</v>
      </c>
      <c r="F114" s="468">
        <v>10</v>
      </c>
      <c r="G114" s="468">
        <v>1730</v>
      </c>
      <c r="H114" s="468">
        <v>1.4203612479474548</v>
      </c>
      <c r="I114" s="468">
        <v>173</v>
      </c>
      <c r="J114" s="468">
        <v>7</v>
      </c>
      <c r="K114" s="468">
        <v>1218</v>
      </c>
      <c r="L114" s="468">
        <v>1</v>
      </c>
      <c r="M114" s="468">
        <v>174</v>
      </c>
      <c r="N114" s="468">
        <v>22</v>
      </c>
      <c r="O114" s="468">
        <v>3828</v>
      </c>
      <c r="P114" s="603">
        <v>3.1428571428571428</v>
      </c>
      <c r="Q114" s="469">
        <v>174</v>
      </c>
    </row>
    <row r="115" spans="1:17" ht="14.4" customHeight="1" x14ac:dyDescent="0.3">
      <c r="A115" s="522" t="s">
        <v>1104</v>
      </c>
      <c r="B115" s="465" t="s">
        <v>925</v>
      </c>
      <c r="C115" s="465" t="s">
        <v>926</v>
      </c>
      <c r="D115" s="465" t="s">
        <v>1019</v>
      </c>
      <c r="E115" s="465" t="s">
        <v>1020</v>
      </c>
      <c r="F115" s="468">
        <v>8</v>
      </c>
      <c r="G115" s="468">
        <v>3200</v>
      </c>
      <c r="H115" s="468"/>
      <c r="I115" s="468">
        <v>400</v>
      </c>
      <c r="J115" s="468"/>
      <c r="K115" s="468"/>
      <c r="L115" s="468"/>
      <c r="M115" s="468"/>
      <c r="N115" s="468">
        <v>12</v>
      </c>
      <c r="O115" s="468">
        <v>4812</v>
      </c>
      <c r="P115" s="603"/>
      <c r="Q115" s="469">
        <v>401</v>
      </c>
    </row>
    <row r="116" spans="1:17" ht="14.4" customHeight="1" x14ac:dyDescent="0.3">
      <c r="A116" s="522" t="s">
        <v>1104</v>
      </c>
      <c r="B116" s="465" t="s">
        <v>925</v>
      </c>
      <c r="C116" s="465" t="s">
        <v>926</v>
      </c>
      <c r="D116" s="465" t="s">
        <v>1021</v>
      </c>
      <c r="E116" s="465" t="s">
        <v>1022</v>
      </c>
      <c r="F116" s="468">
        <v>16</v>
      </c>
      <c r="G116" s="468">
        <v>10432</v>
      </c>
      <c r="H116" s="468">
        <v>1.5951070336391437</v>
      </c>
      <c r="I116" s="468">
        <v>652</v>
      </c>
      <c r="J116" s="468">
        <v>10</v>
      </c>
      <c r="K116" s="468">
        <v>6540</v>
      </c>
      <c r="L116" s="468">
        <v>1</v>
      </c>
      <c r="M116" s="468">
        <v>654</v>
      </c>
      <c r="N116" s="468">
        <v>16</v>
      </c>
      <c r="O116" s="468">
        <v>10464</v>
      </c>
      <c r="P116" s="603">
        <v>1.6</v>
      </c>
      <c r="Q116" s="469">
        <v>654</v>
      </c>
    </row>
    <row r="117" spans="1:17" ht="14.4" customHeight="1" x14ac:dyDescent="0.3">
      <c r="A117" s="522" t="s">
        <v>1104</v>
      </c>
      <c r="B117" s="465" t="s">
        <v>925</v>
      </c>
      <c r="C117" s="465" t="s">
        <v>926</v>
      </c>
      <c r="D117" s="465" t="s">
        <v>1023</v>
      </c>
      <c r="E117" s="465" t="s">
        <v>1024</v>
      </c>
      <c r="F117" s="468">
        <v>16</v>
      </c>
      <c r="G117" s="468">
        <v>10432</v>
      </c>
      <c r="H117" s="468">
        <v>1.5951070336391437</v>
      </c>
      <c r="I117" s="468">
        <v>652</v>
      </c>
      <c r="J117" s="468">
        <v>10</v>
      </c>
      <c r="K117" s="468">
        <v>6540</v>
      </c>
      <c r="L117" s="468">
        <v>1</v>
      </c>
      <c r="M117" s="468">
        <v>654</v>
      </c>
      <c r="N117" s="468">
        <v>16</v>
      </c>
      <c r="O117" s="468">
        <v>10464</v>
      </c>
      <c r="P117" s="603">
        <v>1.6</v>
      </c>
      <c r="Q117" s="469">
        <v>654</v>
      </c>
    </row>
    <row r="118" spans="1:17" ht="14.4" customHeight="1" x14ac:dyDescent="0.3">
      <c r="A118" s="522" t="s">
        <v>1104</v>
      </c>
      <c r="B118" s="465" t="s">
        <v>925</v>
      </c>
      <c r="C118" s="465" t="s">
        <v>926</v>
      </c>
      <c r="D118" s="465" t="s">
        <v>1029</v>
      </c>
      <c r="E118" s="465" t="s">
        <v>1030</v>
      </c>
      <c r="F118" s="468">
        <v>15</v>
      </c>
      <c r="G118" s="468">
        <v>10140</v>
      </c>
      <c r="H118" s="468">
        <v>14.955752212389381</v>
      </c>
      <c r="I118" s="468">
        <v>676</v>
      </c>
      <c r="J118" s="468">
        <v>1</v>
      </c>
      <c r="K118" s="468">
        <v>678</v>
      </c>
      <c r="L118" s="468">
        <v>1</v>
      </c>
      <c r="M118" s="468">
        <v>678</v>
      </c>
      <c r="N118" s="468">
        <v>19</v>
      </c>
      <c r="O118" s="468">
        <v>12882</v>
      </c>
      <c r="P118" s="603">
        <v>19</v>
      </c>
      <c r="Q118" s="469">
        <v>678</v>
      </c>
    </row>
    <row r="119" spans="1:17" ht="14.4" customHeight="1" x14ac:dyDescent="0.3">
      <c r="A119" s="522" t="s">
        <v>1104</v>
      </c>
      <c r="B119" s="465" t="s">
        <v>925</v>
      </c>
      <c r="C119" s="465" t="s">
        <v>926</v>
      </c>
      <c r="D119" s="465" t="s">
        <v>1031</v>
      </c>
      <c r="E119" s="465" t="s">
        <v>1032</v>
      </c>
      <c r="F119" s="468">
        <v>47</v>
      </c>
      <c r="G119" s="468">
        <v>22325</v>
      </c>
      <c r="H119" s="468">
        <v>2.0349102178470515</v>
      </c>
      <c r="I119" s="468">
        <v>475</v>
      </c>
      <c r="J119" s="468">
        <v>23</v>
      </c>
      <c r="K119" s="468">
        <v>10971</v>
      </c>
      <c r="L119" s="468">
        <v>1</v>
      </c>
      <c r="M119" s="468">
        <v>477</v>
      </c>
      <c r="N119" s="468">
        <v>43</v>
      </c>
      <c r="O119" s="468">
        <v>20511</v>
      </c>
      <c r="P119" s="603">
        <v>1.8695652173913044</v>
      </c>
      <c r="Q119" s="469">
        <v>477</v>
      </c>
    </row>
    <row r="120" spans="1:17" ht="14.4" customHeight="1" x14ac:dyDescent="0.3">
      <c r="A120" s="522" t="s">
        <v>1104</v>
      </c>
      <c r="B120" s="465" t="s">
        <v>925</v>
      </c>
      <c r="C120" s="465" t="s">
        <v>926</v>
      </c>
      <c r="D120" s="465" t="s">
        <v>1033</v>
      </c>
      <c r="E120" s="465" t="s">
        <v>1034</v>
      </c>
      <c r="F120" s="468">
        <v>10</v>
      </c>
      <c r="G120" s="468">
        <v>2890</v>
      </c>
      <c r="H120" s="468"/>
      <c r="I120" s="468">
        <v>289</v>
      </c>
      <c r="J120" s="468"/>
      <c r="K120" s="468"/>
      <c r="L120" s="468"/>
      <c r="M120" s="468"/>
      <c r="N120" s="468">
        <v>3</v>
      </c>
      <c r="O120" s="468">
        <v>873</v>
      </c>
      <c r="P120" s="603"/>
      <c r="Q120" s="469">
        <v>291</v>
      </c>
    </row>
    <row r="121" spans="1:17" ht="14.4" customHeight="1" x14ac:dyDescent="0.3">
      <c r="A121" s="522" t="s">
        <v>1104</v>
      </c>
      <c r="B121" s="465" t="s">
        <v>925</v>
      </c>
      <c r="C121" s="465" t="s">
        <v>926</v>
      </c>
      <c r="D121" s="465" t="s">
        <v>1035</v>
      </c>
      <c r="E121" s="465" t="s">
        <v>1036</v>
      </c>
      <c r="F121" s="468">
        <v>1</v>
      </c>
      <c r="G121" s="468">
        <v>812</v>
      </c>
      <c r="H121" s="468">
        <v>0.99876998769987702</v>
      </c>
      <c r="I121" s="468">
        <v>812</v>
      </c>
      <c r="J121" s="468">
        <v>1</v>
      </c>
      <c r="K121" s="468">
        <v>813</v>
      </c>
      <c r="L121" s="468">
        <v>1</v>
      </c>
      <c r="M121" s="468">
        <v>813</v>
      </c>
      <c r="N121" s="468">
        <v>4</v>
      </c>
      <c r="O121" s="468">
        <v>3256</v>
      </c>
      <c r="P121" s="603">
        <v>4.0049200492004919</v>
      </c>
      <c r="Q121" s="469">
        <v>814</v>
      </c>
    </row>
    <row r="122" spans="1:17" ht="14.4" customHeight="1" x14ac:dyDescent="0.3">
      <c r="A122" s="522" t="s">
        <v>1104</v>
      </c>
      <c r="B122" s="465" t="s">
        <v>925</v>
      </c>
      <c r="C122" s="465" t="s">
        <v>926</v>
      </c>
      <c r="D122" s="465" t="s">
        <v>1039</v>
      </c>
      <c r="E122" s="465" t="s">
        <v>1040</v>
      </c>
      <c r="F122" s="468">
        <v>51</v>
      </c>
      <c r="G122" s="468">
        <v>8517</v>
      </c>
      <c r="H122" s="468">
        <v>2.1123511904761907</v>
      </c>
      <c r="I122" s="468">
        <v>167</v>
      </c>
      <c r="J122" s="468">
        <v>24</v>
      </c>
      <c r="K122" s="468">
        <v>4032</v>
      </c>
      <c r="L122" s="468">
        <v>1</v>
      </c>
      <c r="M122" s="468">
        <v>168</v>
      </c>
      <c r="N122" s="468">
        <v>51</v>
      </c>
      <c r="O122" s="468">
        <v>8568</v>
      </c>
      <c r="P122" s="603">
        <v>2.125</v>
      </c>
      <c r="Q122" s="469">
        <v>168</v>
      </c>
    </row>
    <row r="123" spans="1:17" ht="14.4" customHeight="1" x14ac:dyDescent="0.3">
      <c r="A123" s="522" t="s">
        <v>1104</v>
      </c>
      <c r="B123" s="465" t="s">
        <v>925</v>
      </c>
      <c r="C123" s="465" t="s">
        <v>926</v>
      </c>
      <c r="D123" s="465" t="s">
        <v>1043</v>
      </c>
      <c r="E123" s="465" t="s">
        <v>1044</v>
      </c>
      <c r="F123" s="468">
        <v>2</v>
      </c>
      <c r="G123" s="468">
        <v>1146</v>
      </c>
      <c r="H123" s="468"/>
      <c r="I123" s="468">
        <v>573</v>
      </c>
      <c r="J123" s="468"/>
      <c r="K123" s="468"/>
      <c r="L123" s="468"/>
      <c r="M123" s="468"/>
      <c r="N123" s="468">
        <v>3</v>
      </c>
      <c r="O123" s="468">
        <v>1722</v>
      </c>
      <c r="P123" s="603"/>
      <c r="Q123" s="469">
        <v>574</v>
      </c>
    </row>
    <row r="124" spans="1:17" ht="14.4" customHeight="1" x14ac:dyDescent="0.3">
      <c r="A124" s="522" t="s">
        <v>1104</v>
      </c>
      <c r="B124" s="465" t="s">
        <v>925</v>
      </c>
      <c r="C124" s="465" t="s">
        <v>926</v>
      </c>
      <c r="D124" s="465" t="s">
        <v>1047</v>
      </c>
      <c r="E124" s="465" t="s">
        <v>1048</v>
      </c>
      <c r="F124" s="468">
        <v>13</v>
      </c>
      <c r="G124" s="468">
        <v>2418</v>
      </c>
      <c r="H124" s="468">
        <v>3.2326203208556148</v>
      </c>
      <c r="I124" s="468">
        <v>186</v>
      </c>
      <c r="J124" s="468">
        <v>4</v>
      </c>
      <c r="K124" s="468">
        <v>748</v>
      </c>
      <c r="L124" s="468">
        <v>1</v>
      </c>
      <c r="M124" s="468">
        <v>187</v>
      </c>
      <c r="N124" s="468">
        <v>5</v>
      </c>
      <c r="O124" s="468">
        <v>935</v>
      </c>
      <c r="P124" s="603">
        <v>1.25</v>
      </c>
      <c r="Q124" s="469">
        <v>187</v>
      </c>
    </row>
    <row r="125" spans="1:17" ht="14.4" customHeight="1" x14ac:dyDescent="0.3">
      <c r="A125" s="522" t="s">
        <v>1104</v>
      </c>
      <c r="B125" s="465" t="s">
        <v>925</v>
      </c>
      <c r="C125" s="465" t="s">
        <v>926</v>
      </c>
      <c r="D125" s="465" t="s">
        <v>1053</v>
      </c>
      <c r="E125" s="465" t="s">
        <v>1054</v>
      </c>
      <c r="F125" s="468">
        <v>16</v>
      </c>
      <c r="G125" s="468">
        <v>22352</v>
      </c>
      <c r="H125" s="468">
        <v>1.5977126518942102</v>
      </c>
      <c r="I125" s="468">
        <v>1397</v>
      </c>
      <c r="J125" s="468">
        <v>10</v>
      </c>
      <c r="K125" s="468">
        <v>13990</v>
      </c>
      <c r="L125" s="468">
        <v>1</v>
      </c>
      <c r="M125" s="468">
        <v>1399</v>
      </c>
      <c r="N125" s="468">
        <v>16</v>
      </c>
      <c r="O125" s="468">
        <v>22384</v>
      </c>
      <c r="P125" s="603">
        <v>1.6</v>
      </c>
      <c r="Q125" s="469">
        <v>1399</v>
      </c>
    </row>
    <row r="126" spans="1:17" ht="14.4" customHeight="1" x14ac:dyDescent="0.3">
      <c r="A126" s="522" t="s">
        <v>1104</v>
      </c>
      <c r="B126" s="465" t="s">
        <v>925</v>
      </c>
      <c r="C126" s="465" t="s">
        <v>926</v>
      </c>
      <c r="D126" s="465" t="s">
        <v>1057</v>
      </c>
      <c r="E126" s="465" t="s">
        <v>1058</v>
      </c>
      <c r="F126" s="468"/>
      <c r="G126" s="468"/>
      <c r="H126" s="468"/>
      <c r="I126" s="468"/>
      <c r="J126" s="468">
        <v>1</v>
      </c>
      <c r="K126" s="468">
        <v>190</v>
      </c>
      <c r="L126" s="468">
        <v>1</v>
      </c>
      <c r="M126" s="468">
        <v>190</v>
      </c>
      <c r="N126" s="468"/>
      <c r="O126" s="468"/>
      <c r="P126" s="603"/>
      <c r="Q126" s="469"/>
    </row>
    <row r="127" spans="1:17" ht="14.4" customHeight="1" x14ac:dyDescent="0.3">
      <c r="A127" s="522" t="s">
        <v>1104</v>
      </c>
      <c r="B127" s="465" t="s">
        <v>925</v>
      </c>
      <c r="C127" s="465" t="s">
        <v>926</v>
      </c>
      <c r="D127" s="465" t="s">
        <v>1059</v>
      </c>
      <c r="E127" s="465" t="s">
        <v>1060</v>
      </c>
      <c r="F127" s="468">
        <v>1</v>
      </c>
      <c r="G127" s="468">
        <v>812</v>
      </c>
      <c r="H127" s="468">
        <v>0.99876998769987702</v>
      </c>
      <c r="I127" s="468">
        <v>812</v>
      </c>
      <c r="J127" s="468">
        <v>1</v>
      </c>
      <c r="K127" s="468">
        <v>813</v>
      </c>
      <c r="L127" s="468">
        <v>1</v>
      </c>
      <c r="M127" s="468">
        <v>813</v>
      </c>
      <c r="N127" s="468">
        <v>4</v>
      </c>
      <c r="O127" s="468">
        <v>3256</v>
      </c>
      <c r="P127" s="603">
        <v>4.0049200492004919</v>
      </c>
      <c r="Q127" s="469">
        <v>814</v>
      </c>
    </row>
    <row r="128" spans="1:17" ht="14.4" customHeight="1" x14ac:dyDescent="0.3">
      <c r="A128" s="522" t="s">
        <v>1104</v>
      </c>
      <c r="B128" s="465" t="s">
        <v>925</v>
      </c>
      <c r="C128" s="465" t="s">
        <v>926</v>
      </c>
      <c r="D128" s="465" t="s">
        <v>1061</v>
      </c>
      <c r="E128" s="465" t="s">
        <v>1062</v>
      </c>
      <c r="F128" s="468"/>
      <c r="G128" s="468"/>
      <c r="H128" s="468"/>
      <c r="I128" s="468"/>
      <c r="J128" s="468">
        <v>1</v>
      </c>
      <c r="K128" s="468">
        <v>337</v>
      </c>
      <c r="L128" s="468">
        <v>1</v>
      </c>
      <c r="M128" s="468">
        <v>337</v>
      </c>
      <c r="N128" s="468">
        <v>3</v>
      </c>
      <c r="O128" s="468">
        <v>1014</v>
      </c>
      <c r="P128" s="603">
        <v>3.0089020771513355</v>
      </c>
      <c r="Q128" s="469">
        <v>338</v>
      </c>
    </row>
    <row r="129" spans="1:17" ht="14.4" customHeight="1" x14ac:dyDescent="0.3">
      <c r="A129" s="522" t="s">
        <v>1104</v>
      </c>
      <c r="B129" s="465" t="s">
        <v>925</v>
      </c>
      <c r="C129" s="465" t="s">
        <v>926</v>
      </c>
      <c r="D129" s="465" t="s">
        <v>1063</v>
      </c>
      <c r="E129" s="465" t="s">
        <v>1064</v>
      </c>
      <c r="F129" s="468">
        <v>10</v>
      </c>
      <c r="G129" s="468">
        <v>2580</v>
      </c>
      <c r="H129" s="468">
        <v>9.9230769230769234</v>
      </c>
      <c r="I129" s="468">
        <v>258</v>
      </c>
      <c r="J129" s="468">
        <v>1</v>
      </c>
      <c r="K129" s="468">
        <v>260</v>
      </c>
      <c r="L129" s="468">
        <v>1</v>
      </c>
      <c r="M129" s="468">
        <v>260</v>
      </c>
      <c r="N129" s="468">
        <v>6</v>
      </c>
      <c r="O129" s="468">
        <v>1560</v>
      </c>
      <c r="P129" s="603">
        <v>6</v>
      </c>
      <c r="Q129" s="469">
        <v>260</v>
      </c>
    </row>
    <row r="130" spans="1:17" ht="14.4" customHeight="1" x14ac:dyDescent="0.3">
      <c r="A130" s="522" t="s">
        <v>1104</v>
      </c>
      <c r="B130" s="465" t="s">
        <v>925</v>
      </c>
      <c r="C130" s="465" t="s">
        <v>926</v>
      </c>
      <c r="D130" s="465" t="s">
        <v>1065</v>
      </c>
      <c r="E130" s="465" t="s">
        <v>984</v>
      </c>
      <c r="F130" s="468">
        <v>5</v>
      </c>
      <c r="G130" s="468">
        <v>12125</v>
      </c>
      <c r="H130" s="468"/>
      <c r="I130" s="468">
        <v>2425</v>
      </c>
      <c r="J130" s="468"/>
      <c r="K130" s="468"/>
      <c r="L130" s="468"/>
      <c r="M130" s="468"/>
      <c r="N130" s="468"/>
      <c r="O130" s="468"/>
      <c r="P130" s="603"/>
      <c r="Q130" s="469"/>
    </row>
    <row r="131" spans="1:17" ht="14.4" customHeight="1" x14ac:dyDescent="0.3">
      <c r="A131" s="522" t="s">
        <v>1104</v>
      </c>
      <c r="B131" s="465" t="s">
        <v>925</v>
      </c>
      <c r="C131" s="465" t="s">
        <v>926</v>
      </c>
      <c r="D131" s="465" t="s">
        <v>1070</v>
      </c>
      <c r="E131" s="465" t="s">
        <v>1071</v>
      </c>
      <c r="F131" s="468"/>
      <c r="G131" s="468"/>
      <c r="H131" s="468"/>
      <c r="I131" s="468"/>
      <c r="J131" s="468"/>
      <c r="K131" s="468"/>
      <c r="L131" s="468"/>
      <c r="M131" s="468"/>
      <c r="N131" s="468">
        <v>1</v>
      </c>
      <c r="O131" s="468">
        <v>253</v>
      </c>
      <c r="P131" s="603"/>
      <c r="Q131" s="469">
        <v>253</v>
      </c>
    </row>
    <row r="132" spans="1:17" ht="14.4" customHeight="1" x14ac:dyDescent="0.3">
      <c r="A132" s="522" t="s">
        <v>1104</v>
      </c>
      <c r="B132" s="465" t="s">
        <v>925</v>
      </c>
      <c r="C132" s="465" t="s">
        <v>926</v>
      </c>
      <c r="D132" s="465" t="s">
        <v>1072</v>
      </c>
      <c r="E132" s="465" t="s">
        <v>1073</v>
      </c>
      <c r="F132" s="468"/>
      <c r="G132" s="468"/>
      <c r="H132" s="468"/>
      <c r="I132" s="468"/>
      <c r="J132" s="468"/>
      <c r="K132" s="468"/>
      <c r="L132" s="468"/>
      <c r="M132" s="468"/>
      <c r="N132" s="468">
        <v>1</v>
      </c>
      <c r="O132" s="468">
        <v>424</v>
      </c>
      <c r="P132" s="603"/>
      <c r="Q132" s="469">
        <v>424</v>
      </c>
    </row>
    <row r="133" spans="1:17" ht="14.4" customHeight="1" x14ac:dyDescent="0.3">
      <c r="A133" s="522" t="s">
        <v>1105</v>
      </c>
      <c r="B133" s="465" t="s">
        <v>925</v>
      </c>
      <c r="C133" s="465" t="s">
        <v>926</v>
      </c>
      <c r="D133" s="465" t="s">
        <v>939</v>
      </c>
      <c r="E133" s="465" t="s">
        <v>940</v>
      </c>
      <c r="F133" s="468"/>
      <c r="G133" s="468"/>
      <c r="H133" s="468"/>
      <c r="I133" s="468"/>
      <c r="J133" s="468"/>
      <c r="K133" s="468"/>
      <c r="L133" s="468"/>
      <c r="M133" s="468"/>
      <c r="N133" s="468">
        <v>2</v>
      </c>
      <c r="O133" s="468">
        <v>1686</v>
      </c>
      <c r="P133" s="603"/>
      <c r="Q133" s="469">
        <v>843</v>
      </c>
    </row>
    <row r="134" spans="1:17" ht="14.4" customHeight="1" x14ac:dyDescent="0.3">
      <c r="A134" s="522" t="s">
        <v>1106</v>
      </c>
      <c r="B134" s="465" t="s">
        <v>925</v>
      </c>
      <c r="C134" s="465" t="s">
        <v>926</v>
      </c>
      <c r="D134" s="465" t="s">
        <v>935</v>
      </c>
      <c r="E134" s="465" t="s">
        <v>936</v>
      </c>
      <c r="F134" s="468"/>
      <c r="G134" s="468"/>
      <c r="H134" s="468"/>
      <c r="I134" s="468"/>
      <c r="J134" s="468">
        <v>1</v>
      </c>
      <c r="K134" s="468">
        <v>1028</v>
      </c>
      <c r="L134" s="468">
        <v>1</v>
      </c>
      <c r="M134" s="468">
        <v>1028</v>
      </c>
      <c r="N134" s="468">
        <v>1</v>
      </c>
      <c r="O134" s="468">
        <v>1030</v>
      </c>
      <c r="P134" s="603">
        <v>1.0019455252918288</v>
      </c>
      <c r="Q134" s="469">
        <v>1030</v>
      </c>
    </row>
    <row r="135" spans="1:17" ht="14.4" customHeight="1" x14ac:dyDescent="0.3">
      <c r="A135" s="522" t="s">
        <v>1106</v>
      </c>
      <c r="B135" s="465" t="s">
        <v>925</v>
      </c>
      <c r="C135" s="465" t="s">
        <v>926</v>
      </c>
      <c r="D135" s="465" t="s">
        <v>937</v>
      </c>
      <c r="E135" s="465" t="s">
        <v>938</v>
      </c>
      <c r="F135" s="468">
        <v>2</v>
      </c>
      <c r="G135" s="468">
        <v>2086</v>
      </c>
      <c r="H135" s="468"/>
      <c r="I135" s="468">
        <v>1043</v>
      </c>
      <c r="J135" s="468"/>
      <c r="K135" s="468"/>
      <c r="L135" s="468"/>
      <c r="M135" s="468"/>
      <c r="N135" s="468">
        <v>3</v>
      </c>
      <c r="O135" s="468">
        <v>3255</v>
      </c>
      <c r="P135" s="603"/>
      <c r="Q135" s="469">
        <v>1085</v>
      </c>
    </row>
    <row r="136" spans="1:17" ht="14.4" customHeight="1" x14ac:dyDescent="0.3">
      <c r="A136" s="522" t="s">
        <v>1106</v>
      </c>
      <c r="B136" s="465" t="s">
        <v>925</v>
      </c>
      <c r="C136" s="465" t="s">
        <v>926</v>
      </c>
      <c r="D136" s="465" t="s">
        <v>947</v>
      </c>
      <c r="E136" s="465" t="s">
        <v>948</v>
      </c>
      <c r="F136" s="468">
        <v>2</v>
      </c>
      <c r="G136" s="468">
        <v>334</v>
      </c>
      <c r="H136" s="468">
        <v>1.9880952380952381</v>
      </c>
      <c r="I136" s="468">
        <v>167</v>
      </c>
      <c r="J136" s="468">
        <v>1</v>
      </c>
      <c r="K136" s="468">
        <v>168</v>
      </c>
      <c r="L136" s="468">
        <v>1</v>
      </c>
      <c r="M136" s="468">
        <v>168</v>
      </c>
      <c r="N136" s="468">
        <v>3</v>
      </c>
      <c r="O136" s="468">
        <v>504</v>
      </c>
      <c r="P136" s="603">
        <v>3</v>
      </c>
      <c r="Q136" s="469">
        <v>168</v>
      </c>
    </row>
    <row r="137" spans="1:17" ht="14.4" customHeight="1" x14ac:dyDescent="0.3">
      <c r="A137" s="522" t="s">
        <v>1106</v>
      </c>
      <c r="B137" s="465" t="s">
        <v>925</v>
      </c>
      <c r="C137" s="465" t="s">
        <v>926</v>
      </c>
      <c r="D137" s="465" t="s">
        <v>949</v>
      </c>
      <c r="E137" s="465" t="s">
        <v>950</v>
      </c>
      <c r="F137" s="468">
        <v>2</v>
      </c>
      <c r="G137" s="468">
        <v>346</v>
      </c>
      <c r="H137" s="468">
        <v>1.9885057471264367</v>
      </c>
      <c r="I137" s="468">
        <v>173</v>
      </c>
      <c r="J137" s="468">
        <v>1</v>
      </c>
      <c r="K137" s="468">
        <v>174</v>
      </c>
      <c r="L137" s="468">
        <v>1</v>
      </c>
      <c r="M137" s="468">
        <v>174</v>
      </c>
      <c r="N137" s="468">
        <v>3</v>
      </c>
      <c r="O137" s="468">
        <v>522</v>
      </c>
      <c r="P137" s="603">
        <v>3</v>
      </c>
      <c r="Q137" s="469">
        <v>174</v>
      </c>
    </row>
    <row r="138" spans="1:17" ht="14.4" customHeight="1" x14ac:dyDescent="0.3">
      <c r="A138" s="522" t="s">
        <v>1106</v>
      </c>
      <c r="B138" s="465" t="s">
        <v>925</v>
      </c>
      <c r="C138" s="465" t="s">
        <v>926</v>
      </c>
      <c r="D138" s="465" t="s">
        <v>983</v>
      </c>
      <c r="E138" s="465" t="s">
        <v>984</v>
      </c>
      <c r="F138" s="468"/>
      <c r="G138" s="468"/>
      <c r="H138" s="468"/>
      <c r="I138" s="468"/>
      <c r="J138" s="468"/>
      <c r="K138" s="468"/>
      <c r="L138" s="468"/>
      <c r="M138" s="468"/>
      <c r="N138" s="468">
        <v>2</v>
      </c>
      <c r="O138" s="468">
        <v>662</v>
      </c>
      <c r="P138" s="603"/>
      <c r="Q138" s="469">
        <v>331</v>
      </c>
    </row>
    <row r="139" spans="1:17" ht="14.4" customHeight="1" x14ac:dyDescent="0.3">
      <c r="A139" s="522" t="s">
        <v>1106</v>
      </c>
      <c r="B139" s="465" t="s">
        <v>925</v>
      </c>
      <c r="C139" s="465" t="s">
        <v>926</v>
      </c>
      <c r="D139" s="465" t="s">
        <v>989</v>
      </c>
      <c r="E139" s="465" t="s">
        <v>990</v>
      </c>
      <c r="F139" s="468">
        <v>1</v>
      </c>
      <c r="G139" s="468">
        <v>16</v>
      </c>
      <c r="H139" s="468"/>
      <c r="I139" s="468">
        <v>16</v>
      </c>
      <c r="J139" s="468"/>
      <c r="K139" s="468"/>
      <c r="L139" s="468"/>
      <c r="M139" s="468"/>
      <c r="N139" s="468">
        <v>2</v>
      </c>
      <c r="O139" s="468">
        <v>34</v>
      </c>
      <c r="P139" s="603"/>
      <c r="Q139" s="469">
        <v>17</v>
      </c>
    </row>
    <row r="140" spans="1:17" ht="14.4" customHeight="1" x14ac:dyDescent="0.3">
      <c r="A140" s="522" t="s">
        <v>1106</v>
      </c>
      <c r="B140" s="465" t="s">
        <v>925</v>
      </c>
      <c r="C140" s="465" t="s">
        <v>926</v>
      </c>
      <c r="D140" s="465" t="s">
        <v>995</v>
      </c>
      <c r="E140" s="465" t="s">
        <v>996</v>
      </c>
      <c r="F140" s="468"/>
      <c r="G140" s="468"/>
      <c r="H140" s="468"/>
      <c r="I140" s="468"/>
      <c r="J140" s="468"/>
      <c r="K140" s="468"/>
      <c r="L140" s="468"/>
      <c r="M140" s="468"/>
      <c r="N140" s="468">
        <v>1</v>
      </c>
      <c r="O140" s="468">
        <v>1285</v>
      </c>
      <c r="P140" s="603"/>
      <c r="Q140" s="469">
        <v>1285</v>
      </c>
    </row>
    <row r="141" spans="1:17" ht="14.4" customHeight="1" x14ac:dyDescent="0.3">
      <c r="A141" s="522" t="s">
        <v>1106</v>
      </c>
      <c r="B141" s="465" t="s">
        <v>925</v>
      </c>
      <c r="C141" s="465" t="s">
        <v>926</v>
      </c>
      <c r="D141" s="465" t="s">
        <v>1005</v>
      </c>
      <c r="E141" s="465" t="s">
        <v>1006</v>
      </c>
      <c r="F141" s="468">
        <v>2</v>
      </c>
      <c r="G141" s="468">
        <v>78</v>
      </c>
      <c r="H141" s="468">
        <v>1.95</v>
      </c>
      <c r="I141" s="468">
        <v>39</v>
      </c>
      <c r="J141" s="468">
        <v>1</v>
      </c>
      <c r="K141" s="468">
        <v>40</v>
      </c>
      <c r="L141" s="468">
        <v>1</v>
      </c>
      <c r="M141" s="468">
        <v>40</v>
      </c>
      <c r="N141" s="468">
        <v>3</v>
      </c>
      <c r="O141" s="468">
        <v>120</v>
      </c>
      <c r="P141" s="603">
        <v>3</v>
      </c>
      <c r="Q141" s="469">
        <v>40</v>
      </c>
    </row>
    <row r="142" spans="1:17" ht="14.4" customHeight="1" x14ac:dyDescent="0.3">
      <c r="A142" s="522" t="s">
        <v>1106</v>
      </c>
      <c r="B142" s="465" t="s">
        <v>925</v>
      </c>
      <c r="C142" s="465" t="s">
        <v>926</v>
      </c>
      <c r="D142" s="465" t="s">
        <v>1009</v>
      </c>
      <c r="E142" s="465" t="s">
        <v>1010</v>
      </c>
      <c r="F142" s="468">
        <v>2</v>
      </c>
      <c r="G142" s="468">
        <v>340</v>
      </c>
      <c r="H142" s="468">
        <v>1.9883040935672514</v>
      </c>
      <c r="I142" s="468">
        <v>170</v>
      </c>
      <c r="J142" s="468">
        <v>1</v>
      </c>
      <c r="K142" s="468">
        <v>171</v>
      </c>
      <c r="L142" s="468">
        <v>1</v>
      </c>
      <c r="M142" s="468">
        <v>171</v>
      </c>
      <c r="N142" s="468">
        <v>3</v>
      </c>
      <c r="O142" s="468">
        <v>513</v>
      </c>
      <c r="P142" s="603">
        <v>3</v>
      </c>
      <c r="Q142" s="469">
        <v>171</v>
      </c>
    </row>
    <row r="143" spans="1:17" ht="14.4" customHeight="1" x14ac:dyDescent="0.3">
      <c r="A143" s="522" t="s">
        <v>1106</v>
      </c>
      <c r="B143" s="465" t="s">
        <v>925</v>
      </c>
      <c r="C143" s="465" t="s">
        <v>926</v>
      </c>
      <c r="D143" s="465" t="s">
        <v>1015</v>
      </c>
      <c r="E143" s="465" t="s">
        <v>1016</v>
      </c>
      <c r="F143" s="468">
        <v>2</v>
      </c>
      <c r="G143" s="468">
        <v>696</v>
      </c>
      <c r="H143" s="468">
        <v>1.9885714285714287</v>
      </c>
      <c r="I143" s="468">
        <v>348</v>
      </c>
      <c r="J143" s="468">
        <v>1</v>
      </c>
      <c r="K143" s="468">
        <v>350</v>
      </c>
      <c r="L143" s="468">
        <v>1</v>
      </c>
      <c r="M143" s="468">
        <v>350</v>
      </c>
      <c r="N143" s="468">
        <v>3</v>
      </c>
      <c r="O143" s="468">
        <v>1050</v>
      </c>
      <c r="P143" s="603">
        <v>3</v>
      </c>
      <c r="Q143" s="469">
        <v>350</v>
      </c>
    </row>
    <row r="144" spans="1:17" ht="14.4" customHeight="1" x14ac:dyDescent="0.3">
      <c r="A144" s="522" t="s">
        <v>1106</v>
      </c>
      <c r="B144" s="465" t="s">
        <v>925</v>
      </c>
      <c r="C144" s="465" t="s">
        <v>926</v>
      </c>
      <c r="D144" s="465" t="s">
        <v>1017</v>
      </c>
      <c r="E144" s="465" t="s">
        <v>1018</v>
      </c>
      <c r="F144" s="468">
        <v>2</v>
      </c>
      <c r="G144" s="468">
        <v>346</v>
      </c>
      <c r="H144" s="468">
        <v>1.9885057471264367</v>
      </c>
      <c r="I144" s="468">
        <v>173</v>
      </c>
      <c r="J144" s="468">
        <v>1</v>
      </c>
      <c r="K144" s="468">
        <v>174</v>
      </c>
      <c r="L144" s="468">
        <v>1</v>
      </c>
      <c r="M144" s="468">
        <v>174</v>
      </c>
      <c r="N144" s="468">
        <v>3</v>
      </c>
      <c r="O144" s="468">
        <v>522</v>
      </c>
      <c r="P144" s="603">
        <v>3</v>
      </c>
      <c r="Q144" s="469">
        <v>174</v>
      </c>
    </row>
    <row r="145" spans="1:17" ht="14.4" customHeight="1" x14ac:dyDescent="0.3">
      <c r="A145" s="522" t="s">
        <v>1106</v>
      </c>
      <c r="B145" s="465" t="s">
        <v>925</v>
      </c>
      <c r="C145" s="465" t="s">
        <v>926</v>
      </c>
      <c r="D145" s="465" t="s">
        <v>1039</v>
      </c>
      <c r="E145" s="465" t="s">
        <v>1040</v>
      </c>
      <c r="F145" s="468">
        <v>2</v>
      </c>
      <c r="G145" s="468">
        <v>334</v>
      </c>
      <c r="H145" s="468">
        <v>1.9880952380952381</v>
      </c>
      <c r="I145" s="468">
        <v>167</v>
      </c>
      <c r="J145" s="468">
        <v>1</v>
      </c>
      <c r="K145" s="468">
        <v>168</v>
      </c>
      <c r="L145" s="468">
        <v>1</v>
      </c>
      <c r="M145" s="468">
        <v>168</v>
      </c>
      <c r="N145" s="468">
        <v>3</v>
      </c>
      <c r="O145" s="468">
        <v>504</v>
      </c>
      <c r="P145" s="603">
        <v>3</v>
      </c>
      <c r="Q145" s="469">
        <v>168</v>
      </c>
    </row>
    <row r="146" spans="1:17" ht="14.4" customHeight="1" x14ac:dyDescent="0.3">
      <c r="A146" s="522" t="s">
        <v>1106</v>
      </c>
      <c r="B146" s="465" t="s">
        <v>925</v>
      </c>
      <c r="C146" s="465" t="s">
        <v>926</v>
      </c>
      <c r="D146" s="465" t="s">
        <v>1045</v>
      </c>
      <c r="E146" s="465" t="s">
        <v>1046</v>
      </c>
      <c r="F146" s="468"/>
      <c r="G146" s="468"/>
      <c r="H146" s="468"/>
      <c r="I146" s="468"/>
      <c r="J146" s="468"/>
      <c r="K146" s="468"/>
      <c r="L146" s="468"/>
      <c r="M146" s="468"/>
      <c r="N146" s="468">
        <v>12</v>
      </c>
      <c r="O146" s="468">
        <v>27564</v>
      </c>
      <c r="P146" s="603"/>
      <c r="Q146" s="469">
        <v>2297</v>
      </c>
    </row>
    <row r="147" spans="1:17" ht="14.4" customHeight="1" x14ac:dyDescent="0.3">
      <c r="A147" s="522" t="s">
        <v>1106</v>
      </c>
      <c r="B147" s="465" t="s">
        <v>925</v>
      </c>
      <c r="C147" s="465" t="s">
        <v>926</v>
      </c>
      <c r="D147" s="465" t="s">
        <v>1061</v>
      </c>
      <c r="E147" s="465" t="s">
        <v>1062</v>
      </c>
      <c r="F147" s="468">
        <v>1</v>
      </c>
      <c r="G147" s="468">
        <v>328</v>
      </c>
      <c r="H147" s="468">
        <v>0.97329376854599403</v>
      </c>
      <c r="I147" s="468">
        <v>328</v>
      </c>
      <c r="J147" s="468">
        <v>1</v>
      </c>
      <c r="K147" s="468">
        <v>337</v>
      </c>
      <c r="L147" s="468">
        <v>1</v>
      </c>
      <c r="M147" s="468">
        <v>337</v>
      </c>
      <c r="N147" s="468">
        <v>4</v>
      </c>
      <c r="O147" s="468">
        <v>1352</v>
      </c>
      <c r="P147" s="603">
        <v>4.0118694362017804</v>
      </c>
      <c r="Q147" s="469">
        <v>338</v>
      </c>
    </row>
    <row r="148" spans="1:17" ht="14.4" customHeight="1" x14ac:dyDescent="0.3">
      <c r="A148" s="522" t="s">
        <v>1107</v>
      </c>
      <c r="B148" s="465" t="s">
        <v>925</v>
      </c>
      <c r="C148" s="465" t="s">
        <v>926</v>
      </c>
      <c r="D148" s="465" t="s">
        <v>927</v>
      </c>
      <c r="E148" s="465" t="s">
        <v>928</v>
      </c>
      <c r="F148" s="468"/>
      <c r="G148" s="468"/>
      <c r="H148" s="468"/>
      <c r="I148" s="468"/>
      <c r="J148" s="468"/>
      <c r="K148" s="468"/>
      <c r="L148" s="468"/>
      <c r="M148" s="468"/>
      <c r="N148" s="468">
        <v>1</v>
      </c>
      <c r="O148" s="468">
        <v>1483</v>
      </c>
      <c r="P148" s="603"/>
      <c r="Q148" s="469">
        <v>1483</v>
      </c>
    </row>
    <row r="149" spans="1:17" ht="14.4" customHeight="1" x14ac:dyDescent="0.3">
      <c r="A149" s="522" t="s">
        <v>1107</v>
      </c>
      <c r="B149" s="465" t="s">
        <v>925</v>
      </c>
      <c r="C149" s="465" t="s">
        <v>926</v>
      </c>
      <c r="D149" s="465" t="s">
        <v>947</v>
      </c>
      <c r="E149" s="465" t="s">
        <v>948</v>
      </c>
      <c r="F149" s="468">
        <v>1</v>
      </c>
      <c r="G149" s="468">
        <v>167</v>
      </c>
      <c r="H149" s="468">
        <v>0.24851190476190477</v>
      </c>
      <c r="I149" s="468">
        <v>167</v>
      </c>
      <c r="J149" s="468">
        <v>4</v>
      </c>
      <c r="K149" s="468">
        <v>672</v>
      </c>
      <c r="L149" s="468">
        <v>1</v>
      </c>
      <c r="M149" s="468">
        <v>168</v>
      </c>
      <c r="N149" s="468">
        <v>5</v>
      </c>
      <c r="O149" s="468">
        <v>840</v>
      </c>
      <c r="P149" s="603">
        <v>1.25</v>
      </c>
      <c r="Q149" s="469">
        <v>168</v>
      </c>
    </row>
    <row r="150" spans="1:17" ht="14.4" customHeight="1" x14ac:dyDescent="0.3">
      <c r="A150" s="522" t="s">
        <v>1107</v>
      </c>
      <c r="B150" s="465" t="s">
        <v>925</v>
      </c>
      <c r="C150" s="465" t="s">
        <v>926</v>
      </c>
      <c r="D150" s="465" t="s">
        <v>949</v>
      </c>
      <c r="E150" s="465" t="s">
        <v>950</v>
      </c>
      <c r="F150" s="468">
        <v>1</v>
      </c>
      <c r="G150" s="468">
        <v>173</v>
      </c>
      <c r="H150" s="468">
        <v>0.33141762452107282</v>
      </c>
      <c r="I150" s="468">
        <v>173</v>
      </c>
      <c r="J150" s="468">
        <v>3</v>
      </c>
      <c r="K150" s="468">
        <v>522</v>
      </c>
      <c r="L150" s="468">
        <v>1</v>
      </c>
      <c r="M150" s="468">
        <v>174</v>
      </c>
      <c r="N150" s="468">
        <v>6</v>
      </c>
      <c r="O150" s="468">
        <v>1044</v>
      </c>
      <c r="P150" s="603">
        <v>2</v>
      </c>
      <c r="Q150" s="469">
        <v>174</v>
      </c>
    </row>
    <row r="151" spans="1:17" ht="14.4" customHeight="1" x14ac:dyDescent="0.3">
      <c r="A151" s="522" t="s">
        <v>1107</v>
      </c>
      <c r="B151" s="465" t="s">
        <v>925</v>
      </c>
      <c r="C151" s="465" t="s">
        <v>926</v>
      </c>
      <c r="D151" s="465" t="s">
        <v>951</v>
      </c>
      <c r="E151" s="465" t="s">
        <v>952</v>
      </c>
      <c r="F151" s="468">
        <v>1</v>
      </c>
      <c r="G151" s="468">
        <v>351</v>
      </c>
      <c r="H151" s="468"/>
      <c r="I151" s="468">
        <v>351</v>
      </c>
      <c r="J151" s="468"/>
      <c r="K151" s="468"/>
      <c r="L151" s="468"/>
      <c r="M151" s="468"/>
      <c r="N151" s="468"/>
      <c r="O151" s="468"/>
      <c r="P151" s="603"/>
      <c r="Q151" s="469"/>
    </row>
    <row r="152" spans="1:17" ht="14.4" customHeight="1" x14ac:dyDescent="0.3">
      <c r="A152" s="522" t="s">
        <v>1107</v>
      </c>
      <c r="B152" s="465" t="s">
        <v>925</v>
      </c>
      <c r="C152" s="465" t="s">
        <v>926</v>
      </c>
      <c r="D152" s="465" t="s">
        <v>959</v>
      </c>
      <c r="E152" s="465" t="s">
        <v>960</v>
      </c>
      <c r="F152" s="468">
        <v>1</v>
      </c>
      <c r="G152" s="468">
        <v>547</v>
      </c>
      <c r="H152" s="468"/>
      <c r="I152" s="468">
        <v>547</v>
      </c>
      <c r="J152" s="468"/>
      <c r="K152" s="468"/>
      <c r="L152" s="468"/>
      <c r="M152" s="468"/>
      <c r="N152" s="468">
        <v>1</v>
      </c>
      <c r="O152" s="468">
        <v>549</v>
      </c>
      <c r="P152" s="603"/>
      <c r="Q152" s="469">
        <v>549</v>
      </c>
    </row>
    <row r="153" spans="1:17" ht="14.4" customHeight="1" x14ac:dyDescent="0.3">
      <c r="A153" s="522" t="s">
        <v>1107</v>
      </c>
      <c r="B153" s="465" t="s">
        <v>925</v>
      </c>
      <c r="C153" s="465" t="s">
        <v>926</v>
      </c>
      <c r="D153" s="465" t="s">
        <v>967</v>
      </c>
      <c r="E153" s="465" t="s">
        <v>968</v>
      </c>
      <c r="F153" s="468">
        <v>1</v>
      </c>
      <c r="G153" s="468">
        <v>511</v>
      </c>
      <c r="H153" s="468"/>
      <c r="I153" s="468">
        <v>511</v>
      </c>
      <c r="J153" s="468"/>
      <c r="K153" s="468"/>
      <c r="L153" s="468"/>
      <c r="M153" s="468"/>
      <c r="N153" s="468"/>
      <c r="O153" s="468"/>
      <c r="P153" s="603"/>
      <c r="Q153" s="469"/>
    </row>
    <row r="154" spans="1:17" ht="14.4" customHeight="1" x14ac:dyDescent="0.3">
      <c r="A154" s="522" t="s">
        <v>1107</v>
      </c>
      <c r="B154" s="465" t="s">
        <v>925</v>
      </c>
      <c r="C154" s="465" t="s">
        <v>926</v>
      </c>
      <c r="D154" s="465" t="s">
        <v>969</v>
      </c>
      <c r="E154" s="465" t="s">
        <v>970</v>
      </c>
      <c r="F154" s="468">
        <v>1</v>
      </c>
      <c r="G154" s="468">
        <v>421</v>
      </c>
      <c r="H154" s="468"/>
      <c r="I154" s="468">
        <v>421</v>
      </c>
      <c r="J154" s="468"/>
      <c r="K154" s="468"/>
      <c r="L154" s="468"/>
      <c r="M154" s="468"/>
      <c r="N154" s="468"/>
      <c r="O154" s="468"/>
      <c r="P154" s="603"/>
      <c r="Q154" s="469"/>
    </row>
    <row r="155" spans="1:17" ht="14.4" customHeight="1" x14ac:dyDescent="0.3">
      <c r="A155" s="522" t="s">
        <v>1107</v>
      </c>
      <c r="B155" s="465" t="s">
        <v>925</v>
      </c>
      <c r="C155" s="465" t="s">
        <v>926</v>
      </c>
      <c r="D155" s="465" t="s">
        <v>971</v>
      </c>
      <c r="E155" s="465" t="s">
        <v>972</v>
      </c>
      <c r="F155" s="468">
        <v>1</v>
      </c>
      <c r="G155" s="468">
        <v>347</v>
      </c>
      <c r="H155" s="468"/>
      <c r="I155" s="468">
        <v>347</v>
      </c>
      <c r="J155" s="468"/>
      <c r="K155" s="468"/>
      <c r="L155" s="468"/>
      <c r="M155" s="468"/>
      <c r="N155" s="468">
        <v>1</v>
      </c>
      <c r="O155" s="468">
        <v>349</v>
      </c>
      <c r="P155" s="603"/>
      <c r="Q155" s="469">
        <v>349</v>
      </c>
    </row>
    <row r="156" spans="1:17" ht="14.4" customHeight="1" x14ac:dyDescent="0.3">
      <c r="A156" s="522" t="s">
        <v>1107</v>
      </c>
      <c r="B156" s="465" t="s">
        <v>925</v>
      </c>
      <c r="C156" s="465" t="s">
        <v>926</v>
      </c>
      <c r="D156" s="465" t="s">
        <v>981</v>
      </c>
      <c r="E156" s="465" t="s">
        <v>982</v>
      </c>
      <c r="F156" s="468"/>
      <c r="G156" s="468"/>
      <c r="H156" s="468"/>
      <c r="I156" s="468"/>
      <c r="J156" s="468"/>
      <c r="K156" s="468"/>
      <c r="L156" s="468"/>
      <c r="M156" s="468"/>
      <c r="N156" s="468">
        <v>1</v>
      </c>
      <c r="O156" s="468">
        <v>111</v>
      </c>
      <c r="P156" s="603"/>
      <c r="Q156" s="469">
        <v>111</v>
      </c>
    </row>
    <row r="157" spans="1:17" ht="14.4" customHeight="1" x14ac:dyDescent="0.3">
      <c r="A157" s="522" t="s">
        <v>1107</v>
      </c>
      <c r="B157" s="465" t="s">
        <v>925</v>
      </c>
      <c r="C157" s="465" t="s">
        <v>926</v>
      </c>
      <c r="D157" s="465" t="s">
        <v>989</v>
      </c>
      <c r="E157" s="465" t="s">
        <v>990</v>
      </c>
      <c r="F157" s="468"/>
      <c r="G157" s="468"/>
      <c r="H157" s="468"/>
      <c r="I157" s="468"/>
      <c r="J157" s="468"/>
      <c r="K157" s="468"/>
      <c r="L157" s="468"/>
      <c r="M157" s="468"/>
      <c r="N157" s="468">
        <v>1</v>
      </c>
      <c r="O157" s="468">
        <v>17</v>
      </c>
      <c r="P157" s="603"/>
      <c r="Q157" s="469">
        <v>17</v>
      </c>
    </row>
    <row r="158" spans="1:17" ht="14.4" customHeight="1" x14ac:dyDescent="0.3">
      <c r="A158" s="522" t="s">
        <v>1107</v>
      </c>
      <c r="B158" s="465" t="s">
        <v>925</v>
      </c>
      <c r="C158" s="465" t="s">
        <v>926</v>
      </c>
      <c r="D158" s="465" t="s">
        <v>993</v>
      </c>
      <c r="E158" s="465" t="s">
        <v>994</v>
      </c>
      <c r="F158" s="468"/>
      <c r="G158" s="468"/>
      <c r="H158" s="468"/>
      <c r="I158" s="468"/>
      <c r="J158" s="468">
        <v>18</v>
      </c>
      <c r="K158" s="468">
        <v>6300</v>
      </c>
      <c r="L158" s="468">
        <v>1</v>
      </c>
      <c r="M158" s="468">
        <v>350</v>
      </c>
      <c r="N158" s="468">
        <v>17</v>
      </c>
      <c r="O158" s="468">
        <v>5950</v>
      </c>
      <c r="P158" s="603">
        <v>0.94444444444444442</v>
      </c>
      <c r="Q158" s="469">
        <v>350</v>
      </c>
    </row>
    <row r="159" spans="1:17" ht="14.4" customHeight="1" x14ac:dyDescent="0.3">
      <c r="A159" s="522" t="s">
        <v>1107</v>
      </c>
      <c r="B159" s="465" t="s">
        <v>925</v>
      </c>
      <c r="C159" s="465" t="s">
        <v>926</v>
      </c>
      <c r="D159" s="465" t="s">
        <v>997</v>
      </c>
      <c r="E159" s="465" t="s">
        <v>998</v>
      </c>
      <c r="F159" s="468">
        <v>1</v>
      </c>
      <c r="G159" s="468">
        <v>148</v>
      </c>
      <c r="H159" s="468"/>
      <c r="I159" s="468">
        <v>148</v>
      </c>
      <c r="J159" s="468"/>
      <c r="K159" s="468"/>
      <c r="L159" s="468"/>
      <c r="M159" s="468"/>
      <c r="N159" s="468">
        <v>1</v>
      </c>
      <c r="O159" s="468">
        <v>149</v>
      </c>
      <c r="P159" s="603"/>
      <c r="Q159" s="469">
        <v>149</v>
      </c>
    </row>
    <row r="160" spans="1:17" ht="14.4" customHeight="1" x14ac:dyDescent="0.3">
      <c r="A160" s="522" t="s">
        <v>1107</v>
      </c>
      <c r="B160" s="465" t="s">
        <v>925</v>
      </c>
      <c r="C160" s="465" t="s">
        <v>926</v>
      </c>
      <c r="D160" s="465" t="s">
        <v>1003</v>
      </c>
      <c r="E160" s="465" t="s">
        <v>1004</v>
      </c>
      <c r="F160" s="468">
        <v>1</v>
      </c>
      <c r="G160" s="468">
        <v>207</v>
      </c>
      <c r="H160" s="468"/>
      <c r="I160" s="468">
        <v>207</v>
      </c>
      <c r="J160" s="468"/>
      <c r="K160" s="468"/>
      <c r="L160" s="468"/>
      <c r="M160" s="468"/>
      <c r="N160" s="468">
        <v>1</v>
      </c>
      <c r="O160" s="468">
        <v>209</v>
      </c>
      <c r="P160" s="603"/>
      <c r="Q160" s="469">
        <v>209</v>
      </c>
    </row>
    <row r="161" spans="1:17" ht="14.4" customHeight="1" x14ac:dyDescent="0.3">
      <c r="A161" s="522" t="s">
        <v>1107</v>
      </c>
      <c r="B161" s="465" t="s">
        <v>925</v>
      </c>
      <c r="C161" s="465" t="s">
        <v>926</v>
      </c>
      <c r="D161" s="465" t="s">
        <v>1005</v>
      </c>
      <c r="E161" s="465" t="s">
        <v>1006</v>
      </c>
      <c r="F161" s="468"/>
      <c r="G161" s="468"/>
      <c r="H161" s="468"/>
      <c r="I161" s="468"/>
      <c r="J161" s="468">
        <v>3</v>
      </c>
      <c r="K161" s="468">
        <v>120</v>
      </c>
      <c r="L161" s="468">
        <v>1</v>
      </c>
      <c r="M161" s="468">
        <v>40</v>
      </c>
      <c r="N161" s="468">
        <v>5</v>
      </c>
      <c r="O161" s="468">
        <v>200</v>
      </c>
      <c r="P161" s="603">
        <v>1.6666666666666667</v>
      </c>
      <c r="Q161" s="469">
        <v>40</v>
      </c>
    </row>
    <row r="162" spans="1:17" ht="14.4" customHeight="1" x14ac:dyDescent="0.3">
      <c r="A162" s="522" t="s">
        <v>1107</v>
      </c>
      <c r="B162" s="465" t="s">
        <v>925</v>
      </c>
      <c r="C162" s="465" t="s">
        <v>926</v>
      </c>
      <c r="D162" s="465" t="s">
        <v>1009</v>
      </c>
      <c r="E162" s="465" t="s">
        <v>1010</v>
      </c>
      <c r="F162" s="468">
        <v>1</v>
      </c>
      <c r="G162" s="468">
        <v>170</v>
      </c>
      <c r="H162" s="468">
        <v>0.19883040935672514</v>
      </c>
      <c r="I162" s="468">
        <v>170</v>
      </c>
      <c r="J162" s="468">
        <v>5</v>
      </c>
      <c r="K162" s="468">
        <v>855</v>
      </c>
      <c r="L162" s="468">
        <v>1</v>
      </c>
      <c r="M162" s="468">
        <v>171</v>
      </c>
      <c r="N162" s="468">
        <v>5</v>
      </c>
      <c r="O162" s="468">
        <v>855</v>
      </c>
      <c r="P162" s="603">
        <v>1</v>
      </c>
      <c r="Q162" s="469">
        <v>171</v>
      </c>
    </row>
    <row r="163" spans="1:17" ht="14.4" customHeight="1" x14ac:dyDescent="0.3">
      <c r="A163" s="522" t="s">
        <v>1107</v>
      </c>
      <c r="B163" s="465" t="s">
        <v>925</v>
      </c>
      <c r="C163" s="465" t="s">
        <v>926</v>
      </c>
      <c r="D163" s="465" t="s">
        <v>1013</v>
      </c>
      <c r="E163" s="465" t="s">
        <v>1014</v>
      </c>
      <c r="F163" s="468"/>
      <c r="G163" s="468"/>
      <c r="H163" s="468"/>
      <c r="I163" s="468"/>
      <c r="J163" s="468"/>
      <c r="K163" s="468"/>
      <c r="L163" s="468"/>
      <c r="M163" s="468"/>
      <c r="N163" s="468">
        <v>1</v>
      </c>
      <c r="O163" s="468">
        <v>690</v>
      </c>
      <c r="P163" s="603"/>
      <c r="Q163" s="469">
        <v>690</v>
      </c>
    </row>
    <row r="164" spans="1:17" ht="14.4" customHeight="1" x14ac:dyDescent="0.3">
      <c r="A164" s="522" t="s">
        <v>1107</v>
      </c>
      <c r="B164" s="465" t="s">
        <v>925</v>
      </c>
      <c r="C164" s="465" t="s">
        <v>926</v>
      </c>
      <c r="D164" s="465" t="s">
        <v>1015</v>
      </c>
      <c r="E164" s="465" t="s">
        <v>1016</v>
      </c>
      <c r="F164" s="468"/>
      <c r="G164" s="468"/>
      <c r="H164" s="468"/>
      <c r="I164" s="468"/>
      <c r="J164" s="468">
        <v>1</v>
      </c>
      <c r="K164" s="468">
        <v>350</v>
      </c>
      <c r="L164" s="468">
        <v>1</v>
      </c>
      <c r="M164" s="468">
        <v>350</v>
      </c>
      <c r="N164" s="468">
        <v>2</v>
      </c>
      <c r="O164" s="468">
        <v>700</v>
      </c>
      <c r="P164" s="603">
        <v>2</v>
      </c>
      <c r="Q164" s="469">
        <v>350</v>
      </c>
    </row>
    <row r="165" spans="1:17" ht="14.4" customHeight="1" x14ac:dyDescent="0.3">
      <c r="A165" s="522" t="s">
        <v>1107</v>
      </c>
      <c r="B165" s="465" t="s">
        <v>925</v>
      </c>
      <c r="C165" s="465" t="s">
        <v>926</v>
      </c>
      <c r="D165" s="465" t="s">
        <v>1017</v>
      </c>
      <c r="E165" s="465" t="s">
        <v>1018</v>
      </c>
      <c r="F165" s="468">
        <v>1</v>
      </c>
      <c r="G165" s="468">
        <v>173</v>
      </c>
      <c r="H165" s="468">
        <v>0.19885057471264367</v>
      </c>
      <c r="I165" s="468">
        <v>173</v>
      </c>
      <c r="J165" s="468">
        <v>5</v>
      </c>
      <c r="K165" s="468">
        <v>870</v>
      </c>
      <c r="L165" s="468">
        <v>1</v>
      </c>
      <c r="M165" s="468">
        <v>174</v>
      </c>
      <c r="N165" s="468">
        <v>5</v>
      </c>
      <c r="O165" s="468">
        <v>870</v>
      </c>
      <c r="P165" s="603">
        <v>1</v>
      </c>
      <c r="Q165" s="469">
        <v>174</v>
      </c>
    </row>
    <row r="166" spans="1:17" ht="14.4" customHeight="1" x14ac:dyDescent="0.3">
      <c r="A166" s="522" t="s">
        <v>1107</v>
      </c>
      <c r="B166" s="465" t="s">
        <v>925</v>
      </c>
      <c r="C166" s="465" t="s">
        <v>926</v>
      </c>
      <c r="D166" s="465" t="s">
        <v>1027</v>
      </c>
      <c r="E166" s="465" t="s">
        <v>1028</v>
      </c>
      <c r="F166" s="468">
        <v>1</v>
      </c>
      <c r="G166" s="468">
        <v>692</v>
      </c>
      <c r="H166" s="468"/>
      <c r="I166" s="468">
        <v>692</v>
      </c>
      <c r="J166" s="468"/>
      <c r="K166" s="468"/>
      <c r="L166" s="468"/>
      <c r="M166" s="468"/>
      <c r="N166" s="468"/>
      <c r="O166" s="468"/>
      <c r="P166" s="603"/>
      <c r="Q166" s="469"/>
    </row>
    <row r="167" spans="1:17" ht="14.4" customHeight="1" x14ac:dyDescent="0.3">
      <c r="A167" s="522" t="s">
        <v>1107</v>
      </c>
      <c r="B167" s="465" t="s">
        <v>925</v>
      </c>
      <c r="C167" s="465" t="s">
        <v>926</v>
      </c>
      <c r="D167" s="465" t="s">
        <v>1031</v>
      </c>
      <c r="E167" s="465" t="s">
        <v>1032</v>
      </c>
      <c r="F167" s="468">
        <v>1</v>
      </c>
      <c r="G167" s="468">
        <v>475</v>
      </c>
      <c r="H167" s="468"/>
      <c r="I167" s="468">
        <v>475</v>
      </c>
      <c r="J167" s="468"/>
      <c r="K167" s="468"/>
      <c r="L167" s="468"/>
      <c r="M167" s="468"/>
      <c r="N167" s="468">
        <v>1</v>
      </c>
      <c r="O167" s="468">
        <v>477</v>
      </c>
      <c r="P167" s="603"/>
      <c r="Q167" s="469">
        <v>477</v>
      </c>
    </row>
    <row r="168" spans="1:17" ht="14.4" customHeight="1" x14ac:dyDescent="0.3">
      <c r="A168" s="522" t="s">
        <v>1107</v>
      </c>
      <c r="B168" s="465" t="s">
        <v>925</v>
      </c>
      <c r="C168" s="465" t="s">
        <v>926</v>
      </c>
      <c r="D168" s="465" t="s">
        <v>1033</v>
      </c>
      <c r="E168" s="465" t="s">
        <v>1034</v>
      </c>
      <c r="F168" s="468">
        <v>1</v>
      </c>
      <c r="G168" s="468">
        <v>289</v>
      </c>
      <c r="H168" s="468"/>
      <c r="I168" s="468">
        <v>289</v>
      </c>
      <c r="J168" s="468"/>
      <c r="K168" s="468"/>
      <c r="L168" s="468"/>
      <c r="M168" s="468"/>
      <c r="N168" s="468"/>
      <c r="O168" s="468"/>
      <c r="P168" s="603"/>
      <c r="Q168" s="469"/>
    </row>
    <row r="169" spans="1:17" ht="14.4" customHeight="1" x14ac:dyDescent="0.3">
      <c r="A169" s="522" t="s">
        <v>1107</v>
      </c>
      <c r="B169" s="465" t="s">
        <v>925</v>
      </c>
      <c r="C169" s="465" t="s">
        <v>926</v>
      </c>
      <c r="D169" s="465" t="s">
        <v>1039</v>
      </c>
      <c r="E169" s="465" t="s">
        <v>1040</v>
      </c>
      <c r="F169" s="468">
        <v>1</v>
      </c>
      <c r="G169" s="468">
        <v>167</v>
      </c>
      <c r="H169" s="468">
        <v>0.33134920634920634</v>
      </c>
      <c r="I169" s="468">
        <v>167</v>
      </c>
      <c r="J169" s="468">
        <v>3</v>
      </c>
      <c r="K169" s="468">
        <v>504</v>
      </c>
      <c r="L169" s="468">
        <v>1</v>
      </c>
      <c r="M169" s="468">
        <v>168</v>
      </c>
      <c r="N169" s="468">
        <v>6</v>
      </c>
      <c r="O169" s="468">
        <v>1008</v>
      </c>
      <c r="P169" s="603">
        <v>2</v>
      </c>
      <c r="Q169" s="469">
        <v>168</v>
      </c>
    </row>
    <row r="170" spans="1:17" ht="14.4" customHeight="1" x14ac:dyDescent="0.3">
      <c r="A170" s="522" t="s">
        <v>1108</v>
      </c>
      <c r="B170" s="465" t="s">
        <v>925</v>
      </c>
      <c r="C170" s="465" t="s">
        <v>926</v>
      </c>
      <c r="D170" s="465" t="s">
        <v>947</v>
      </c>
      <c r="E170" s="465" t="s">
        <v>948</v>
      </c>
      <c r="F170" s="468"/>
      <c r="G170" s="468"/>
      <c r="H170" s="468"/>
      <c r="I170" s="468"/>
      <c r="J170" s="468"/>
      <c r="K170" s="468"/>
      <c r="L170" s="468"/>
      <c r="M170" s="468"/>
      <c r="N170" s="468">
        <v>4</v>
      </c>
      <c r="O170" s="468">
        <v>672</v>
      </c>
      <c r="P170" s="603"/>
      <c r="Q170" s="469">
        <v>168</v>
      </c>
    </row>
    <row r="171" spans="1:17" ht="14.4" customHeight="1" x14ac:dyDescent="0.3">
      <c r="A171" s="522" t="s">
        <v>1108</v>
      </c>
      <c r="B171" s="465" t="s">
        <v>925</v>
      </c>
      <c r="C171" s="465" t="s">
        <v>926</v>
      </c>
      <c r="D171" s="465" t="s">
        <v>949</v>
      </c>
      <c r="E171" s="465" t="s">
        <v>950</v>
      </c>
      <c r="F171" s="468"/>
      <c r="G171" s="468"/>
      <c r="H171" s="468"/>
      <c r="I171" s="468"/>
      <c r="J171" s="468"/>
      <c r="K171" s="468"/>
      <c r="L171" s="468"/>
      <c r="M171" s="468"/>
      <c r="N171" s="468">
        <v>1</v>
      </c>
      <c r="O171" s="468">
        <v>174</v>
      </c>
      <c r="P171" s="603"/>
      <c r="Q171" s="469">
        <v>174</v>
      </c>
    </row>
    <row r="172" spans="1:17" ht="14.4" customHeight="1" x14ac:dyDescent="0.3">
      <c r="A172" s="522" t="s">
        <v>1108</v>
      </c>
      <c r="B172" s="465" t="s">
        <v>925</v>
      </c>
      <c r="C172" s="465" t="s">
        <v>926</v>
      </c>
      <c r="D172" s="465" t="s">
        <v>959</v>
      </c>
      <c r="E172" s="465" t="s">
        <v>960</v>
      </c>
      <c r="F172" s="468"/>
      <c r="G172" s="468"/>
      <c r="H172" s="468"/>
      <c r="I172" s="468"/>
      <c r="J172" s="468">
        <v>1</v>
      </c>
      <c r="K172" s="468">
        <v>549</v>
      </c>
      <c r="L172" s="468">
        <v>1</v>
      </c>
      <c r="M172" s="468">
        <v>549</v>
      </c>
      <c r="N172" s="468"/>
      <c r="O172" s="468"/>
      <c r="P172" s="603"/>
      <c r="Q172" s="469"/>
    </row>
    <row r="173" spans="1:17" ht="14.4" customHeight="1" x14ac:dyDescent="0.3">
      <c r="A173" s="522" t="s">
        <v>1108</v>
      </c>
      <c r="B173" s="465" t="s">
        <v>925</v>
      </c>
      <c r="C173" s="465" t="s">
        <v>926</v>
      </c>
      <c r="D173" s="465" t="s">
        <v>975</v>
      </c>
      <c r="E173" s="465" t="s">
        <v>976</v>
      </c>
      <c r="F173" s="468"/>
      <c r="G173" s="468"/>
      <c r="H173" s="468"/>
      <c r="I173" s="468"/>
      <c r="J173" s="468">
        <v>10</v>
      </c>
      <c r="K173" s="468">
        <v>5080</v>
      </c>
      <c r="L173" s="468">
        <v>1</v>
      </c>
      <c r="M173" s="468">
        <v>508</v>
      </c>
      <c r="N173" s="468">
        <v>8</v>
      </c>
      <c r="O173" s="468">
        <v>4064</v>
      </c>
      <c r="P173" s="603">
        <v>0.8</v>
      </c>
      <c r="Q173" s="469">
        <v>508</v>
      </c>
    </row>
    <row r="174" spans="1:17" ht="14.4" customHeight="1" x14ac:dyDescent="0.3">
      <c r="A174" s="522" t="s">
        <v>1108</v>
      </c>
      <c r="B174" s="465" t="s">
        <v>925</v>
      </c>
      <c r="C174" s="465" t="s">
        <v>926</v>
      </c>
      <c r="D174" s="465" t="s">
        <v>993</v>
      </c>
      <c r="E174" s="465" t="s">
        <v>994</v>
      </c>
      <c r="F174" s="468"/>
      <c r="G174" s="468"/>
      <c r="H174" s="468"/>
      <c r="I174" s="468"/>
      <c r="J174" s="468">
        <v>10</v>
      </c>
      <c r="K174" s="468">
        <v>3500</v>
      </c>
      <c r="L174" s="468">
        <v>1</v>
      </c>
      <c r="M174" s="468">
        <v>350</v>
      </c>
      <c r="N174" s="468">
        <v>20</v>
      </c>
      <c r="O174" s="468">
        <v>7000</v>
      </c>
      <c r="P174" s="603">
        <v>2</v>
      </c>
      <c r="Q174" s="469">
        <v>350</v>
      </c>
    </row>
    <row r="175" spans="1:17" ht="14.4" customHeight="1" x14ac:dyDescent="0.3">
      <c r="A175" s="522" t="s">
        <v>1108</v>
      </c>
      <c r="B175" s="465" t="s">
        <v>925</v>
      </c>
      <c r="C175" s="465" t="s">
        <v>926</v>
      </c>
      <c r="D175" s="465" t="s">
        <v>1009</v>
      </c>
      <c r="E175" s="465" t="s">
        <v>1010</v>
      </c>
      <c r="F175" s="468"/>
      <c r="G175" s="468"/>
      <c r="H175" s="468"/>
      <c r="I175" s="468"/>
      <c r="J175" s="468"/>
      <c r="K175" s="468"/>
      <c r="L175" s="468"/>
      <c r="M175" s="468"/>
      <c r="N175" s="468">
        <v>4</v>
      </c>
      <c r="O175" s="468">
        <v>684</v>
      </c>
      <c r="P175" s="603"/>
      <c r="Q175" s="469">
        <v>171</v>
      </c>
    </row>
    <row r="176" spans="1:17" ht="14.4" customHeight="1" x14ac:dyDescent="0.3">
      <c r="A176" s="522" t="s">
        <v>1108</v>
      </c>
      <c r="B176" s="465" t="s">
        <v>925</v>
      </c>
      <c r="C176" s="465" t="s">
        <v>926</v>
      </c>
      <c r="D176" s="465" t="s">
        <v>1017</v>
      </c>
      <c r="E176" s="465" t="s">
        <v>1018</v>
      </c>
      <c r="F176" s="468"/>
      <c r="G176" s="468"/>
      <c r="H176" s="468"/>
      <c r="I176" s="468"/>
      <c r="J176" s="468"/>
      <c r="K176" s="468"/>
      <c r="L176" s="468"/>
      <c r="M176" s="468"/>
      <c r="N176" s="468">
        <v>4</v>
      </c>
      <c r="O176" s="468">
        <v>696</v>
      </c>
      <c r="P176" s="603"/>
      <c r="Q176" s="469">
        <v>174</v>
      </c>
    </row>
    <row r="177" spans="1:17" ht="14.4" customHeight="1" x14ac:dyDescent="0.3">
      <c r="A177" s="522" t="s">
        <v>1108</v>
      </c>
      <c r="B177" s="465" t="s">
        <v>925</v>
      </c>
      <c r="C177" s="465" t="s">
        <v>926</v>
      </c>
      <c r="D177" s="465" t="s">
        <v>1019</v>
      </c>
      <c r="E177" s="465" t="s">
        <v>1020</v>
      </c>
      <c r="F177" s="468"/>
      <c r="G177" s="468"/>
      <c r="H177" s="468"/>
      <c r="I177" s="468"/>
      <c r="J177" s="468"/>
      <c r="K177" s="468"/>
      <c r="L177" s="468"/>
      <c r="M177" s="468"/>
      <c r="N177" s="468">
        <v>8</v>
      </c>
      <c r="O177" s="468">
        <v>3208</v>
      </c>
      <c r="P177" s="603"/>
      <c r="Q177" s="469">
        <v>401</v>
      </c>
    </row>
    <row r="178" spans="1:17" ht="14.4" customHeight="1" x14ac:dyDescent="0.3">
      <c r="A178" s="522" t="s">
        <v>1108</v>
      </c>
      <c r="B178" s="465" t="s">
        <v>925</v>
      </c>
      <c r="C178" s="465" t="s">
        <v>926</v>
      </c>
      <c r="D178" s="465" t="s">
        <v>1039</v>
      </c>
      <c r="E178" s="465" t="s">
        <v>1040</v>
      </c>
      <c r="F178" s="468"/>
      <c r="G178" s="468"/>
      <c r="H178" s="468"/>
      <c r="I178" s="468"/>
      <c r="J178" s="468"/>
      <c r="K178" s="468"/>
      <c r="L178" s="468"/>
      <c r="M178" s="468"/>
      <c r="N178" s="468">
        <v>1</v>
      </c>
      <c r="O178" s="468">
        <v>168</v>
      </c>
      <c r="P178" s="603"/>
      <c r="Q178" s="469">
        <v>168</v>
      </c>
    </row>
    <row r="179" spans="1:17" ht="14.4" customHeight="1" x14ac:dyDescent="0.3">
      <c r="A179" s="522" t="s">
        <v>1108</v>
      </c>
      <c r="B179" s="465" t="s">
        <v>925</v>
      </c>
      <c r="C179" s="465" t="s">
        <v>926</v>
      </c>
      <c r="D179" s="465" t="s">
        <v>1043</v>
      </c>
      <c r="E179" s="465" t="s">
        <v>1044</v>
      </c>
      <c r="F179" s="468"/>
      <c r="G179" s="468"/>
      <c r="H179" s="468"/>
      <c r="I179" s="468"/>
      <c r="J179" s="468"/>
      <c r="K179" s="468"/>
      <c r="L179" s="468"/>
      <c r="M179" s="468"/>
      <c r="N179" s="468">
        <v>2</v>
      </c>
      <c r="O179" s="468">
        <v>1148</v>
      </c>
      <c r="P179" s="603"/>
      <c r="Q179" s="469">
        <v>574</v>
      </c>
    </row>
    <row r="180" spans="1:17" ht="14.4" customHeight="1" x14ac:dyDescent="0.3">
      <c r="A180" s="522" t="s">
        <v>924</v>
      </c>
      <c r="B180" s="465" t="s">
        <v>925</v>
      </c>
      <c r="C180" s="465" t="s">
        <v>926</v>
      </c>
      <c r="D180" s="465" t="s">
        <v>947</v>
      </c>
      <c r="E180" s="465" t="s">
        <v>948</v>
      </c>
      <c r="F180" s="468">
        <v>1</v>
      </c>
      <c r="G180" s="468">
        <v>167</v>
      </c>
      <c r="H180" s="468"/>
      <c r="I180" s="468">
        <v>167</v>
      </c>
      <c r="J180" s="468"/>
      <c r="K180" s="468"/>
      <c r="L180" s="468"/>
      <c r="M180" s="468"/>
      <c r="N180" s="468"/>
      <c r="O180" s="468"/>
      <c r="P180" s="603"/>
      <c r="Q180" s="469"/>
    </row>
    <row r="181" spans="1:17" ht="14.4" customHeight="1" x14ac:dyDescent="0.3">
      <c r="A181" s="522" t="s">
        <v>924</v>
      </c>
      <c r="B181" s="465" t="s">
        <v>925</v>
      </c>
      <c r="C181" s="465" t="s">
        <v>926</v>
      </c>
      <c r="D181" s="465" t="s">
        <v>949</v>
      </c>
      <c r="E181" s="465" t="s">
        <v>950</v>
      </c>
      <c r="F181" s="468">
        <v>1</v>
      </c>
      <c r="G181" s="468">
        <v>173</v>
      </c>
      <c r="H181" s="468"/>
      <c r="I181" s="468">
        <v>173</v>
      </c>
      <c r="J181" s="468"/>
      <c r="K181" s="468"/>
      <c r="L181" s="468"/>
      <c r="M181" s="468"/>
      <c r="N181" s="468"/>
      <c r="O181" s="468"/>
      <c r="P181" s="603"/>
      <c r="Q181" s="469"/>
    </row>
    <row r="182" spans="1:17" ht="14.4" customHeight="1" x14ac:dyDescent="0.3">
      <c r="A182" s="522" t="s">
        <v>924</v>
      </c>
      <c r="B182" s="465" t="s">
        <v>925</v>
      </c>
      <c r="C182" s="465" t="s">
        <v>926</v>
      </c>
      <c r="D182" s="465" t="s">
        <v>959</v>
      </c>
      <c r="E182" s="465" t="s">
        <v>960</v>
      </c>
      <c r="F182" s="468">
        <v>2</v>
      </c>
      <c r="G182" s="468">
        <v>1094</v>
      </c>
      <c r="H182" s="468"/>
      <c r="I182" s="468">
        <v>547</v>
      </c>
      <c r="J182" s="468"/>
      <c r="K182" s="468"/>
      <c r="L182" s="468"/>
      <c r="M182" s="468"/>
      <c r="N182" s="468"/>
      <c r="O182" s="468"/>
      <c r="P182" s="603"/>
      <c r="Q182" s="469"/>
    </row>
    <row r="183" spans="1:17" ht="14.4" customHeight="1" x14ac:dyDescent="0.3">
      <c r="A183" s="522" t="s">
        <v>924</v>
      </c>
      <c r="B183" s="465" t="s">
        <v>925</v>
      </c>
      <c r="C183" s="465" t="s">
        <v>926</v>
      </c>
      <c r="D183" s="465" t="s">
        <v>961</v>
      </c>
      <c r="E183" s="465" t="s">
        <v>962</v>
      </c>
      <c r="F183" s="468">
        <v>3</v>
      </c>
      <c r="G183" s="468">
        <v>1956</v>
      </c>
      <c r="H183" s="468"/>
      <c r="I183" s="468">
        <v>652</v>
      </c>
      <c r="J183" s="468"/>
      <c r="K183" s="468"/>
      <c r="L183" s="468"/>
      <c r="M183" s="468"/>
      <c r="N183" s="468">
        <v>1</v>
      </c>
      <c r="O183" s="468">
        <v>654</v>
      </c>
      <c r="P183" s="603"/>
      <c r="Q183" s="469">
        <v>654</v>
      </c>
    </row>
    <row r="184" spans="1:17" ht="14.4" customHeight="1" x14ac:dyDescent="0.3">
      <c r="A184" s="522" t="s">
        <v>924</v>
      </c>
      <c r="B184" s="465" t="s">
        <v>925</v>
      </c>
      <c r="C184" s="465" t="s">
        <v>926</v>
      </c>
      <c r="D184" s="465" t="s">
        <v>963</v>
      </c>
      <c r="E184" s="465" t="s">
        <v>964</v>
      </c>
      <c r="F184" s="468">
        <v>3</v>
      </c>
      <c r="G184" s="468">
        <v>1956</v>
      </c>
      <c r="H184" s="468"/>
      <c r="I184" s="468">
        <v>652</v>
      </c>
      <c r="J184" s="468"/>
      <c r="K184" s="468"/>
      <c r="L184" s="468"/>
      <c r="M184" s="468"/>
      <c r="N184" s="468">
        <v>1</v>
      </c>
      <c r="O184" s="468">
        <v>654</v>
      </c>
      <c r="P184" s="603"/>
      <c r="Q184" s="469">
        <v>654</v>
      </c>
    </row>
    <row r="185" spans="1:17" ht="14.4" customHeight="1" x14ac:dyDescent="0.3">
      <c r="A185" s="522" t="s">
        <v>924</v>
      </c>
      <c r="B185" s="465" t="s">
        <v>925</v>
      </c>
      <c r="C185" s="465" t="s">
        <v>926</v>
      </c>
      <c r="D185" s="465" t="s">
        <v>971</v>
      </c>
      <c r="E185" s="465" t="s">
        <v>972</v>
      </c>
      <c r="F185" s="468">
        <v>1</v>
      </c>
      <c r="G185" s="468">
        <v>347</v>
      </c>
      <c r="H185" s="468"/>
      <c r="I185" s="468">
        <v>347</v>
      </c>
      <c r="J185" s="468"/>
      <c r="K185" s="468"/>
      <c r="L185" s="468"/>
      <c r="M185" s="468"/>
      <c r="N185" s="468"/>
      <c r="O185" s="468"/>
      <c r="P185" s="603"/>
      <c r="Q185" s="469"/>
    </row>
    <row r="186" spans="1:17" ht="14.4" customHeight="1" x14ac:dyDescent="0.3">
      <c r="A186" s="522" t="s">
        <v>924</v>
      </c>
      <c r="B186" s="465" t="s">
        <v>925</v>
      </c>
      <c r="C186" s="465" t="s">
        <v>926</v>
      </c>
      <c r="D186" s="465" t="s">
        <v>985</v>
      </c>
      <c r="E186" s="465" t="s">
        <v>986</v>
      </c>
      <c r="F186" s="468">
        <v>10</v>
      </c>
      <c r="G186" s="468">
        <v>3110</v>
      </c>
      <c r="H186" s="468"/>
      <c r="I186" s="468">
        <v>311</v>
      </c>
      <c r="J186" s="468"/>
      <c r="K186" s="468"/>
      <c r="L186" s="468"/>
      <c r="M186" s="468"/>
      <c r="N186" s="468">
        <v>1</v>
      </c>
      <c r="O186" s="468">
        <v>312</v>
      </c>
      <c r="P186" s="603"/>
      <c r="Q186" s="469">
        <v>312</v>
      </c>
    </row>
    <row r="187" spans="1:17" ht="14.4" customHeight="1" x14ac:dyDescent="0.3">
      <c r="A187" s="522" t="s">
        <v>924</v>
      </c>
      <c r="B187" s="465" t="s">
        <v>925</v>
      </c>
      <c r="C187" s="465" t="s">
        <v>926</v>
      </c>
      <c r="D187" s="465" t="s">
        <v>987</v>
      </c>
      <c r="E187" s="465" t="s">
        <v>988</v>
      </c>
      <c r="F187" s="468"/>
      <c r="G187" s="468"/>
      <c r="H187" s="468"/>
      <c r="I187" s="468"/>
      <c r="J187" s="468">
        <v>2</v>
      </c>
      <c r="K187" s="468">
        <v>46</v>
      </c>
      <c r="L187" s="468">
        <v>1</v>
      </c>
      <c r="M187" s="468">
        <v>23</v>
      </c>
      <c r="N187" s="468"/>
      <c r="O187" s="468"/>
      <c r="P187" s="603"/>
      <c r="Q187" s="469"/>
    </row>
    <row r="188" spans="1:17" ht="14.4" customHeight="1" x14ac:dyDescent="0.3">
      <c r="A188" s="522" t="s">
        <v>924</v>
      </c>
      <c r="B188" s="465" t="s">
        <v>925</v>
      </c>
      <c r="C188" s="465" t="s">
        <v>926</v>
      </c>
      <c r="D188" s="465" t="s">
        <v>993</v>
      </c>
      <c r="E188" s="465" t="s">
        <v>994</v>
      </c>
      <c r="F188" s="468">
        <v>5</v>
      </c>
      <c r="G188" s="468">
        <v>1745</v>
      </c>
      <c r="H188" s="468"/>
      <c r="I188" s="468">
        <v>349</v>
      </c>
      <c r="J188" s="468"/>
      <c r="K188" s="468"/>
      <c r="L188" s="468"/>
      <c r="M188" s="468"/>
      <c r="N188" s="468"/>
      <c r="O188" s="468"/>
      <c r="P188" s="603"/>
      <c r="Q188" s="469"/>
    </row>
    <row r="189" spans="1:17" ht="14.4" customHeight="1" x14ac:dyDescent="0.3">
      <c r="A189" s="522" t="s">
        <v>924</v>
      </c>
      <c r="B189" s="465" t="s">
        <v>925</v>
      </c>
      <c r="C189" s="465" t="s">
        <v>926</v>
      </c>
      <c r="D189" s="465" t="s">
        <v>995</v>
      </c>
      <c r="E189" s="465" t="s">
        <v>996</v>
      </c>
      <c r="F189" s="468"/>
      <c r="G189" s="468"/>
      <c r="H189" s="468"/>
      <c r="I189" s="468"/>
      <c r="J189" s="468">
        <v>2</v>
      </c>
      <c r="K189" s="468">
        <v>2566</v>
      </c>
      <c r="L189" s="468">
        <v>1</v>
      </c>
      <c r="M189" s="468">
        <v>1283</v>
      </c>
      <c r="N189" s="468"/>
      <c r="O189" s="468"/>
      <c r="P189" s="603"/>
      <c r="Q189" s="469"/>
    </row>
    <row r="190" spans="1:17" ht="14.4" customHeight="1" x14ac:dyDescent="0.3">
      <c r="A190" s="522" t="s">
        <v>924</v>
      </c>
      <c r="B190" s="465" t="s">
        <v>925</v>
      </c>
      <c r="C190" s="465" t="s">
        <v>926</v>
      </c>
      <c r="D190" s="465" t="s">
        <v>1005</v>
      </c>
      <c r="E190" s="465" t="s">
        <v>1006</v>
      </c>
      <c r="F190" s="468">
        <v>1</v>
      </c>
      <c r="G190" s="468">
        <v>39</v>
      </c>
      <c r="H190" s="468"/>
      <c r="I190" s="468">
        <v>39</v>
      </c>
      <c r="J190" s="468"/>
      <c r="K190" s="468"/>
      <c r="L190" s="468"/>
      <c r="M190" s="468"/>
      <c r="N190" s="468"/>
      <c r="O190" s="468"/>
      <c r="P190" s="603"/>
      <c r="Q190" s="469"/>
    </row>
    <row r="191" spans="1:17" ht="14.4" customHeight="1" x14ac:dyDescent="0.3">
      <c r="A191" s="522" t="s">
        <v>924</v>
      </c>
      <c r="B191" s="465" t="s">
        <v>925</v>
      </c>
      <c r="C191" s="465" t="s">
        <v>926</v>
      </c>
      <c r="D191" s="465" t="s">
        <v>1007</v>
      </c>
      <c r="E191" s="465" t="s">
        <v>1008</v>
      </c>
      <c r="F191" s="468"/>
      <c r="G191" s="468"/>
      <c r="H191" s="468"/>
      <c r="I191" s="468"/>
      <c r="J191" s="468">
        <v>1</v>
      </c>
      <c r="K191" s="468">
        <v>5022</v>
      </c>
      <c r="L191" s="468">
        <v>1</v>
      </c>
      <c r="M191" s="468">
        <v>5022</v>
      </c>
      <c r="N191" s="468"/>
      <c r="O191" s="468"/>
      <c r="P191" s="603"/>
      <c r="Q191" s="469"/>
    </row>
    <row r="192" spans="1:17" ht="14.4" customHeight="1" x14ac:dyDescent="0.3">
      <c r="A192" s="522" t="s">
        <v>924</v>
      </c>
      <c r="B192" s="465" t="s">
        <v>925</v>
      </c>
      <c r="C192" s="465" t="s">
        <v>926</v>
      </c>
      <c r="D192" s="465" t="s">
        <v>1009</v>
      </c>
      <c r="E192" s="465" t="s">
        <v>1010</v>
      </c>
      <c r="F192" s="468">
        <v>1</v>
      </c>
      <c r="G192" s="468">
        <v>170</v>
      </c>
      <c r="H192" s="468"/>
      <c r="I192" s="468">
        <v>170</v>
      </c>
      <c r="J192" s="468"/>
      <c r="K192" s="468"/>
      <c r="L192" s="468"/>
      <c r="M192" s="468"/>
      <c r="N192" s="468"/>
      <c r="O192" s="468"/>
      <c r="P192" s="603"/>
      <c r="Q192" s="469"/>
    </row>
    <row r="193" spans="1:17" ht="14.4" customHeight="1" x14ac:dyDescent="0.3">
      <c r="A193" s="522" t="s">
        <v>924</v>
      </c>
      <c r="B193" s="465" t="s">
        <v>925</v>
      </c>
      <c r="C193" s="465" t="s">
        <v>926</v>
      </c>
      <c r="D193" s="465" t="s">
        <v>1013</v>
      </c>
      <c r="E193" s="465" t="s">
        <v>1014</v>
      </c>
      <c r="F193" s="468">
        <v>3</v>
      </c>
      <c r="G193" s="468">
        <v>2064</v>
      </c>
      <c r="H193" s="468"/>
      <c r="I193" s="468">
        <v>688</v>
      </c>
      <c r="J193" s="468"/>
      <c r="K193" s="468"/>
      <c r="L193" s="468"/>
      <c r="M193" s="468"/>
      <c r="N193" s="468">
        <v>1</v>
      </c>
      <c r="O193" s="468">
        <v>690</v>
      </c>
      <c r="P193" s="603"/>
      <c r="Q193" s="469">
        <v>690</v>
      </c>
    </row>
    <row r="194" spans="1:17" ht="14.4" customHeight="1" x14ac:dyDescent="0.3">
      <c r="A194" s="522" t="s">
        <v>924</v>
      </c>
      <c r="B194" s="465" t="s">
        <v>925</v>
      </c>
      <c r="C194" s="465" t="s">
        <v>926</v>
      </c>
      <c r="D194" s="465" t="s">
        <v>1015</v>
      </c>
      <c r="E194" s="465" t="s">
        <v>1016</v>
      </c>
      <c r="F194" s="468">
        <v>1</v>
      </c>
      <c r="G194" s="468">
        <v>348</v>
      </c>
      <c r="H194" s="468"/>
      <c r="I194" s="468">
        <v>348</v>
      </c>
      <c r="J194" s="468"/>
      <c r="K194" s="468"/>
      <c r="L194" s="468"/>
      <c r="M194" s="468"/>
      <c r="N194" s="468"/>
      <c r="O194" s="468"/>
      <c r="P194" s="603"/>
      <c r="Q194" s="469"/>
    </row>
    <row r="195" spans="1:17" ht="14.4" customHeight="1" x14ac:dyDescent="0.3">
      <c r="A195" s="522" t="s">
        <v>924</v>
      </c>
      <c r="B195" s="465" t="s">
        <v>925</v>
      </c>
      <c r="C195" s="465" t="s">
        <v>926</v>
      </c>
      <c r="D195" s="465" t="s">
        <v>1017</v>
      </c>
      <c r="E195" s="465" t="s">
        <v>1018</v>
      </c>
      <c r="F195" s="468">
        <v>1</v>
      </c>
      <c r="G195" s="468">
        <v>173</v>
      </c>
      <c r="H195" s="468"/>
      <c r="I195" s="468">
        <v>173</v>
      </c>
      <c r="J195" s="468"/>
      <c r="K195" s="468"/>
      <c r="L195" s="468"/>
      <c r="M195" s="468"/>
      <c r="N195" s="468"/>
      <c r="O195" s="468"/>
      <c r="P195" s="603"/>
      <c r="Q195" s="469"/>
    </row>
    <row r="196" spans="1:17" ht="14.4" customHeight="1" x14ac:dyDescent="0.3">
      <c r="A196" s="522" t="s">
        <v>924</v>
      </c>
      <c r="B196" s="465" t="s">
        <v>925</v>
      </c>
      <c r="C196" s="465" t="s">
        <v>926</v>
      </c>
      <c r="D196" s="465" t="s">
        <v>1021</v>
      </c>
      <c r="E196" s="465" t="s">
        <v>1022</v>
      </c>
      <c r="F196" s="468">
        <v>3</v>
      </c>
      <c r="G196" s="468">
        <v>1956</v>
      </c>
      <c r="H196" s="468"/>
      <c r="I196" s="468">
        <v>652</v>
      </c>
      <c r="J196" s="468"/>
      <c r="K196" s="468"/>
      <c r="L196" s="468"/>
      <c r="M196" s="468"/>
      <c r="N196" s="468">
        <v>1</v>
      </c>
      <c r="O196" s="468">
        <v>654</v>
      </c>
      <c r="P196" s="603"/>
      <c r="Q196" s="469">
        <v>654</v>
      </c>
    </row>
    <row r="197" spans="1:17" ht="14.4" customHeight="1" x14ac:dyDescent="0.3">
      <c r="A197" s="522" t="s">
        <v>924</v>
      </c>
      <c r="B197" s="465" t="s">
        <v>925</v>
      </c>
      <c r="C197" s="465" t="s">
        <v>926</v>
      </c>
      <c r="D197" s="465" t="s">
        <v>1023</v>
      </c>
      <c r="E197" s="465" t="s">
        <v>1024</v>
      </c>
      <c r="F197" s="468">
        <v>3</v>
      </c>
      <c r="G197" s="468">
        <v>1956</v>
      </c>
      <c r="H197" s="468"/>
      <c r="I197" s="468">
        <v>652</v>
      </c>
      <c r="J197" s="468"/>
      <c r="K197" s="468"/>
      <c r="L197" s="468"/>
      <c r="M197" s="468"/>
      <c r="N197" s="468">
        <v>1</v>
      </c>
      <c r="O197" s="468">
        <v>654</v>
      </c>
      <c r="P197" s="603"/>
      <c r="Q197" s="469">
        <v>654</v>
      </c>
    </row>
    <row r="198" spans="1:17" ht="14.4" customHeight="1" x14ac:dyDescent="0.3">
      <c r="A198" s="522" t="s">
        <v>924</v>
      </c>
      <c r="B198" s="465" t="s">
        <v>925</v>
      </c>
      <c r="C198" s="465" t="s">
        <v>926</v>
      </c>
      <c r="D198" s="465" t="s">
        <v>1025</v>
      </c>
      <c r="E198" s="465" t="s">
        <v>1026</v>
      </c>
      <c r="F198" s="468"/>
      <c r="G198" s="468"/>
      <c r="H198" s="468"/>
      <c r="I198" s="468"/>
      <c r="J198" s="468">
        <v>8</v>
      </c>
      <c r="K198" s="468">
        <v>3480</v>
      </c>
      <c r="L198" s="468">
        <v>1</v>
      </c>
      <c r="M198" s="468">
        <v>435</v>
      </c>
      <c r="N198" s="468"/>
      <c r="O198" s="468"/>
      <c r="P198" s="603"/>
      <c r="Q198" s="469"/>
    </row>
    <row r="199" spans="1:17" ht="14.4" customHeight="1" x14ac:dyDescent="0.3">
      <c r="A199" s="522" t="s">
        <v>924</v>
      </c>
      <c r="B199" s="465" t="s">
        <v>925</v>
      </c>
      <c r="C199" s="465" t="s">
        <v>926</v>
      </c>
      <c r="D199" s="465" t="s">
        <v>1031</v>
      </c>
      <c r="E199" s="465" t="s">
        <v>1032</v>
      </c>
      <c r="F199" s="468">
        <v>1</v>
      </c>
      <c r="G199" s="468">
        <v>475</v>
      </c>
      <c r="H199" s="468"/>
      <c r="I199" s="468">
        <v>475</v>
      </c>
      <c r="J199" s="468"/>
      <c r="K199" s="468"/>
      <c r="L199" s="468"/>
      <c r="M199" s="468"/>
      <c r="N199" s="468"/>
      <c r="O199" s="468"/>
      <c r="P199" s="603"/>
      <c r="Q199" s="469"/>
    </row>
    <row r="200" spans="1:17" ht="14.4" customHeight="1" x14ac:dyDescent="0.3">
      <c r="A200" s="522" t="s">
        <v>924</v>
      </c>
      <c r="B200" s="465" t="s">
        <v>925</v>
      </c>
      <c r="C200" s="465" t="s">
        <v>926</v>
      </c>
      <c r="D200" s="465" t="s">
        <v>1037</v>
      </c>
      <c r="E200" s="465" t="s">
        <v>1038</v>
      </c>
      <c r="F200" s="468"/>
      <c r="G200" s="468"/>
      <c r="H200" s="468"/>
      <c r="I200" s="468"/>
      <c r="J200" s="468">
        <v>8</v>
      </c>
      <c r="K200" s="468">
        <v>8088</v>
      </c>
      <c r="L200" s="468">
        <v>1</v>
      </c>
      <c r="M200" s="468">
        <v>1011</v>
      </c>
      <c r="N200" s="468"/>
      <c r="O200" s="468"/>
      <c r="P200" s="603"/>
      <c r="Q200" s="469"/>
    </row>
    <row r="201" spans="1:17" ht="14.4" customHeight="1" x14ac:dyDescent="0.3">
      <c r="A201" s="522" t="s">
        <v>924</v>
      </c>
      <c r="B201" s="465" t="s">
        <v>925</v>
      </c>
      <c r="C201" s="465" t="s">
        <v>926</v>
      </c>
      <c r="D201" s="465" t="s">
        <v>1039</v>
      </c>
      <c r="E201" s="465" t="s">
        <v>1040</v>
      </c>
      <c r="F201" s="468">
        <v>1</v>
      </c>
      <c r="G201" s="468">
        <v>167</v>
      </c>
      <c r="H201" s="468"/>
      <c r="I201" s="468">
        <v>167</v>
      </c>
      <c r="J201" s="468"/>
      <c r="K201" s="468"/>
      <c r="L201" s="468"/>
      <c r="M201" s="468"/>
      <c r="N201" s="468"/>
      <c r="O201" s="468"/>
      <c r="P201" s="603"/>
      <c r="Q201" s="469"/>
    </row>
    <row r="202" spans="1:17" ht="14.4" customHeight="1" x14ac:dyDescent="0.3">
      <c r="A202" s="522" t="s">
        <v>924</v>
      </c>
      <c r="B202" s="465" t="s">
        <v>925</v>
      </c>
      <c r="C202" s="465" t="s">
        <v>926</v>
      </c>
      <c r="D202" s="465" t="s">
        <v>1053</v>
      </c>
      <c r="E202" s="465" t="s">
        <v>1054</v>
      </c>
      <c r="F202" s="468">
        <v>3</v>
      </c>
      <c r="G202" s="468">
        <v>4191</v>
      </c>
      <c r="H202" s="468"/>
      <c r="I202" s="468">
        <v>1397</v>
      </c>
      <c r="J202" s="468"/>
      <c r="K202" s="468"/>
      <c r="L202" s="468"/>
      <c r="M202" s="468"/>
      <c r="N202" s="468">
        <v>1</v>
      </c>
      <c r="O202" s="468">
        <v>1399</v>
      </c>
      <c r="P202" s="603"/>
      <c r="Q202" s="469">
        <v>1399</v>
      </c>
    </row>
    <row r="203" spans="1:17" ht="14.4" customHeight="1" x14ac:dyDescent="0.3">
      <c r="A203" s="522" t="s">
        <v>924</v>
      </c>
      <c r="B203" s="465" t="s">
        <v>925</v>
      </c>
      <c r="C203" s="465" t="s">
        <v>926</v>
      </c>
      <c r="D203" s="465" t="s">
        <v>1055</v>
      </c>
      <c r="E203" s="465" t="s">
        <v>1056</v>
      </c>
      <c r="F203" s="468"/>
      <c r="G203" s="468"/>
      <c r="H203" s="468"/>
      <c r="I203" s="468"/>
      <c r="J203" s="468">
        <v>1</v>
      </c>
      <c r="K203" s="468">
        <v>1022</v>
      </c>
      <c r="L203" s="468">
        <v>1</v>
      </c>
      <c r="M203" s="468">
        <v>1022</v>
      </c>
      <c r="N203" s="468">
        <v>1</v>
      </c>
      <c r="O203" s="468">
        <v>1022</v>
      </c>
      <c r="P203" s="603">
        <v>1</v>
      </c>
      <c r="Q203" s="469">
        <v>1022</v>
      </c>
    </row>
    <row r="204" spans="1:17" ht="14.4" customHeight="1" x14ac:dyDescent="0.3">
      <c r="A204" s="522" t="s">
        <v>924</v>
      </c>
      <c r="B204" s="465" t="s">
        <v>925</v>
      </c>
      <c r="C204" s="465" t="s">
        <v>926</v>
      </c>
      <c r="D204" s="465" t="s">
        <v>1057</v>
      </c>
      <c r="E204" s="465" t="s">
        <v>1058</v>
      </c>
      <c r="F204" s="468"/>
      <c r="G204" s="468"/>
      <c r="H204" s="468"/>
      <c r="I204" s="468"/>
      <c r="J204" s="468">
        <v>1</v>
      </c>
      <c r="K204" s="468">
        <v>190</v>
      </c>
      <c r="L204" s="468">
        <v>1</v>
      </c>
      <c r="M204" s="468">
        <v>190</v>
      </c>
      <c r="N204" s="468"/>
      <c r="O204" s="468"/>
      <c r="P204" s="603"/>
      <c r="Q204" s="469"/>
    </row>
    <row r="205" spans="1:17" ht="14.4" customHeight="1" x14ac:dyDescent="0.3">
      <c r="A205" s="522" t="s">
        <v>1109</v>
      </c>
      <c r="B205" s="465" t="s">
        <v>925</v>
      </c>
      <c r="C205" s="465" t="s">
        <v>926</v>
      </c>
      <c r="D205" s="465" t="s">
        <v>927</v>
      </c>
      <c r="E205" s="465" t="s">
        <v>928</v>
      </c>
      <c r="F205" s="468">
        <v>2</v>
      </c>
      <c r="G205" s="468">
        <v>2368</v>
      </c>
      <c r="H205" s="468">
        <v>0.9974726200505476</v>
      </c>
      <c r="I205" s="468">
        <v>1184</v>
      </c>
      <c r="J205" s="468">
        <v>2</v>
      </c>
      <c r="K205" s="468">
        <v>2374</v>
      </c>
      <c r="L205" s="468">
        <v>1</v>
      </c>
      <c r="M205" s="468">
        <v>1187</v>
      </c>
      <c r="N205" s="468">
        <v>2</v>
      </c>
      <c r="O205" s="468">
        <v>2966</v>
      </c>
      <c r="P205" s="603">
        <v>1.249368155012637</v>
      </c>
      <c r="Q205" s="469">
        <v>1483</v>
      </c>
    </row>
    <row r="206" spans="1:17" ht="14.4" customHeight="1" x14ac:dyDescent="0.3">
      <c r="A206" s="522" t="s">
        <v>1109</v>
      </c>
      <c r="B206" s="465" t="s">
        <v>925</v>
      </c>
      <c r="C206" s="465" t="s">
        <v>926</v>
      </c>
      <c r="D206" s="465" t="s">
        <v>929</v>
      </c>
      <c r="E206" s="465" t="s">
        <v>930</v>
      </c>
      <c r="F206" s="468">
        <v>3</v>
      </c>
      <c r="G206" s="468">
        <v>11643</v>
      </c>
      <c r="H206" s="468">
        <v>0.74405674846625769</v>
      </c>
      <c r="I206" s="468">
        <v>3881</v>
      </c>
      <c r="J206" s="468">
        <v>4</v>
      </c>
      <c r="K206" s="468">
        <v>15648</v>
      </c>
      <c r="L206" s="468">
        <v>1</v>
      </c>
      <c r="M206" s="468">
        <v>3912</v>
      </c>
      <c r="N206" s="468">
        <v>5</v>
      </c>
      <c r="O206" s="468">
        <v>19570</v>
      </c>
      <c r="P206" s="603">
        <v>1.2506390593047034</v>
      </c>
      <c r="Q206" s="469">
        <v>3914</v>
      </c>
    </row>
    <row r="207" spans="1:17" ht="14.4" customHeight="1" x14ac:dyDescent="0.3">
      <c r="A207" s="522" t="s">
        <v>1109</v>
      </c>
      <c r="B207" s="465" t="s">
        <v>925</v>
      </c>
      <c r="C207" s="465" t="s">
        <v>926</v>
      </c>
      <c r="D207" s="465" t="s">
        <v>931</v>
      </c>
      <c r="E207" s="465" t="s">
        <v>932</v>
      </c>
      <c r="F207" s="468"/>
      <c r="G207" s="468"/>
      <c r="H207" s="468"/>
      <c r="I207" s="468"/>
      <c r="J207" s="468"/>
      <c r="K207" s="468"/>
      <c r="L207" s="468"/>
      <c r="M207" s="468"/>
      <c r="N207" s="468">
        <v>1</v>
      </c>
      <c r="O207" s="468">
        <v>658</v>
      </c>
      <c r="P207" s="603"/>
      <c r="Q207" s="469">
        <v>658</v>
      </c>
    </row>
    <row r="208" spans="1:17" ht="14.4" customHeight="1" x14ac:dyDescent="0.3">
      <c r="A208" s="522" t="s">
        <v>1109</v>
      </c>
      <c r="B208" s="465" t="s">
        <v>925</v>
      </c>
      <c r="C208" s="465" t="s">
        <v>926</v>
      </c>
      <c r="D208" s="465" t="s">
        <v>933</v>
      </c>
      <c r="E208" s="465" t="s">
        <v>934</v>
      </c>
      <c r="F208" s="468">
        <v>1</v>
      </c>
      <c r="G208" s="468">
        <v>318</v>
      </c>
      <c r="H208" s="468">
        <v>0.95495495495495497</v>
      </c>
      <c r="I208" s="468">
        <v>318</v>
      </c>
      <c r="J208" s="468">
        <v>1</v>
      </c>
      <c r="K208" s="468">
        <v>333</v>
      </c>
      <c r="L208" s="468">
        <v>1</v>
      </c>
      <c r="M208" s="468">
        <v>333</v>
      </c>
      <c r="N208" s="468"/>
      <c r="O208" s="468"/>
      <c r="P208" s="603"/>
      <c r="Q208" s="469"/>
    </row>
    <row r="209" spans="1:17" ht="14.4" customHeight="1" x14ac:dyDescent="0.3">
      <c r="A209" s="522" t="s">
        <v>1109</v>
      </c>
      <c r="B209" s="465" t="s">
        <v>925</v>
      </c>
      <c r="C209" s="465" t="s">
        <v>926</v>
      </c>
      <c r="D209" s="465" t="s">
        <v>935</v>
      </c>
      <c r="E209" s="465" t="s">
        <v>936</v>
      </c>
      <c r="F209" s="468"/>
      <c r="G209" s="468"/>
      <c r="H209" s="468"/>
      <c r="I209" s="468"/>
      <c r="J209" s="468"/>
      <c r="K209" s="468"/>
      <c r="L209" s="468"/>
      <c r="M209" s="468"/>
      <c r="N209" s="468">
        <v>1</v>
      </c>
      <c r="O209" s="468">
        <v>1030</v>
      </c>
      <c r="P209" s="603"/>
      <c r="Q209" s="469">
        <v>1030</v>
      </c>
    </row>
    <row r="210" spans="1:17" ht="14.4" customHeight="1" x14ac:dyDescent="0.3">
      <c r="A210" s="522" t="s">
        <v>1109</v>
      </c>
      <c r="B210" s="465" t="s">
        <v>925</v>
      </c>
      <c r="C210" s="465" t="s">
        <v>926</v>
      </c>
      <c r="D210" s="465" t="s">
        <v>943</v>
      </c>
      <c r="E210" s="465" t="s">
        <v>944</v>
      </c>
      <c r="F210" s="468">
        <v>1</v>
      </c>
      <c r="G210" s="468">
        <v>812</v>
      </c>
      <c r="H210" s="468">
        <v>0.99876998769987702</v>
      </c>
      <c r="I210" s="468">
        <v>812</v>
      </c>
      <c r="J210" s="468">
        <v>1</v>
      </c>
      <c r="K210" s="468">
        <v>813</v>
      </c>
      <c r="L210" s="468">
        <v>1</v>
      </c>
      <c r="M210" s="468">
        <v>813</v>
      </c>
      <c r="N210" s="468">
        <v>3</v>
      </c>
      <c r="O210" s="468">
        <v>2442</v>
      </c>
      <c r="P210" s="603">
        <v>3.0036900369003692</v>
      </c>
      <c r="Q210" s="469">
        <v>814</v>
      </c>
    </row>
    <row r="211" spans="1:17" ht="14.4" customHeight="1" x14ac:dyDescent="0.3">
      <c r="A211" s="522" t="s">
        <v>1109</v>
      </c>
      <c r="B211" s="465" t="s">
        <v>925</v>
      </c>
      <c r="C211" s="465" t="s">
        <v>926</v>
      </c>
      <c r="D211" s="465" t="s">
        <v>945</v>
      </c>
      <c r="E211" s="465" t="s">
        <v>946</v>
      </c>
      <c r="F211" s="468">
        <v>1</v>
      </c>
      <c r="G211" s="468">
        <v>812</v>
      </c>
      <c r="H211" s="468">
        <v>0.99876998769987702</v>
      </c>
      <c r="I211" s="468">
        <v>812</v>
      </c>
      <c r="J211" s="468">
        <v>1</v>
      </c>
      <c r="K211" s="468">
        <v>813</v>
      </c>
      <c r="L211" s="468">
        <v>1</v>
      </c>
      <c r="M211" s="468">
        <v>813</v>
      </c>
      <c r="N211" s="468">
        <v>3</v>
      </c>
      <c r="O211" s="468">
        <v>2442</v>
      </c>
      <c r="P211" s="603">
        <v>3.0036900369003692</v>
      </c>
      <c r="Q211" s="469">
        <v>814</v>
      </c>
    </row>
    <row r="212" spans="1:17" ht="14.4" customHeight="1" x14ac:dyDescent="0.3">
      <c r="A212" s="522" t="s">
        <v>1109</v>
      </c>
      <c r="B212" s="465" t="s">
        <v>925</v>
      </c>
      <c r="C212" s="465" t="s">
        <v>926</v>
      </c>
      <c r="D212" s="465" t="s">
        <v>947</v>
      </c>
      <c r="E212" s="465" t="s">
        <v>948</v>
      </c>
      <c r="F212" s="468">
        <v>33</v>
      </c>
      <c r="G212" s="468">
        <v>5511</v>
      </c>
      <c r="H212" s="468">
        <v>2.1869047619047617</v>
      </c>
      <c r="I212" s="468">
        <v>167</v>
      </c>
      <c r="J212" s="468">
        <v>15</v>
      </c>
      <c r="K212" s="468">
        <v>2520</v>
      </c>
      <c r="L212" s="468">
        <v>1</v>
      </c>
      <c r="M212" s="468">
        <v>168</v>
      </c>
      <c r="N212" s="468">
        <v>49</v>
      </c>
      <c r="O212" s="468">
        <v>8232</v>
      </c>
      <c r="P212" s="603">
        <v>3.2666666666666666</v>
      </c>
      <c r="Q212" s="469">
        <v>168</v>
      </c>
    </row>
    <row r="213" spans="1:17" ht="14.4" customHeight="1" x14ac:dyDescent="0.3">
      <c r="A213" s="522" t="s">
        <v>1109</v>
      </c>
      <c r="B213" s="465" t="s">
        <v>925</v>
      </c>
      <c r="C213" s="465" t="s">
        <v>926</v>
      </c>
      <c r="D213" s="465" t="s">
        <v>949</v>
      </c>
      <c r="E213" s="465" t="s">
        <v>950</v>
      </c>
      <c r="F213" s="468">
        <v>10</v>
      </c>
      <c r="G213" s="468">
        <v>1730</v>
      </c>
      <c r="H213" s="468">
        <v>1.657088122605364</v>
      </c>
      <c r="I213" s="468">
        <v>173</v>
      </c>
      <c r="J213" s="468">
        <v>6</v>
      </c>
      <c r="K213" s="468">
        <v>1044</v>
      </c>
      <c r="L213" s="468">
        <v>1</v>
      </c>
      <c r="M213" s="468">
        <v>174</v>
      </c>
      <c r="N213" s="468">
        <v>15</v>
      </c>
      <c r="O213" s="468">
        <v>2610</v>
      </c>
      <c r="P213" s="603">
        <v>2.5</v>
      </c>
      <c r="Q213" s="469">
        <v>174</v>
      </c>
    </row>
    <row r="214" spans="1:17" ht="14.4" customHeight="1" x14ac:dyDescent="0.3">
      <c r="A214" s="522" t="s">
        <v>1109</v>
      </c>
      <c r="B214" s="465" t="s">
        <v>925</v>
      </c>
      <c r="C214" s="465" t="s">
        <v>926</v>
      </c>
      <c r="D214" s="465" t="s">
        <v>951</v>
      </c>
      <c r="E214" s="465" t="s">
        <v>952</v>
      </c>
      <c r="F214" s="468">
        <v>25</v>
      </c>
      <c r="G214" s="468">
        <v>8775</v>
      </c>
      <c r="H214" s="468">
        <v>3.1161221590909092</v>
      </c>
      <c r="I214" s="468">
        <v>351</v>
      </c>
      <c r="J214" s="468">
        <v>8</v>
      </c>
      <c r="K214" s="468">
        <v>2816</v>
      </c>
      <c r="L214" s="468">
        <v>1</v>
      </c>
      <c r="M214" s="468">
        <v>352</v>
      </c>
      <c r="N214" s="468">
        <v>25</v>
      </c>
      <c r="O214" s="468">
        <v>8800</v>
      </c>
      <c r="P214" s="603">
        <v>3.125</v>
      </c>
      <c r="Q214" s="469">
        <v>352</v>
      </c>
    </row>
    <row r="215" spans="1:17" ht="14.4" customHeight="1" x14ac:dyDescent="0.3">
      <c r="A215" s="522" t="s">
        <v>1109</v>
      </c>
      <c r="B215" s="465" t="s">
        <v>925</v>
      </c>
      <c r="C215" s="465" t="s">
        <v>926</v>
      </c>
      <c r="D215" s="465" t="s">
        <v>953</v>
      </c>
      <c r="E215" s="465" t="s">
        <v>954</v>
      </c>
      <c r="F215" s="468">
        <v>3</v>
      </c>
      <c r="G215" s="468">
        <v>567</v>
      </c>
      <c r="H215" s="468">
        <v>2.9842105263157896</v>
      </c>
      <c r="I215" s="468">
        <v>189</v>
      </c>
      <c r="J215" s="468">
        <v>1</v>
      </c>
      <c r="K215" s="468">
        <v>190</v>
      </c>
      <c r="L215" s="468">
        <v>1</v>
      </c>
      <c r="M215" s="468">
        <v>190</v>
      </c>
      <c r="N215" s="468">
        <v>3</v>
      </c>
      <c r="O215" s="468">
        <v>570</v>
      </c>
      <c r="P215" s="603">
        <v>3</v>
      </c>
      <c r="Q215" s="469">
        <v>190</v>
      </c>
    </row>
    <row r="216" spans="1:17" ht="14.4" customHeight="1" x14ac:dyDescent="0.3">
      <c r="A216" s="522" t="s">
        <v>1109</v>
      </c>
      <c r="B216" s="465" t="s">
        <v>925</v>
      </c>
      <c r="C216" s="465" t="s">
        <v>926</v>
      </c>
      <c r="D216" s="465" t="s">
        <v>955</v>
      </c>
      <c r="E216" s="465" t="s">
        <v>956</v>
      </c>
      <c r="F216" s="468"/>
      <c r="G216" s="468"/>
      <c r="H216" s="468"/>
      <c r="I216" s="468"/>
      <c r="J216" s="468">
        <v>1</v>
      </c>
      <c r="K216" s="468">
        <v>823</v>
      </c>
      <c r="L216" s="468">
        <v>1</v>
      </c>
      <c r="M216" s="468">
        <v>823</v>
      </c>
      <c r="N216" s="468">
        <v>3</v>
      </c>
      <c r="O216" s="468">
        <v>2469</v>
      </c>
      <c r="P216" s="603">
        <v>3</v>
      </c>
      <c r="Q216" s="469">
        <v>823</v>
      </c>
    </row>
    <row r="217" spans="1:17" ht="14.4" customHeight="1" x14ac:dyDescent="0.3">
      <c r="A217" s="522" t="s">
        <v>1109</v>
      </c>
      <c r="B217" s="465" t="s">
        <v>925</v>
      </c>
      <c r="C217" s="465" t="s">
        <v>926</v>
      </c>
      <c r="D217" s="465" t="s">
        <v>959</v>
      </c>
      <c r="E217" s="465" t="s">
        <v>960</v>
      </c>
      <c r="F217" s="468">
        <v>5</v>
      </c>
      <c r="G217" s="468">
        <v>2735</v>
      </c>
      <c r="H217" s="468">
        <v>1.2454462659380692</v>
      </c>
      <c r="I217" s="468">
        <v>547</v>
      </c>
      <c r="J217" s="468">
        <v>4</v>
      </c>
      <c r="K217" s="468">
        <v>2196</v>
      </c>
      <c r="L217" s="468">
        <v>1</v>
      </c>
      <c r="M217" s="468">
        <v>549</v>
      </c>
      <c r="N217" s="468">
        <v>10</v>
      </c>
      <c r="O217" s="468">
        <v>5490</v>
      </c>
      <c r="P217" s="603">
        <v>2.5</v>
      </c>
      <c r="Q217" s="469">
        <v>549</v>
      </c>
    </row>
    <row r="218" spans="1:17" ht="14.4" customHeight="1" x14ac:dyDescent="0.3">
      <c r="A218" s="522" t="s">
        <v>1109</v>
      </c>
      <c r="B218" s="465" t="s">
        <v>925</v>
      </c>
      <c r="C218" s="465" t="s">
        <v>926</v>
      </c>
      <c r="D218" s="465" t="s">
        <v>961</v>
      </c>
      <c r="E218" s="465" t="s">
        <v>962</v>
      </c>
      <c r="F218" s="468"/>
      <c r="G218" s="468"/>
      <c r="H218" s="468"/>
      <c r="I218" s="468"/>
      <c r="J218" s="468">
        <v>1</v>
      </c>
      <c r="K218" s="468">
        <v>654</v>
      </c>
      <c r="L218" s="468">
        <v>1</v>
      </c>
      <c r="M218" s="468">
        <v>654</v>
      </c>
      <c r="N218" s="468">
        <v>1</v>
      </c>
      <c r="O218" s="468">
        <v>654</v>
      </c>
      <c r="P218" s="603">
        <v>1</v>
      </c>
      <c r="Q218" s="469">
        <v>654</v>
      </c>
    </row>
    <row r="219" spans="1:17" ht="14.4" customHeight="1" x14ac:dyDescent="0.3">
      <c r="A219" s="522" t="s">
        <v>1109</v>
      </c>
      <c r="B219" s="465" t="s">
        <v>925</v>
      </c>
      <c r="C219" s="465" t="s">
        <v>926</v>
      </c>
      <c r="D219" s="465" t="s">
        <v>963</v>
      </c>
      <c r="E219" s="465" t="s">
        <v>964</v>
      </c>
      <c r="F219" s="468"/>
      <c r="G219" s="468"/>
      <c r="H219" s="468"/>
      <c r="I219" s="468"/>
      <c r="J219" s="468">
        <v>1</v>
      </c>
      <c r="K219" s="468">
        <v>654</v>
      </c>
      <c r="L219" s="468">
        <v>1</v>
      </c>
      <c r="M219" s="468">
        <v>654</v>
      </c>
      <c r="N219" s="468">
        <v>1</v>
      </c>
      <c r="O219" s="468">
        <v>654</v>
      </c>
      <c r="P219" s="603">
        <v>1</v>
      </c>
      <c r="Q219" s="469">
        <v>654</v>
      </c>
    </row>
    <row r="220" spans="1:17" ht="14.4" customHeight="1" x14ac:dyDescent="0.3">
      <c r="A220" s="522" t="s">
        <v>1109</v>
      </c>
      <c r="B220" s="465" t="s">
        <v>925</v>
      </c>
      <c r="C220" s="465" t="s">
        <v>926</v>
      </c>
      <c r="D220" s="465" t="s">
        <v>965</v>
      </c>
      <c r="E220" s="465" t="s">
        <v>966</v>
      </c>
      <c r="F220" s="468">
        <v>4</v>
      </c>
      <c r="G220" s="468">
        <v>2704</v>
      </c>
      <c r="H220" s="468"/>
      <c r="I220" s="468">
        <v>676</v>
      </c>
      <c r="J220" s="468"/>
      <c r="K220" s="468"/>
      <c r="L220" s="468"/>
      <c r="M220" s="468"/>
      <c r="N220" s="468">
        <v>2</v>
      </c>
      <c r="O220" s="468">
        <v>1356</v>
      </c>
      <c r="P220" s="603"/>
      <c r="Q220" s="469">
        <v>678</v>
      </c>
    </row>
    <row r="221" spans="1:17" ht="14.4" customHeight="1" x14ac:dyDescent="0.3">
      <c r="A221" s="522" t="s">
        <v>1109</v>
      </c>
      <c r="B221" s="465" t="s">
        <v>925</v>
      </c>
      <c r="C221" s="465" t="s">
        <v>926</v>
      </c>
      <c r="D221" s="465" t="s">
        <v>967</v>
      </c>
      <c r="E221" s="465" t="s">
        <v>968</v>
      </c>
      <c r="F221" s="468">
        <v>1</v>
      </c>
      <c r="G221" s="468">
        <v>511</v>
      </c>
      <c r="H221" s="468">
        <v>0.33203378817413903</v>
      </c>
      <c r="I221" s="468">
        <v>511</v>
      </c>
      <c r="J221" s="468">
        <v>3</v>
      </c>
      <c r="K221" s="468">
        <v>1539</v>
      </c>
      <c r="L221" s="468">
        <v>1</v>
      </c>
      <c r="M221" s="468">
        <v>513</v>
      </c>
      <c r="N221" s="468">
        <v>6</v>
      </c>
      <c r="O221" s="468">
        <v>3078</v>
      </c>
      <c r="P221" s="603">
        <v>2</v>
      </c>
      <c r="Q221" s="469">
        <v>513</v>
      </c>
    </row>
    <row r="222" spans="1:17" ht="14.4" customHeight="1" x14ac:dyDescent="0.3">
      <c r="A222" s="522" t="s">
        <v>1109</v>
      </c>
      <c r="B222" s="465" t="s">
        <v>925</v>
      </c>
      <c r="C222" s="465" t="s">
        <v>926</v>
      </c>
      <c r="D222" s="465" t="s">
        <v>969</v>
      </c>
      <c r="E222" s="465" t="s">
        <v>970</v>
      </c>
      <c r="F222" s="468">
        <v>1</v>
      </c>
      <c r="G222" s="468">
        <v>421</v>
      </c>
      <c r="H222" s="468">
        <v>0.33175728920409769</v>
      </c>
      <c r="I222" s="468">
        <v>421</v>
      </c>
      <c r="J222" s="468">
        <v>3</v>
      </c>
      <c r="K222" s="468">
        <v>1269</v>
      </c>
      <c r="L222" s="468">
        <v>1</v>
      </c>
      <c r="M222" s="468">
        <v>423</v>
      </c>
      <c r="N222" s="468">
        <v>6</v>
      </c>
      <c r="O222" s="468">
        <v>2538</v>
      </c>
      <c r="P222" s="603">
        <v>2</v>
      </c>
      <c r="Q222" s="469">
        <v>423</v>
      </c>
    </row>
    <row r="223" spans="1:17" ht="14.4" customHeight="1" x14ac:dyDescent="0.3">
      <c r="A223" s="522" t="s">
        <v>1109</v>
      </c>
      <c r="B223" s="465" t="s">
        <v>925</v>
      </c>
      <c r="C223" s="465" t="s">
        <v>926</v>
      </c>
      <c r="D223" s="465" t="s">
        <v>971</v>
      </c>
      <c r="E223" s="465" t="s">
        <v>972</v>
      </c>
      <c r="F223" s="468">
        <v>7</v>
      </c>
      <c r="G223" s="468">
        <v>2429</v>
      </c>
      <c r="H223" s="468">
        <v>1.3919770773638969</v>
      </c>
      <c r="I223" s="468">
        <v>347</v>
      </c>
      <c r="J223" s="468">
        <v>5</v>
      </c>
      <c r="K223" s="468">
        <v>1745</v>
      </c>
      <c r="L223" s="468">
        <v>1</v>
      </c>
      <c r="M223" s="468">
        <v>349</v>
      </c>
      <c r="N223" s="468">
        <v>19</v>
      </c>
      <c r="O223" s="468">
        <v>6631</v>
      </c>
      <c r="P223" s="603">
        <v>3.8</v>
      </c>
      <c r="Q223" s="469">
        <v>349</v>
      </c>
    </row>
    <row r="224" spans="1:17" ht="14.4" customHeight="1" x14ac:dyDescent="0.3">
      <c r="A224" s="522" t="s">
        <v>1109</v>
      </c>
      <c r="B224" s="465" t="s">
        <v>925</v>
      </c>
      <c r="C224" s="465" t="s">
        <v>926</v>
      </c>
      <c r="D224" s="465" t="s">
        <v>973</v>
      </c>
      <c r="E224" s="465" t="s">
        <v>974</v>
      </c>
      <c r="F224" s="468">
        <v>3</v>
      </c>
      <c r="G224" s="468">
        <v>657</v>
      </c>
      <c r="H224" s="468">
        <v>0.74321266968325794</v>
      </c>
      <c r="I224" s="468">
        <v>219</v>
      </c>
      <c r="J224" s="468">
        <v>4</v>
      </c>
      <c r="K224" s="468">
        <v>884</v>
      </c>
      <c r="L224" s="468">
        <v>1</v>
      </c>
      <c r="M224" s="468">
        <v>221</v>
      </c>
      <c r="N224" s="468">
        <v>6</v>
      </c>
      <c r="O224" s="468">
        <v>1326</v>
      </c>
      <c r="P224" s="603">
        <v>1.5</v>
      </c>
      <c r="Q224" s="469">
        <v>221</v>
      </c>
    </row>
    <row r="225" spans="1:17" ht="14.4" customHeight="1" x14ac:dyDescent="0.3">
      <c r="A225" s="522" t="s">
        <v>1109</v>
      </c>
      <c r="B225" s="465" t="s">
        <v>925</v>
      </c>
      <c r="C225" s="465" t="s">
        <v>926</v>
      </c>
      <c r="D225" s="465" t="s">
        <v>975</v>
      </c>
      <c r="E225" s="465" t="s">
        <v>976</v>
      </c>
      <c r="F225" s="468">
        <v>4</v>
      </c>
      <c r="G225" s="468">
        <v>2012</v>
      </c>
      <c r="H225" s="468"/>
      <c r="I225" s="468">
        <v>503</v>
      </c>
      <c r="J225" s="468"/>
      <c r="K225" s="468"/>
      <c r="L225" s="468"/>
      <c r="M225" s="468"/>
      <c r="N225" s="468">
        <v>8</v>
      </c>
      <c r="O225" s="468">
        <v>4064</v>
      </c>
      <c r="P225" s="603"/>
      <c r="Q225" s="469">
        <v>508</v>
      </c>
    </row>
    <row r="226" spans="1:17" ht="14.4" customHeight="1" x14ac:dyDescent="0.3">
      <c r="A226" s="522" t="s">
        <v>1109</v>
      </c>
      <c r="B226" s="465" t="s">
        <v>925</v>
      </c>
      <c r="C226" s="465" t="s">
        <v>926</v>
      </c>
      <c r="D226" s="465" t="s">
        <v>977</v>
      </c>
      <c r="E226" s="465" t="s">
        <v>978</v>
      </c>
      <c r="F226" s="468"/>
      <c r="G226" s="468"/>
      <c r="H226" s="468"/>
      <c r="I226" s="468"/>
      <c r="J226" s="468"/>
      <c r="K226" s="468"/>
      <c r="L226" s="468"/>
      <c r="M226" s="468"/>
      <c r="N226" s="468">
        <v>1</v>
      </c>
      <c r="O226" s="468">
        <v>150</v>
      </c>
      <c r="P226" s="603"/>
      <c r="Q226" s="469">
        <v>150</v>
      </c>
    </row>
    <row r="227" spans="1:17" ht="14.4" customHeight="1" x14ac:dyDescent="0.3">
      <c r="A227" s="522" t="s">
        <v>1109</v>
      </c>
      <c r="B227" s="465" t="s">
        <v>925</v>
      </c>
      <c r="C227" s="465" t="s">
        <v>926</v>
      </c>
      <c r="D227" s="465" t="s">
        <v>979</v>
      </c>
      <c r="E227" s="465" t="s">
        <v>980</v>
      </c>
      <c r="F227" s="468">
        <v>24</v>
      </c>
      <c r="G227" s="468">
        <v>5712</v>
      </c>
      <c r="H227" s="468">
        <v>2.98744769874477</v>
      </c>
      <c r="I227" s="468">
        <v>238</v>
      </c>
      <c r="J227" s="468">
        <v>8</v>
      </c>
      <c r="K227" s="468">
        <v>1912</v>
      </c>
      <c r="L227" s="468">
        <v>1</v>
      </c>
      <c r="M227" s="468">
        <v>239</v>
      </c>
      <c r="N227" s="468">
        <v>22</v>
      </c>
      <c r="O227" s="468">
        <v>5258</v>
      </c>
      <c r="P227" s="603">
        <v>2.75</v>
      </c>
      <c r="Q227" s="469">
        <v>239</v>
      </c>
    </row>
    <row r="228" spans="1:17" ht="14.4" customHeight="1" x14ac:dyDescent="0.3">
      <c r="A228" s="522" t="s">
        <v>1109</v>
      </c>
      <c r="B228" s="465" t="s">
        <v>925</v>
      </c>
      <c r="C228" s="465" t="s">
        <v>926</v>
      </c>
      <c r="D228" s="465" t="s">
        <v>981</v>
      </c>
      <c r="E228" s="465" t="s">
        <v>982</v>
      </c>
      <c r="F228" s="468">
        <v>2</v>
      </c>
      <c r="G228" s="468">
        <v>222</v>
      </c>
      <c r="H228" s="468"/>
      <c r="I228" s="468">
        <v>111</v>
      </c>
      <c r="J228" s="468"/>
      <c r="K228" s="468"/>
      <c r="L228" s="468"/>
      <c r="M228" s="468"/>
      <c r="N228" s="468">
        <v>3</v>
      </c>
      <c r="O228" s="468">
        <v>333</v>
      </c>
      <c r="P228" s="603"/>
      <c r="Q228" s="469">
        <v>111</v>
      </c>
    </row>
    <row r="229" spans="1:17" ht="14.4" customHeight="1" x14ac:dyDescent="0.3">
      <c r="A229" s="522" t="s">
        <v>1109</v>
      </c>
      <c r="B229" s="465" t="s">
        <v>925</v>
      </c>
      <c r="C229" s="465" t="s">
        <v>926</v>
      </c>
      <c r="D229" s="465" t="s">
        <v>983</v>
      </c>
      <c r="E229" s="465" t="s">
        <v>984</v>
      </c>
      <c r="F229" s="468"/>
      <c r="G229" s="468"/>
      <c r="H229" s="468"/>
      <c r="I229" s="468"/>
      <c r="J229" s="468"/>
      <c r="K229" s="468"/>
      <c r="L229" s="468"/>
      <c r="M229" s="468"/>
      <c r="N229" s="468">
        <v>2</v>
      </c>
      <c r="O229" s="468">
        <v>662</v>
      </c>
      <c r="P229" s="603"/>
      <c r="Q229" s="469">
        <v>331</v>
      </c>
    </row>
    <row r="230" spans="1:17" ht="14.4" customHeight="1" x14ac:dyDescent="0.3">
      <c r="A230" s="522" t="s">
        <v>1109</v>
      </c>
      <c r="B230" s="465" t="s">
        <v>925</v>
      </c>
      <c r="C230" s="465" t="s">
        <v>926</v>
      </c>
      <c r="D230" s="465" t="s">
        <v>985</v>
      </c>
      <c r="E230" s="465" t="s">
        <v>986</v>
      </c>
      <c r="F230" s="468"/>
      <c r="G230" s="468"/>
      <c r="H230" s="468"/>
      <c r="I230" s="468"/>
      <c r="J230" s="468">
        <v>1</v>
      </c>
      <c r="K230" s="468">
        <v>312</v>
      </c>
      <c r="L230" s="468">
        <v>1</v>
      </c>
      <c r="M230" s="468">
        <v>312</v>
      </c>
      <c r="N230" s="468">
        <v>8</v>
      </c>
      <c r="O230" s="468">
        <v>2496</v>
      </c>
      <c r="P230" s="603">
        <v>8</v>
      </c>
      <c r="Q230" s="469">
        <v>312</v>
      </c>
    </row>
    <row r="231" spans="1:17" ht="14.4" customHeight="1" x14ac:dyDescent="0.3">
      <c r="A231" s="522" t="s">
        <v>1109</v>
      </c>
      <c r="B231" s="465" t="s">
        <v>925</v>
      </c>
      <c r="C231" s="465" t="s">
        <v>926</v>
      </c>
      <c r="D231" s="465" t="s">
        <v>987</v>
      </c>
      <c r="E231" s="465" t="s">
        <v>988</v>
      </c>
      <c r="F231" s="468"/>
      <c r="G231" s="468"/>
      <c r="H231" s="468"/>
      <c r="I231" s="468"/>
      <c r="J231" s="468">
        <v>8</v>
      </c>
      <c r="K231" s="468">
        <v>184</v>
      </c>
      <c r="L231" s="468">
        <v>1</v>
      </c>
      <c r="M231" s="468">
        <v>23</v>
      </c>
      <c r="N231" s="468">
        <v>11</v>
      </c>
      <c r="O231" s="468">
        <v>253</v>
      </c>
      <c r="P231" s="603">
        <v>1.375</v>
      </c>
      <c r="Q231" s="469">
        <v>23</v>
      </c>
    </row>
    <row r="232" spans="1:17" ht="14.4" customHeight="1" x14ac:dyDescent="0.3">
      <c r="A232" s="522" t="s">
        <v>1109</v>
      </c>
      <c r="B232" s="465" t="s">
        <v>925</v>
      </c>
      <c r="C232" s="465" t="s">
        <v>926</v>
      </c>
      <c r="D232" s="465" t="s">
        <v>989</v>
      </c>
      <c r="E232" s="465" t="s">
        <v>990</v>
      </c>
      <c r="F232" s="468">
        <v>2</v>
      </c>
      <c r="G232" s="468">
        <v>32</v>
      </c>
      <c r="H232" s="468">
        <v>0.62745098039215685</v>
      </c>
      <c r="I232" s="468">
        <v>16</v>
      </c>
      <c r="J232" s="468">
        <v>3</v>
      </c>
      <c r="K232" s="468">
        <v>51</v>
      </c>
      <c r="L232" s="468">
        <v>1</v>
      </c>
      <c r="M232" s="468">
        <v>17</v>
      </c>
      <c r="N232" s="468">
        <v>9</v>
      </c>
      <c r="O232" s="468">
        <v>153</v>
      </c>
      <c r="P232" s="603">
        <v>3</v>
      </c>
      <c r="Q232" s="469">
        <v>17</v>
      </c>
    </row>
    <row r="233" spans="1:17" ht="14.4" customHeight="1" x14ac:dyDescent="0.3">
      <c r="A233" s="522" t="s">
        <v>1109</v>
      </c>
      <c r="B233" s="465" t="s">
        <v>925</v>
      </c>
      <c r="C233" s="465" t="s">
        <v>926</v>
      </c>
      <c r="D233" s="465" t="s">
        <v>993</v>
      </c>
      <c r="E233" s="465" t="s">
        <v>994</v>
      </c>
      <c r="F233" s="468">
        <v>13</v>
      </c>
      <c r="G233" s="468">
        <v>4537</v>
      </c>
      <c r="H233" s="468">
        <v>1.2962857142857143</v>
      </c>
      <c r="I233" s="468">
        <v>349</v>
      </c>
      <c r="J233" s="468">
        <v>10</v>
      </c>
      <c r="K233" s="468">
        <v>3500</v>
      </c>
      <c r="L233" s="468">
        <v>1</v>
      </c>
      <c r="M233" s="468">
        <v>350</v>
      </c>
      <c r="N233" s="468">
        <v>49</v>
      </c>
      <c r="O233" s="468">
        <v>17150</v>
      </c>
      <c r="P233" s="603">
        <v>4.9000000000000004</v>
      </c>
      <c r="Q233" s="469">
        <v>350</v>
      </c>
    </row>
    <row r="234" spans="1:17" ht="14.4" customHeight="1" x14ac:dyDescent="0.3">
      <c r="A234" s="522" t="s">
        <v>1109</v>
      </c>
      <c r="B234" s="465" t="s">
        <v>925</v>
      </c>
      <c r="C234" s="465" t="s">
        <v>926</v>
      </c>
      <c r="D234" s="465" t="s">
        <v>995</v>
      </c>
      <c r="E234" s="465" t="s">
        <v>996</v>
      </c>
      <c r="F234" s="468">
        <v>3</v>
      </c>
      <c r="G234" s="468">
        <v>3804</v>
      </c>
      <c r="H234" s="468">
        <v>0.74123148869836319</v>
      </c>
      <c r="I234" s="468">
        <v>1268</v>
      </c>
      <c r="J234" s="468">
        <v>4</v>
      </c>
      <c r="K234" s="468">
        <v>5132</v>
      </c>
      <c r="L234" s="468">
        <v>1</v>
      </c>
      <c r="M234" s="468">
        <v>1283</v>
      </c>
      <c r="N234" s="468"/>
      <c r="O234" s="468"/>
      <c r="P234" s="603"/>
      <c r="Q234" s="469"/>
    </row>
    <row r="235" spans="1:17" ht="14.4" customHeight="1" x14ac:dyDescent="0.3">
      <c r="A235" s="522" t="s">
        <v>1109</v>
      </c>
      <c r="B235" s="465" t="s">
        <v>925</v>
      </c>
      <c r="C235" s="465" t="s">
        <v>926</v>
      </c>
      <c r="D235" s="465" t="s">
        <v>997</v>
      </c>
      <c r="E235" s="465" t="s">
        <v>998</v>
      </c>
      <c r="F235" s="468"/>
      <c r="G235" s="468"/>
      <c r="H235" s="468"/>
      <c r="I235" s="468"/>
      <c r="J235" s="468"/>
      <c r="K235" s="468"/>
      <c r="L235" s="468"/>
      <c r="M235" s="468"/>
      <c r="N235" s="468">
        <v>1</v>
      </c>
      <c r="O235" s="468">
        <v>149</v>
      </c>
      <c r="P235" s="603"/>
      <c r="Q235" s="469">
        <v>149</v>
      </c>
    </row>
    <row r="236" spans="1:17" ht="14.4" customHeight="1" x14ac:dyDescent="0.3">
      <c r="A236" s="522" t="s">
        <v>1109</v>
      </c>
      <c r="B236" s="465" t="s">
        <v>925</v>
      </c>
      <c r="C236" s="465" t="s">
        <v>926</v>
      </c>
      <c r="D236" s="465" t="s">
        <v>1001</v>
      </c>
      <c r="E236" s="465" t="s">
        <v>1002</v>
      </c>
      <c r="F236" s="468">
        <v>24</v>
      </c>
      <c r="G236" s="468">
        <v>7056</v>
      </c>
      <c r="H236" s="468">
        <v>2.9898305084745762</v>
      </c>
      <c r="I236" s="468">
        <v>294</v>
      </c>
      <c r="J236" s="468">
        <v>8</v>
      </c>
      <c r="K236" s="468">
        <v>2360</v>
      </c>
      <c r="L236" s="468">
        <v>1</v>
      </c>
      <c r="M236" s="468">
        <v>295</v>
      </c>
      <c r="N236" s="468">
        <v>21</v>
      </c>
      <c r="O236" s="468">
        <v>6195</v>
      </c>
      <c r="P236" s="603">
        <v>2.625</v>
      </c>
      <c r="Q236" s="469">
        <v>295</v>
      </c>
    </row>
    <row r="237" spans="1:17" ht="14.4" customHeight="1" x14ac:dyDescent="0.3">
      <c r="A237" s="522" t="s">
        <v>1109</v>
      </c>
      <c r="B237" s="465" t="s">
        <v>925</v>
      </c>
      <c r="C237" s="465" t="s">
        <v>926</v>
      </c>
      <c r="D237" s="465" t="s">
        <v>1003</v>
      </c>
      <c r="E237" s="465" t="s">
        <v>1004</v>
      </c>
      <c r="F237" s="468">
        <v>6</v>
      </c>
      <c r="G237" s="468">
        <v>1242</v>
      </c>
      <c r="H237" s="468">
        <v>1.4856459330143541</v>
      </c>
      <c r="I237" s="468">
        <v>207</v>
      </c>
      <c r="J237" s="468">
        <v>4</v>
      </c>
      <c r="K237" s="468">
        <v>836</v>
      </c>
      <c r="L237" s="468">
        <v>1</v>
      </c>
      <c r="M237" s="468">
        <v>209</v>
      </c>
      <c r="N237" s="468">
        <v>13</v>
      </c>
      <c r="O237" s="468">
        <v>2717</v>
      </c>
      <c r="P237" s="603">
        <v>3.25</v>
      </c>
      <c r="Q237" s="469">
        <v>209</v>
      </c>
    </row>
    <row r="238" spans="1:17" ht="14.4" customHeight="1" x14ac:dyDescent="0.3">
      <c r="A238" s="522" t="s">
        <v>1109</v>
      </c>
      <c r="B238" s="465" t="s">
        <v>925</v>
      </c>
      <c r="C238" s="465" t="s">
        <v>926</v>
      </c>
      <c r="D238" s="465" t="s">
        <v>1005</v>
      </c>
      <c r="E238" s="465" t="s">
        <v>1006</v>
      </c>
      <c r="F238" s="468">
        <v>6</v>
      </c>
      <c r="G238" s="468">
        <v>234</v>
      </c>
      <c r="H238" s="468">
        <v>0.83571428571428574</v>
      </c>
      <c r="I238" s="468">
        <v>39</v>
      </c>
      <c r="J238" s="468">
        <v>7</v>
      </c>
      <c r="K238" s="468">
        <v>280</v>
      </c>
      <c r="L238" s="468">
        <v>1</v>
      </c>
      <c r="M238" s="468">
        <v>40</v>
      </c>
      <c r="N238" s="468">
        <v>8</v>
      </c>
      <c r="O238" s="468">
        <v>320</v>
      </c>
      <c r="P238" s="603">
        <v>1.1428571428571428</v>
      </c>
      <c r="Q238" s="469">
        <v>40</v>
      </c>
    </row>
    <row r="239" spans="1:17" ht="14.4" customHeight="1" x14ac:dyDescent="0.3">
      <c r="A239" s="522" t="s">
        <v>1109</v>
      </c>
      <c r="B239" s="465" t="s">
        <v>925</v>
      </c>
      <c r="C239" s="465" t="s">
        <v>926</v>
      </c>
      <c r="D239" s="465" t="s">
        <v>1007</v>
      </c>
      <c r="E239" s="465" t="s">
        <v>1008</v>
      </c>
      <c r="F239" s="468"/>
      <c r="G239" s="468"/>
      <c r="H239" s="468"/>
      <c r="I239" s="468"/>
      <c r="J239" s="468"/>
      <c r="K239" s="468"/>
      <c r="L239" s="468"/>
      <c r="M239" s="468"/>
      <c r="N239" s="468">
        <v>1</v>
      </c>
      <c r="O239" s="468">
        <v>5023</v>
      </c>
      <c r="P239" s="603"/>
      <c r="Q239" s="469">
        <v>5023</v>
      </c>
    </row>
    <row r="240" spans="1:17" ht="14.4" customHeight="1" x14ac:dyDescent="0.3">
      <c r="A240" s="522" t="s">
        <v>1109</v>
      </c>
      <c r="B240" s="465" t="s">
        <v>925</v>
      </c>
      <c r="C240" s="465" t="s">
        <v>926</v>
      </c>
      <c r="D240" s="465" t="s">
        <v>1009</v>
      </c>
      <c r="E240" s="465" t="s">
        <v>1010</v>
      </c>
      <c r="F240" s="468">
        <v>21</v>
      </c>
      <c r="G240" s="468">
        <v>3570</v>
      </c>
      <c r="H240" s="468">
        <v>1.6059379217273955</v>
      </c>
      <c r="I240" s="468">
        <v>170</v>
      </c>
      <c r="J240" s="468">
        <v>13</v>
      </c>
      <c r="K240" s="468">
        <v>2223</v>
      </c>
      <c r="L240" s="468">
        <v>1</v>
      </c>
      <c r="M240" s="468">
        <v>171</v>
      </c>
      <c r="N240" s="468">
        <v>33</v>
      </c>
      <c r="O240" s="468">
        <v>5643</v>
      </c>
      <c r="P240" s="603">
        <v>2.5384615384615383</v>
      </c>
      <c r="Q240" s="469">
        <v>171</v>
      </c>
    </row>
    <row r="241" spans="1:17" ht="14.4" customHeight="1" x14ac:dyDescent="0.3">
      <c r="A241" s="522" t="s">
        <v>1109</v>
      </c>
      <c r="B241" s="465" t="s">
        <v>925</v>
      </c>
      <c r="C241" s="465" t="s">
        <v>926</v>
      </c>
      <c r="D241" s="465" t="s">
        <v>1011</v>
      </c>
      <c r="E241" s="465" t="s">
        <v>1012</v>
      </c>
      <c r="F241" s="468">
        <v>5</v>
      </c>
      <c r="G241" s="468">
        <v>1630</v>
      </c>
      <c r="H241" s="468">
        <v>2.4923547400611619</v>
      </c>
      <c r="I241" s="468">
        <v>326</v>
      </c>
      <c r="J241" s="468">
        <v>2</v>
      </c>
      <c r="K241" s="468">
        <v>654</v>
      </c>
      <c r="L241" s="468">
        <v>1</v>
      </c>
      <c r="M241" s="468">
        <v>327</v>
      </c>
      <c r="N241" s="468">
        <v>13</v>
      </c>
      <c r="O241" s="468">
        <v>4251</v>
      </c>
      <c r="P241" s="603">
        <v>6.5</v>
      </c>
      <c r="Q241" s="469">
        <v>327</v>
      </c>
    </row>
    <row r="242" spans="1:17" ht="14.4" customHeight="1" x14ac:dyDescent="0.3">
      <c r="A242" s="522" t="s">
        <v>1109</v>
      </c>
      <c r="B242" s="465" t="s">
        <v>925</v>
      </c>
      <c r="C242" s="465" t="s">
        <v>926</v>
      </c>
      <c r="D242" s="465" t="s">
        <v>1013</v>
      </c>
      <c r="E242" s="465" t="s">
        <v>1014</v>
      </c>
      <c r="F242" s="468"/>
      <c r="G242" s="468"/>
      <c r="H242" s="468"/>
      <c r="I242" s="468"/>
      <c r="J242" s="468">
        <v>1</v>
      </c>
      <c r="K242" s="468">
        <v>690</v>
      </c>
      <c r="L242" s="468">
        <v>1</v>
      </c>
      <c r="M242" s="468">
        <v>690</v>
      </c>
      <c r="N242" s="468">
        <v>2</v>
      </c>
      <c r="O242" s="468">
        <v>1380</v>
      </c>
      <c r="P242" s="603">
        <v>2</v>
      </c>
      <c r="Q242" s="469">
        <v>690</v>
      </c>
    </row>
    <row r="243" spans="1:17" ht="14.4" customHeight="1" x14ac:dyDescent="0.3">
      <c r="A243" s="522" t="s">
        <v>1109</v>
      </c>
      <c r="B243" s="465" t="s">
        <v>925</v>
      </c>
      <c r="C243" s="465" t="s">
        <v>926</v>
      </c>
      <c r="D243" s="465" t="s">
        <v>1015</v>
      </c>
      <c r="E243" s="465" t="s">
        <v>1016</v>
      </c>
      <c r="F243" s="468">
        <v>16</v>
      </c>
      <c r="G243" s="468">
        <v>5568</v>
      </c>
      <c r="H243" s="468">
        <v>3.1817142857142855</v>
      </c>
      <c r="I243" s="468">
        <v>348</v>
      </c>
      <c r="J243" s="468">
        <v>5</v>
      </c>
      <c r="K243" s="468">
        <v>1750</v>
      </c>
      <c r="L243" s="468">
        <v>1</v>
      </c>
      <c r="M243" s="468">
        <v>350</v>
      </c>
      <c r="N243" s="468">
        <v>17</v>
      </c>
      <c r="O243" s="468">
        <v>5950</v>
      </c>
      <c r="P243" s="603">
        <v>3.4</v>
      </c>
      <c r="Q243" s="469">
        <v>350</v>
      </c>
    </row>
    <row r="244" spans="1:17" ht="14.4" customHeight="1" x14ac:dyDescent="0.3">
      <c r="A244" s="522" t="s">
        <v>1109</v>
      </c>
      <c r="B244" s="465" t="s">
        <v>925</v>
      </c>
      <c r="C244" s="465" t="s">
        <v>926</v>
      </c>
      <c r="D244" s="465" t="s">
        <v>1017</v>
      </c>
      <c r="E244" s="465" t="s">
        <v>1018</v>
      </c>
      <c r="F244" s="468">
        <v>14</v>
      </c>
      <c r="G244" s="468">
        <v>2422</v>
      </c>
      <c r="H244" s="468">
        <v>1.3919540229885057</v>
      </c>
      <c r="I244" s="468">
        <v>173</v>
      </c>
      <c r="J244" s="468">
        <v>10</v>
      </c>
      <c r="K244" s="468">
        <v>1740</v>
      </c>
      <c r="L244" s="468">
        <v>1</v>
      </c>
      <c r="M244" s="468">
        <v>174</v>
      </c>
      <c r="N244" s="468">
        <v>28</v>
      </c>
      <c r="O244" s="468">
        <v>4872</v>
      </c>
      <c r="P244" s="603">
        <v>2.8</v>
      </c>
      <c r="Q244" s="469">
        <v>174</v>
      </c>
    </row>
    <row r="245" spans="1:17" ht="14.4" customHeight="1" x14ac:dyDescent="0.3">
      <c r="A245" s="522" t="s">
        <v>1109</v>
      </c>
      <c r="B245" s="465" t="s">
        <v>925</v>
      </c>
      <c r="C245" s="465" t="s">
        <v>926</v>
      </c>
      <c r="D245" s="465" t="s">
        <v>1019</v>
      </c>
      <c r="E245" s="465" t="s">
        <v>1020</v>
      </c>
      <c r="F245" s="468">
        <v>4</v>
      </c>
      <c r="G245" s="468">
        <v>1600</v>
      </c>
      <c r="H245" s="468">
        <v>0.99750623441396513</v>
      </c>
      <c r="I245" s="468">
        <v>400</v>
      </c>
      <c r="J245" s="468">
        <v>4</v>
      </c>
      <c r="K245" s="468">
        <v>1604</v>
      </c>
      <c r="L245" s="468">
        <v>1</v>
      </c>
      <c r="M245" s="468">
        <v>401</v>
      </c>
      <c r="N245" s="468">
        <v>16</v>
      </c>
      <c r="O245" s="468">
        <v>6416</v>
      </c>
      <c r="P245" s="603">
        <v>4</v>
      </c>
      <c r="Q245" s="469">
        <v>401</v>
      </c>
    </row>
    <row r="246" spans="1:17" ht="14.4" customHeight="1" x14ac:dyDescent="0.3">
      <c r="A246" s="522" t="s">
        <v>1109</v>
      </c>
      <c r="B246" s="465" t="s">
        <v>925</v>
      </c>
      <c r="C246" s="465" t="s">
        <v>926</v>
      </c>
      <c r="D246" s="465" t="s">
        <v>1021</v>
      </c>
      <c r="E246" s="465" t="s">
        <v>1022</v>
      </c>
      <c r="F246" s="468"/>
      <c r="G246" s="468"/>
      <c r="H246" s="468"/>
      <c r="I246" s="468"/>
      <c r="J246" s="468">
        <v>1</v>
      </c>
      <c r="K246" s="468">
        <v>654</v>
      </c>
      <c r="L246" s="468">
        <v>1</v>
      </c>
      <c r="M246" s="468">
        <v>654</v>
      </c>
      <c r="N246" s="468">
        <v>1</v>
      </c>
      <c r="O246" s="468">
        <v>654</v>
      </c>
      <c r="P246" s="603">
        <v>1</v>
      </c>
      <c r="Q246" s="469">
        <v>654</v>
      </c>
    </row>
    <row r="247" spans="1:17" ht="14.4" customHeight="1" x14ac:dyDescent="0.3">
      <c r="A247" s="522" t="s">
        <v>1109</v>
      </c>
      <c r="B247" s="465" t="s">
        <v>925</v>
      </c>
      <c r="C247" s="465" t="s">
        <v>926</v>
      </c>
      <c r="D247" s="465" t="s">
        <v>1023</v>
      </c>
      <c r="E247" s="465" t="s">
        <v>1024</v>
      </c>
      <c r="F247" s="468"/>
      <c r="G247" s="468"/>
      <c r="H247" s="468"/>
      <c r="I247" s="468"/>
      <c r="J247" s="468">
        <v>1</v>
      </c>
      <c r="K247" s="468">
        <v>654</v>
      </c>
      <c r="L247" s="468">
        <v>1</v>
      </c>
      <c r="M247" s="468">
        <v>654</v>
      </c>
      <c r="N247" s="468">
        <v>1</v>
      </c>
      <c r="O247" s="468">
        <v>654</v>
      </c>
      <c r="P247" s="603">
        <v>1</v>
      </c>
      <c r="Q247" s="469">
        <v>654</v>
      </c>
    </row>
    <row r="248" spans="1:17" ht="14.4" customHeight="1" x14ac:dyDescent="0.3">
      <c r="A248" s="522" t="s">
        <v>1109</v>
      </c>
      <c r="B248" s="465" t="s">
        <v>925</v>
      </c>
      <c r="C248" s="465" t="s">
        <v>926</v>
      </c>
      <c r="D248" s="465" t="s">
        <v>1025</v>
      </c>
      <c r="E248" s="465" t="s">
        <v>1026</v>
      </c>
      <c r="F248" s="468"/>
      <c r="G248" s="468"/>
      <c r="H248" s="468"/>
      <c r="I248" s="468"/>
      <c r="J248" s="468">
        <v>40</v>
      </c>
      <c r="K248" s="468">
        <v>17400</v>
      </c>
      <c r="L248" s="468">
        <v>1</v>
      </c>
      <c r="M248" s="468">
        <v>435</v>
      </c>
      <c r="N248" s="468"/>
      <c r="O248" s="468"/>
      <c r="P248" s="603"/>
      <c r="Q248" s="469"/>
    </row>
    <row r="249" spans="1:17" ht="14.4" customHeight="1" x14ac:dyDescent="0.3">
      <c r="A249" s="522" t="s">
        <v>1109</v>
      </c>
      <c r="B249" s="465" t="s">
        <v>925</v>
      </c>
      <c r="C249" s="465" t="s">
        <v>926</v>
      </c>
      <c r="D249" s="465" t="s">
        <v>1029</v>
      </c>
      <c r="E249" s="465" t="s">
        <v>1030</v>
      </c>
      <c r="F249" s="468">
        <v>4</v>
      </c>
      <c r="G249" s="468">
        <v>2704</v>
      </c>
      <c r="H249" s="468"/>
      <c r="I249" s="468">
        <v>676</v>
      </c>
      <c r="J249" s="468"/>
      <c r="K249" s="468"/>
      <c r="L249" s="468"/>
      <c r="M249" s="468"/>
      <c r="N249" s="468">
        <v>2</v>
      </c>
      <c r="O249" s="468">
        <v>1356</v>
      </c>
      <c r="P249" s="603"/>
      <c r="Q249" s="469">
        <v>678</v>
      </c>
    </row>
    <row r="250" spans="1:17" ht="14.4" customHeight="1" x14ac:dyDescent="0.3">
      <c r="A250" s="522" t="s">
        <v>1109</v>
      </c>
      <c r="B250" s="465" t="s">
        <v>925</v>
      </c>
      <c r="C250" s="465" t="s">
        <v>926</v>
      </c>
      <c r="D250" s="465" t="s">
        <v>1031</v>
      </c>
      <c r="E250" s="465" t="s">
        <v>1032</v>
      </c>
      <c r="F250" s="468"/>
      <c r="G250" s="468"/>
      <c r="H250" s="468"/>
      <c r="I250" s="468"/>
      <c r="J250" s="468">
        <v>1</v>
      </c>
      <c r="K250" s="468">
        <v>477</v>
      </c>
      <c r="L250" s="468">
        <v>1</v>
      </c>
      <c r="M250" s="468">
        <v>477</v>
      </c>
      <c r="N250" s="468">
        <v>6</v>
      </c>
      <c r="O250" s="468">
        <v>2862</v>
      </c>
      <c r="P250" s="603">
        <v>6</v>
      </c>
      <c r="Q250" s="469">
        <v>477</v>
      </c>
    </row>
    <row r="251" spans="1:17" ht="14.4" customHeight="1" x14ac:dyDescent="0.3">
      <c r="A251" s="522" t="s">
        <v>1109</v>
      </c>
      <c r="B251" s="465" t="s">
        <v>925</v>
      </c>
      <c r="C251" s="465" t="s">
        <v>926</v>
      </c>
      <c r="D251" s="465" t="s">
        <v>1033</v>
      </c>
      <c r="E251" s="465" t="s">
        <v>1034</v>
      </c>
      <c r="F251" s="468">
        <v>1</v>
      </c>
      <c r="G251" s="468">
        <v>289</v>
      </c>
      <c r="H251" s="468">
        <v>0.33104238258877433</v>
      </c>
      <c r="I251" s="468">
        <v>289</v>
      </c>
      <c r="J251" s="468">
        <v>3</v>
      </c>
      <c r="K251" s="468">
        <v>873</v>
      </c>
      <c r="L251" s="468">
        <v>1</v>
      </c>
      <c r="M251" s="468">
        <v>291</v>
      </c>
      <c r="N251" s="468">
        <v>6</v>
      </c>
      <c r="O251" s="468">
        <v>1746</v>
      </c>
      <c r="P251" s="603">
        <v>2</v>
      </c>
      <c r="Q251" s="469">
        <v>291</v>
      </c>
    </row>
    <row r="252" spans="1:17" ht="14.4" customHeight="1" x14ac:dyDescent="0.3">
      <c r="A252" s="522" t="s">
        <v>1109</v>
      </c>
      <c r="B252" s="465" t="s">
        <v>925</v>
      </c>
      <c r="C252" s="465" t="s">
        <v>926</v>
      </c>
      <c r="D252" s="465" t="s">
        <v>1035</v>
      </c>
      <c r="E252" s="465" t="s">
        <v>1036</v>
      </c>
      <c r="F252" s="468">
        <v>1</v>
      </c>
      <c r="G252" s="468">
        <v>812</v>
      </c>
      <c r="H252" s="468">
        <v>0.99876998769987702</v>
      </c>
      <c r="I252" s="468">
        <v>812</v>
      </c>
      <c r="J252" s="468">
        <v>1</v>
      </c>
      <c r="K252" s="468">
        <v>813</v>
      </c>
      <c r="L252" s="468">
        <v>1</v>
      </c>
      <c r="M252" s="468">
        <v>813</v>
      </c>
      <c r="N252" s="468">
        <v>3</v>
      </c>
      <c r="O252" s="468">
        <v>2442</v>
      </c>
      <c r="P252" s="603">
        <v>3.0036900369003692</v>
      </c>
      <c r="Q252" s="469">
        <v>814</v>
      </c>
    </row>
    <row r="253" spans="1:17" ht="14.4" customHeight="1" x14ac:dyDescent="0.3">
      <c r="A253" s="522" t="s">
        <v>1109</v>
      </c>
      <c r="B253" s="465" t="s">
        <v>925</v>
      </c>
      <c r="C253" s="465" t="s">
        <v>926</v>
      </c>
      <c r="D253" s="465" t="s">
        <v>1037</v>
      </c>
      <c r="E253" s="465" t="s">
        <v>1038</v>
      </c>
      <c r="F253" s="468"/>
      <c r="G253" s="468"/>
      <c r="H253" s="468"/>
      <c r="I253" s="468"/>
      <c r="J253" s="468">
        <v>40</v>
      </c>
      <c r="K253" s="468">
        <v>40440</v>
      </c>
      <c r="L253" s="468">
        <v>1</v>
      </c>
      <c r="M253" s="468">
        <v>1011</v>
      </c>
      <c r="N253" s="468"/>
      <c r="O253" s="468"/>
      <c r="P253" s="603"/>
      <c r="Q253" s="469"/>
    </row>
    <row r="254" spans="1:17" ht="14.4" customHeight="1" x14ac:dyDescent="0.3">
      <c r="A254" s="522" t="s">
        <v>1109</v>
      </c>
      <c r="B254" s="465" t="s">
        <v>925</v>
      </c>
      <c r="C254" s="465" t="s">
        <v>926</v>
      </c>
      <c r="D254" s="465" t="s">
        <v>1039</v>
      </c>
      <c r="E254" s="465" t="s">
        <v>1040</v>
      </c>
      <c r="F254" s="468">
        <v>10</v>
      </c>
      <c r="G254" s="468">
        <v>1670</v>
      </c>
      <c r="H254" s="468">
        <v>1.6567460317460319</v>
      </c>
      <c r="I254" s="468">
        <v>167</v>
      </c>
      <c r="J254" s="468">
        <v>6</v>
      </c>
      <c r="K254" s="468">
        <v>1008</v>
      </c>
      <c r="L254" s="468">
        <v>1</v>
      </c>
      <c r="M254" s="468">
        <v>168</v>
      </c>
      <c r="N254" s="468">
        <v>14</v>
      </c>
      <c r="O254" s="468">
        <v>2352</v>
      </c>
      <c r="P254" s="603">
        <v>2.3333333333333335</v>
      </c>
      <c r="Q254" s="469">
        <v>168</v>
      </c>
    </row>
    <row r="255" spans="1:17" ht="14.4" customHeight="1" x14ac:dyDescent="0.3">
      <c r="A255" s="522" t="s">
        <v>1109</v>
      </c>
      <c r="B255" s="465" t="s">
        <v>925</v>
      </c>
      <c r="C255" s="465" t="s">
        <v>926</v>
      </c>
      <c r="D255" s="465" t="s">
        <v>1041</v>
      </c>
      <c r="E255" s="465" t="s">
        <v>1042</v>
      </c>
      <c r="F255" s="468">
        <v>1</v>
      </c>
      <c r="G255" s="468">
        <v>853</v>
      </c>
      <c r="H255" s="468"/>
      <c r="I255" s="468">
        <v>853</v>
      </c>
      <c r="J255" s="468"/>
      <c r="K255" s="468"/>
      <c r="L255" s="468"/>
      <c r="M255" s="468"/>
      <c r="N255" s="468"/>
      <c r="O255" s="468"/>
      <c r="P255" s="603"/>
      <c r="Q255" s="469"/>
    </row>
    <row r="256" spans="1:17" ht="14.4" customHeight="1" x14ac:dyDescent="0.3">
      <c r="A256" s="522" t="s">
        <v>1109</v>
      </c>
      <c r="B256" s="465" t="s">
        <v>925</v>
      </c>
      <c r="C256" s="465" t="s">
        <v>926</v>
      </c>
      <c r="D256" s="465" t="s">
        <v>1043</v>
      </c>
      <c r="E256" s="465" t="s">
        <v>1044</v>
      </c>
      <c r="F256" s="468">
        <v>1</v>
      </c>
      <c r="G256" s="468">
        <v>573</v>
      </c>
      <c r="H256" s="468">
        <v>0.99825783972125437</v>
      </c>
      <c r="I256" s="468">
        <v>573</v>
      </c>
      <c r="J256" s="468">
        <v>1</v>
      </c>
      <c r="K256" s="468">
        <v>574</v>
      </c>
      <c r="L256" s="468">
        <v>1</v>
      </c>
      <c r="M256" s="468">
        <v>574</v>
      </c>
      <c r="N256" s="468">
        <v>4</v>
      </c>
      <c r="O256" s="468">
        <v>2296</v>
      </c>
      <c r="P256" s="603">
        <v>4</v>
      </c>
      <c r="Q256" s="469">
        <v>574</v>
      </c>
    </row>
    <row r="257" spans="1:17" ht="14.4" customHeight="1" x14ac:dyDescent="0.3">
      <c r="A257" s="522" t="s">
        <v>1109</v>
      </c>
      <c r="B257" s="465" t="s">
        <v>925</v>
      </c>
      <c r="C257" s="465" t="s">
        <v>926</v>
      </c>
      <c r="D257" s="465" t="s">
        <v>1047</v>
      </c>
      <c r="E257" s="465" t="s">
        <v>1048</v>
      </c>
      <c r="F257" s="468">
        <v>3</v>
      </c>
      <c r="G257" s="468">
        <v>558</v>
      </c>
      <c r="H257" s="468">
        <v>2.9839572192513368</v>
      </c>
      <c r="I257" s="468">
        <v>186</v>
      </c>
      <c r="J257" s="468">
        <v>1</v>
      </c>
      <c r="K257" s="468">
        <v>187</v>
      </c>
      <c r="L257" s="468">
        <v>1</v>
      </c>
      <c r="M257" s="468">
        <v>187</v>
      </c>
      <c r="N257" s="468">
        <v>3</v>
      </c>
      <c r="O257" s="468">
        <v>561</v>
      </c>
      <c r="P257" s="603">
        <v>3</v>
      </c>
      <c r="Q257" s="469">
        <v>187</v>
      </c>
    </row>
    <row r="258" spans="1:17" ht="14.4" customHeight="1" x14ac:dyDescent="0.3">
      <c r="A258" s="522" t="s">
        <v>1109</v>
      </c>
      <c r="B258" s="465" t="s">
        <v>925</v>
      </c>
      <c r="C258" s="465" t="s">
        <v>926</v>
      </c>
      <c r="D258" s="465" t="s">
        <v>1049</v>
      </c>
      <c r="E258" s="465" t="s">
        <v>1050</v>
      </c>
      <c r="F258" s="468">
        <v>5</v>
      </c>
      <c r="G258" s="468">
        <v>2875</v>
      </c>
      <c r="H258" s="468">
        <v>0.24956597222222221</v>
      </c>
      <c r="I258" s="468">
        <v>575</v>
      </c>
      <c r="J258" s="468">
        <v>20</v>
      </c>
      <c r="K258" s="468">
        <v>11520</v>
      </c>
      <c r="L258" s="468">
        <v>1</v>
      </c>
      <c r="M258" s="468">
        <v>576</v>
      </c>
      <c r="N258" s="468">
        <v>20</v>
      </c>
      <c r="O258" s="468">
        <v>11520</v>
      </c>
      <c r="P258" s="603">
        <v>1</v>
      </c>
      <c r="Q258" s="469">
        <v>576</v>
      </c>
    </row>
    <row r="259" spans="1:17" ht="14.4" customHeight="1" x14ac:dyDescent="0.3">
      <c r="A259" s="522" t="s">
        <v>1109</v>
      </c>
      <c r="B259" s="465" t="s">
        <v>925</v>
      </c>
      <c r="C259" s="465" t="s">
        <v>926</v>
      </c>
      <c r="D259" s="465" t="s">
        <v>1053</v>
      </c>
      <c r="E259" s="465" t="s">
        <v>1054</v>
      </c>
      <c r="F259" s="468"/>
      <c r="G259" s="468"/>
      <c r="H259" s="468"/>
      <c r="I259" s="468"/>
      <c r="J259" s="468">
        <v>1</v>
      </c>
      <c r="K259" s="468">
        <v>1399</v>
      </c>
      <c r="L259" s="468">
        <v>1</v>
      </c>
      <c r="M259" s="468">
        <v>1399</v>
      </c>
      <c r="N259" s="468">
        <v>1</v>
      </c>
      <c r="O259" s="468">
        <v>1399</v>
      </c>
      <c r="P259" s="603">
        <v>1</v>
      </c>
      <c r="Q259" s="469">
        <v>1399</v>
      </c>
    </row>
    <row r="260" spans="1:17" ht="14.4" customHeight="1" x14ac:dyDescent="0.3">
      <c r="A260" s="522" t="s">
        <v>1109</v>
      </c>
      <c r="B260" s="465" t="s">
        <v>925</v>
      </c>
      <c r="C260" s="465" t="s">
        <v>926</v>
      </c>
      <c r="D260" s="465" t="s">
        <v>1055</v>
      </c>
      <c r="E260" s="465" t="s">
        <v>1056</v>
      </c>
      <c r="F260" s="468">
        <v>2</v>
      </c>
      <c r="G260" s="468">
        <v>2036</v>
      </c>
      <c r="H260" s="468">
        <v>0.99608610567514677</v>
      </c>
      <c r="I260" s="468">
        <v>1018</v>
      </c>
      <c r="J260" s="468">
        <v>2</v>
      </c>
      <c r="K260" s="468">
        <v>2044</v>
      </c>
      <c r="L260" s="468">
        <v>1</v>
      </c>
      <c r="M260" s="468">
        <v>1022</v>
      </c>
      <c r="N260" s="468">
        <v>4</v>
      </c>
      <c r="O260" s="468">
        <v>4088</v>
      </c>
      <c r="P260" s="603">
        <v>2</v>
      </c>
      <c r="Q260" s="469">
        <v>1022</v>
      </c>
    </row>
    <row r="261" spans="1:17" ht="14.4" customHeight="1" x14ac:dyDescent="0.3">
      <c r="A261" s="522" t="s">
        <v>1109</v>
      </c>
      <c r="B261" s="465" t="s">
        <v>925</v>
      </c>
      <c r="C261" s="465" t="s">
        <v>926</v>
      </c>
      <c r="D261" s="465" t="s">
        <v>1057</v>
      </c>
      <c r="E261" s="465" t="s">
        <v>1058</v>
      </c>
      <c r="F261" s="468">
        <v>3</v>
      </c>
      <c r="G261" s="468">
        <v>567</v>
      </c>
      <c r="H261" s="468"/>
      <c r="I261" s="468">
        <v>189</v>
      </c>
      <c r="J261" s="468"/>
      <c r="K261" s="468"/>
      <c r="L261" s="468"/>
      <c r="M261" s="468"/>
      <c r="N261" s="468">
        <v>5</v>
      </c>
      <c r="O261" s="468">
        <v>950</v>
      </c>
      <c r="P261" s="603"/>
      <c r="Q261" s="469">
        <v>190</v>
      </c>
    </row>
    <row r="262" spans="1:17" ht="14.4" customHeight="1" x14ac:dyDescent="0.3">
      <c r="A262" s="522" t="s">
        <v>1109</v>
      </c>
      <c r="B262" s="465" t="s">
        <v>925</v>
      </c>
      <c r="C262" s="465" t="s">
        <v>926</v>
      </c>
      <c r="D262" s="465" t="s">
        <v>1059</v>
      </c>
      <c r="E262" s="465" t="s">
        <v>1060</v>
      </c>
      <c r="F262" s="468">
        <v>1</v>
      </c>
      <c r="G262" s="468">
        <v>812</v>
      </c>
      <c r="H262" s="468">
        <v>0.99876998769987702</v>
      </c>
      <c r="I262" s="468">
        <v>812</v>
      </c>
      <c r="J262" s="468">
        <v>1</v>
      </c>
      <c r="K262" s="468">
        <v>813</v>
      </c>
      <c r="L262" s="468">
        <v>1</v>
      </c>
      <c r="M262" s="468">
        <v>813</v>
      </c>
      <c r="N262" s="468">
        <v>3</v>
      </c>
      <c r="O262" s="468">
        <v>2442</v>
      </c>
      <c r="P262" s="603">
        <v>3.0036900369003692</v>
      </c>
      <c r="Q262" s="469">
        <v>814</v>
      </c>
    </row>
    <row r="263" spans="1:17" ht="14.4" customHeight="1" x14ac:dyDescent="0.3">
      <c r="A263" s="522" t="s">
        <v>1109</v>
      </c>
      <c r="B263" s="465" t="s">
        <v>925</v>
      </c>
      <c r="C263" s="465" t="s">
        <v>926</v>
      </c>
      <c r="D263" s="465" t="s">
        <v>1063</v>
      </c>
      <c r="E263" s="465" t="s">
        <v>1064</v>
      </c>
      <c r="F263" s="468"/>
      <c r="G263" s="468"/>
      <c r="H263" s="468"/>
      <c r="I263" s="468"/>
      <c r="J263" s="468"/>
      <c r="K263" s="468"/>
      <c r="L263" s="468"/>
      <c r="M263" s="468"/>
      <c r="N263" s="468">
        <v>1</v>
      </c>
      <c r="O263" s="468">
        <v>260</v>
      </c>
      <c r="P263" s="603"/>
      <c r="Q263" s="469">
        <v>260</v>
      </c>
    </row>
    <row r="264" spans="1:17" ht="14.4" customHeight="1" x14ac:dyDescent="0.3">
      <c r="A264" s="522" t="s">
        <v>1109</v>
      </c>
      <c r="B264" s="465" t="s">
        <v>925</v>
      </c>
      <c r="C264" s="465" t="s">
        <v>926</v>
      </c>
      <c r="D264" s="465" t="s">
        <v>1074</v>
      </c>
      <c r="E264" s="465" t="s">
        <v>1075</v>
      </c>
      <c r="F264" s="468"/>
      <c r="G264" s="468"/>
      <c r="H264" s="468"/>
      <c r="I264" s="468"/>
      <c r="J264" s="468"/>
      <c r="K264" s="468"/>
      <c r="L264" s="468"/>
      <c r="M264" s="468"/>
      <c r="N264" s="468">
        <v>10</v>
      </c>
      <c r="O264" s="468">
        <v>76680</v>
      </c>
      <c r="P264" s="603"/>
      <c r="Q264" s="469">
        <v>7668</v>
      </c>
    </row>
    <row r="265" spans="1:17" ht="14.4" customHeight="1" x14ac:dyDescent="0.3">
      <c r="A265" s="522" t="s">
        <v>1109</v>
      </c>
      <c r="B265" s="465" t="s">
        <v>925</v>
      </c>
      <c r="C265" s="465" t="s">
        <v>926</v>
      </c>
      <c r="D265" s="465" t="s">
        <v>1076</v>
      </c>
      <c r="E265" s="465" t="s">
        <v>1077</v>
      </c>
      <c r="F265" s="468"/>
      <c r="G265" s="468"/>
      <c r="H265" s="468"/>
      <c r="I265" s="468"/>
      <c r="J265" s="468"/>
      <c r="K265" s="468"/>
      <c r="L265" s="468"/>
      <c r="M265" s="468"/>
      <c r="N265" s="468">
        <v>5</v>
      </c>
      <c r="O265" s="468">
        <v>78460</v>
      </c>
      <c r="P265" s="603"/>
      <c r="Q265" s="469">
        <v>15692</v>
      </c>
    </row>
    <row r="266" spans="1:17" ht="14.4" customHeight="1" x14ac:dyDescent="0.3">
      <c r="A266" s="522" t="s">
        <v>1110</v>
      </c>
      <c r="B266" s="465" t="s">
        <v>925</v>
      </c>
      <c r="C266" s="465" t="s">
        <v>926</v>
      </c>
      <c r="D266" s="465" t="s">
        <v>927</v>
      </c>
      <c r="E266" s="465" t="s">
        <v>928</v>
      </c>
      <c r="F266" s="468">
        <v>1</v>
      </c>
      <c r="G266" s="468">
        <v>1184</v>
      </c>
      <c r="H266" s="468"/>
      <c r="I266" s="468">
        <v>1184</v>
      </c>
      <c r="J266" s="468"/>
      <c r="K266" s="468"/>
      <c r="L266" s="468"/>
      <c r="M266" s="468"/>
      <c r="N266" s="468">
        <v>1</v>
      </c>
      <c r="O266" s="468">
        <v>1483</v>
      </c>
      <c r="P266" s="603"/>
      <c r="Q266" s="469">
        <v>1483</v>
      </c>
    </row>
    <row r="267" spans="1:17" ht="14.4" customHeight="1" x14ac:dyDescent="0.3">
      <c r="A267" s="522" t="s">
        <v>1110</v>
      </c>
      <c r="B267" s="465" t="s">
        <v>925</v>
      </c>
      <c r="C267" s="465" t="s">
        <v>926</v>
      </c>
      <c r="D267" s="465" t="s">
        <v>967</v>
      </c>
      <c r="E267" s="465" t="s">
        <v>968</v>
      </c>
      <c r="F267" s="468"/>
      <c r="G267" s="468"/>
      <c r="H267" s="468"/>
      <c r="I267" s="468"/>
      <c r="J267" s="468">
        <v>1</v>
      </c>
      <c r="K267" s="468">
        <v>513</v>
      </c>
      <c r="L267" s="468">
        <v>1</v>
      </c>
      <c r="M267" s="468">
        <v>513</v>
      </c>
      <c r="N267" s="468"/>
      <c r="O267" s="468"/>
      <c r="P267" s="603"/>
      <c r="Q267" s="469"/>
    </row>
    <row r="268" spans="1:17" ht="14.4" customHeight="1" x14ac:dyDescent="0.3">
      <c r="A268" s="522" t="s">
        <v>1110</v>
      </c>
      <c r="B268" s="465" t="s">
        <v>925</v>
      </c>
      <c r="C268" s="465" t="s">
        <v>926</v>
      </c>
      <c r="D268" s="465" t="s">
        <v>969</v>
      </c>
      <c r="E268" s="465" t="s">
        <v>970</v>
      </c>
      <c r="F268" s="468"/>
      <c r="G268" s="468"/>
      <c r="H268" s="468"/>
      <c r="I268" s="468"/>
      <c r="J268" s="468">
        <v>1</v>
      </c>
      <c r="K268" s="468">
        <v>423</v>
      </c>
      <c r="L268" s="468">
        <v>1</v>
      </c>
      <c r="M268" s="468">
        <v>423</v>
      </c>
      <c r="N268" s="468"/>
      <c r="O268" s="468"/>
      <c r="P268" s="603"/>
      <c r="Q268" s="469"/>
    </row>
    <row r="269" spans="1:17" ht="14.4" customHeight="1" x14ac:dyDescent="0.3">
      <c r="A269" s="522" t="s">
        <v>1110</v>
      </c>
      <c r="B269" s="465" t="s">
        <v>925</v>
      </c>
      <c r="C269" s="465" t="s">
        <v>926</v>
      </c>
      <c r="D269" s="465" t="s">
        <v>981</v>
      </c>
      <c r="E269" s="465" t="s">
        <v>982</v>
      </c>
      <c r="F269" s="468"/>
      <c r="G269" s="468"/>
      <c r="H269" s="468"/>
      <c r="I269" s="468"/>
      <c r="J269" s="468">
        <v>1</v>
      </c>
      <c r="K269" s="468">
        <v>111</v>
      </c>
      <c r="L269" s="468">
        <v>1</v>
      </c>
      <c r="M269" s="468">
        <v>111</v>
      </c>
      <c r="N269" s="468"/>
      <c r="O269" s="468"/>
      <c r="P269" s="603"/>
      <c r="Q269" s="469"/>
    </row>
    <row r="270" spans="1:17" ht="14.4" customHeight="1" x14ac:dyDescent="0.3">
      <c r="A270" s="522" t="s">
        <v>1110</v>
      </c>
      <c r="B270" s="465" t="s">
        <v>925</v>
      </c>
      <c r="C270" s="465" t="s">
        <v>926</v>
      </c>
      <c r="D270" s="465" t="s">
        <v>1033</v>
      </c>
      <c r="E270" s="465" t="s">
        <v>1034</v>
      </c>
      <c r="F270" s="468"/>
      <c r="G270" s="468"/>
      <c r="H270" s="468"/>
      <c r="I270" s="468"/>
      <c r="J270" s="468">
        <v>1</v>
      </c>
      <c r="K270" s="468">
        <v>291</v>
      </c>
      <c r="L270" s="468">
        <v>1</v>
      </c>
      <c r="M270" s="468">
        <v>291</v>
      </c>
      <c r="N270" s="468"/>
      <c r="O270" s="468"/>
      <c r="P270" s="603"/>
      <c r="Q270" s="469"/>
    </row>
    <row r="271" spans="1:17" ht="14.4" customHeight="1" x14ac:dyDescent="0.3">
      <c r="A271" s="522" t="s">
        <v>1111</v>
      </c>
      <c r="B271" s="465" t="s">
        <v>925</v>
      </c>
      <c r="C271" s="465" t="s">
        <v>926</v>
      </c>
      <c r="D271" s="465" t="s">
        <v>947</v>
      </c>
      <c r="E271" s="465" t="s">
        <v>948</v>
      </c>
      <c r="F271" s="468"/>
      <c r="G271" s="468"/>
      <c r="H271" s="468"/>
      <c r="I271" s="468"/>
      <c r="J271" s="468"/>
      <c r="K271" s="468"/>
      <c r="L271" s="468"/>
      <c r="M271" s="468"/>
      <c r="N271" s="468">
        <v>1</v>
      </c>
      <c r="O271" s="468">
        <v>168</v>
      </c>
      <c r="P271" s="603"/>
      <c r="Q271" s="469">
        <v>168</v>
      </c>
    </row>
    <row r="272" spans="1:17" ht="14.4" customHeight="1" x14ac:dyDescent="0.3">
      <c r="A272" s="522" t="s">
        <v>1112</v>
      </c>
      <c r="B272" s="465" t="s">
        <v>925</v>
      </c>
      <c r="C272" s="465" t="s">
        <v>926</v>
      </c>
      <c r="D272" s="465" t="s">
        <v>947</v>
      </c>
      <c r="E272" s="465" t="s">
        <v>948</v>
      </c>
      <c r="F272" s="468">
        <v>1</v>
      </c>
      <c r="G272" s="468">
        <v>167</v>
      </c>
      <c r="H272" s="468"/>
      <c r="I272" s="468">
        <v>167</v>
      </c>
      <c r="J272" s="468"/>
      <c r="K272" s="468"/>
      <c r="L272" s="468"/>
      <c r="M272" s="468"/>
      <c r="N272" s="468"/>
      <c r="O272" s="468"/>
      <c r="P272" s="603"/>
      <c r="Q272" s="469"/>
    </row>
    <row r="273" spans="1:17" ht="14.4" customHeight="1" x14ac:dyDescent="0.3">
      <c r="A273" s="522" t="s">
        <v>1112</v>
      </c>
      <c r="B273" s="465" t="s">
        <v>925</v>
      </c>
      <c r="C273" s="465" t="s">
        <v>926</v>
      </c>
      <c r="D273" s="465" t="s">
        <v>949</v>
      </c>
      <c r="E273" s="465" t="s">
        <v>950</v>
      </c>
      <c r="F273" s="468">
        <v>1</v>
      </c>
      <c r="G273" s="468">
        <v>173</v>
      </c>
      <c r="H273" s="468"/>
      <c r="I273" s="468">
        <v>173</v>
      </c>
      <c r="J273" s="468"/>
      <c r="K273" s="468"/>
      <c r="L273" s="468"/>
      <c r="M273" s="468"/>
      <c r="N273" s="468"/>
      <c r="O273" s="468"/>
      <c r="P273" s="603"/>
      <c r="Q273" s="469"/>
    </row>
    <row r="274" spans="1:17" ht="14.4" customHeight="1" x14ac:dyDescent="0.3">
      <c r="A274" s="522" t="s">
        <v>1112</v>
      </c>
      <c r="B274" s="465" t="s">
        <v>925</v>
      </c>
      <c r="C274" s="465" t="s">
        <v>926</v>
      </c>
      <c r="D274" s="465" t="s">
        <v>967</v>
      </c>
      <c r="E274" s="465" t="s">
        <v>968</v>
      </c>
      <c r="F274" s="468">
        <v>1</v>
      </c>
      <c r="G274" s="468">
        <v>511</v>
      </c>
      <c r="H274" s="468"/>
      <c r="I274" s="468">
        <v>511</v>
      </c>
      <c r="J274" s="468"/>
      <c r="K274" s="468"/>
      <c r="L274" s="468"/>
      <c r="M274" s="468"/>
      <c r="N274" s="468"/>
      <c r="O274" s="468"/>
      <c r="P274" s="603"/>
      <c r="Q274" s="469"/>
    </row>
    <row r="275" spans="1:17" ht="14.4" customHeight="1" x14ac:dyDescent="0.3">
      <c r="A275" s="522" t="s">
        <v>1112</v>
      </c>
      <c r="B275" s="465" t="s">
        <v>925</v>
      </c>
      <c r="C275" s="465" t="s">
        <v>926</v>
      </c>
      <c r="D275" s="465" t="s">
        <v>969</v>
      </c>
      <c r="E275" s="465" t="s">
        <v>970</v>
      </c>
      <c r="F275" s="468">
        <v>1</v>
      </c>
      <c r="G275" s="468">
        <v>421</v>
      </c>
      <c r="H275" s="468"/>
      <c r="I275" s="468">
        <v>421</v>
      </c>
      <c r="J275" s="468"/>
      <c r="K275" s="468"/>
      <c r="L275" s="468"/>
      <c r="M275" s="468"/>
      <c r="N275" s="468"/>
      <c r="O275" s="468"/>
      <c r="P275" s="603"/>
      <c r="Q275" s="469"/>
    </row>
    <row r="276" spans="1:17" ht="14.4" customHeight="1" x14ac:dyDescent="0.3">
      <c r="A276" s="522" t="s">
        <v>1112</v>
      </c>
      <c r="B276" s="465" t="s">
        <v>925</v>
      </c>
      <c r="C276" s="465" t="s">
        <v>926</v>
      </c>
      <c r="D276" s="465" t="s">
        <v>971</v>
      </c>
      <c r="E276" s="465" t="s">
        <v>972</v>
      </c>
      <c r="F276" s="468">
        <v>1</v>
      </c>
      <c r="G276" s="468">
        <v>347</v>
      </c>
      <c r="H276" s="468"/>
      <c r="I276" s="468">
        <v>347</v>
      </c>
      <c r="J276" s="468"/>
      <c r="K276" s="468"/>
      <c r="L276" s="468"/>
      <c r="M276" s="468"/>
      <c r="N276" s="468"/>
      <c r="O276" s="468"/>
      <c r="P276" s="603"/>
      <c r="Q276" s="469"/>
    </row>
    <row r="277" spans="1:17" ht="14.4" customHeight="1" x14ac:dyDescent="0.3">
      <c r="A277" s="522" t="s">
        <v>1112</v>
      </c>
      <c r="B277" s="465" t="s">
        <v>925</v>
      </c>
      <c r="C277" s="465" t="s">
        <v>926</v>
      </c>
      <c r="D277" s="465" t="s">
        <v>1003</v>
      </c>
      <c r="E277" s="465" t="s">
        <v>1004</v>
      </c>
      <c r="F277" s="468">
        <v>1</v>
      </c>
      <c r="G277" s="468">
        <v>207</v>
      </c>
      <c r="H277" s="468"/>
      <c r="I277" s="468">
        <v>207</v>
      </c>
      <c r="J277" s="468"/>
      <c r="K277" s="468"/>
      <c r="L277" s="468"/>
      <c r="M277" s="468"/>
      <c r="N277" s="468"/>
      <c r="O277" s="468"/>
      <c r="P277" s="603"/>
      <c r="Q277" s="469"/>
    </row>
    <row r="278" spans="1:17" ht="14.4" customHeight="1" x14ac:dyDescent="0.3">
      <c r="A278" s="522" t="s">
        <v>1112</v>
      </c>
      <c r="B278" s="465" t="s">
        <v>925</v>
      </c>
      <c r="C278" s="465" t="s">
        <v>926</v>
      </c>
      <c r="D278" s="465" t="s">
        <v>1009</v>
      </c>
      <c r="E278" s="465" t="s">
        <v>1010</v>
      </c>
      <c r="F278" s="468">
        <v>1</v>
      </c>
      <c r="G278" s="468">
        <v>170</v>
      </c>
      <c r="H278" s="468"/>
      <c r="I278" s="468">
        <v>170</v>
      </c>
      <c r="J278" s="468"/>
      <c r="K278" s="468"/>
      <c r="L278" s="468"/>
      <c r="M278" s="468"/>
      <c r="N278" s="468"/>
      <c r="O278" s="468"/>
      <c r="P278" s="603"/>
      <c r="Q278" s="469"/>
    </row>
    <row r="279" spans="1:17" ht="14.4" customHeight="1" x14ac:dyDescent="0.3">
      <c r="A279" s="522" t="s">
        <v>1112</v>
      </c>
      <c r="B279" s="465" t="s">
        <v>925</v>
      </c>
      <c r="C279" s="465" t="s">
        <v>926</v>
      </c>
      <c r="D279" s="465" t="s">
        <v>1015</v>
      </c>
      <c r="E279" s="465" t="s">
        <v>1016</v>
      </c>
      <c r="F279" s="468">
        <v>1</v>
      </c>
      <c r="G279" s="468">
        <v>348</v>
      </c>
      <c r="H279" s="468"/>
      <c r="I279" s="468">
        <v>348</v>
      </c>
      <c r="J279" s="468"/>
      <c r="K279" s="468"/>
      <c r="L279" s="468"/>
      <c r="M279" s="468"/>
      <c r="N279" s="468"/>
      <c r="O279" s="468"/>
      <c r="P279" s="603"/>
      <c r="Q279" s="469"/>
    </row>
    <row r="280" spans="1:17" ht="14.4" customHeight="1" x14ac:dyDescent="0.3">
      <c r="A280" s="522" t="s">
        <v>1112</v>
      </c>
      <c r="B280" s="465" t="s">
        <v>925</v>
      </c>
      <c r="C280" s="465" t="s">
        <v>926</v>
      </c>
      <c r="D280" s="465" t="s">
        <v>1017</v>
      </c>
      <c r="E280" s="465" t="s">
        <v>1018</v>
      </c>
      <c r="F280" s="468">
        <v>1</v>
      </c>
      <c r="G280" s="468">
        <v>173</v>
      </c>
      <c r="H280" s="468"/>
      <c r="I280" s="468">
        <v>173</v>
      </c>
      <c r="J280" s="468"/>
      <c r="K280" s="468"/>
      <c r="L280" s="468"/>
      <c r="M280" s="468"/>
      <c r="N280" s="468"/>
      <c r="O280" s="468"/>
      <c r="P280" s="603"/>
      <c r="Q280" s="469"/>
    </row>
    <row r="281" spans="1:17" ht="14.4" customHeight="1" x14ac:dyDescent="0.3">
      <c r="A281" s="522" t="s">
        <v>1112</v>
      </c>
      <c r="B281" s="465" t="s">
        <v>925</v>
      </c>
      <c r="C281" s="465" t="s">
        <v>926</v>
      </c>
      <c r="D281" s="465" t="s">
        <v>1033</v>
      </c>
      <c r="E281" s="465" t="s">
        <v>1034</v>
      </c>
      <c r="F281" s="468">
        <v>1</v>
      </c>
      <c r="G281" s="468">
        <v>289</v>
      </c>
      <c r="H281" s="468"/>
      <c r="I281" s="468">
        <v>289</v>
      </c>
      <c r="J281" s="468"/>
      <c r="K281" s="468"/>
      <c r="L281" s="468"/>
      <c r="M281" s="468"/>
      <c r="N281" s="468"/>
      <c r="O281" s="468"/>
      <c r="P281" s="603"/>
      <c r="Q281" s="469"/>
    </row>
    <row r="282" spans="1:17" ht="14.4" customHeight="1" x14ac:dyDescent="0.3">
      <c r="A282" s="522" t="s">
        <v>1112</v>
      </c>
      <c r="B282" s="465" t="s">
        <v>925</v>
      </c>
      <c r="C282" s="465" t="s">
        <v>926</v>
      </c>
      <c r="D282" s="465" t="s">
        <v>1039</v>
      </c>
      <c r="E282" s="465" t="s">
        <v>1040</v>
      </c>
      <c r="F282" s="468">
        <v>1</v>
      </c>
      <c r="G282" s="468">
        <v>167</v>
      </c>
      <c r="H282" s="468"/>
      <c r="I282" s="468">
        <v>167</v>
      </c>
      <c r="J282" s="468"/>
      <c r="K282" s="468"/>
      <c r="L282" s="468"/>
      <c r="M282" s="468"/>
      <c r="N282" s="468"/>
      <c r="O282" s="468"/>
      <c r="P282" s="603"/>
      <c r="Q282" s="469"/>
    </row>
    <row r="283" spans="1:17" ht="14.4" customHeight="1" x14ac:dyDescent="0.3">
      <c r="A283" s="522" t="s">
        <v>1113</v>
      </c>
      <c r="B283" s="465" t="s">
        <v>925</v>
      </c>
      <c r="C283" s="465" t="s">
        <v>926</v>
      </c>
      <c r="D283" s="465" t="s">
        <v>927</v>
      </c>
      <c r="E283" s="465" t="s">
        <v>928</v>
      </c>
      <c r="F283" s="468">
        <v>24</v>
      </c>
      <c r="G283" s="468">
        <v>28416</v>
      </c>
      <c r="H283" s="468">
        <v>2.1763038982921037</v>
      </c>
      <c r="I283" s="468">
        <v>1184</v>
      </c>
      <c r="J283" s="468">
        <v>11</v>
      </c>
      <c r="K283" s="468">
        <v>13057</v>
      </c>
      <c r="L283" s="468">
        <v>1</v>
      </c>
      <c r="M283" s="468">
        <v>1187</v>
      </c>
      <c r="N283" s="468">
        <v>19</v>
      </c>
      <c r="O283" s="468">
        <v>28177</v>
      </c>
      <c r="P283" s="603">
        <v>2.1579995404763728</v>
      </c>
      <c r="Q283" s="469">
        <v>1483</v>
      </c>
    </row>
    <row r="284" spans="1:17" ht="14.4" customHeight="1" x14ac:dyDescent="0.3">
      <c r="A284" s="522" t="s">
        <v>1113</v>
      </c>
      <c r="B284" s="465" t="s">
        <v>925</v>
      </c>
      <c r="C284" s="465" t="s">
        <v>926</v>
      </c>
      <c r="D284" s="465" t="s">
        <v>929</v>
      </c>
      <c r="E284" s="465" t="s">
        <v>930</v>
      </c>
      <c r="F284" s="468"/>
      <c r="G284" s="468"/>
      <c r="H284" s="468"/>
      <c r="I284" s="468"/>
      <c r="J284" s="468"/>
      <c r="K284" s="468"/>
      <c r="L284" s="468"/>
      <c r="M284" s="468"/>
      <c r="N284" s="468">
        <v>1</v>
      </c>
      <c r="O284" s="468">
        <v>3914</v>
      </c>
      <c r="P284" s="603"/>
      <c r="Q284" s="469">
        <v>3914</v>
      </c>
    </row>
    <row r="285" spans="1:17" ht="14.4" customHeight="1" x14ac:dyDescent="0.3">
      <c r="A285" s="522" t="s">
        <v>1113</v>
      </c>
      <c r="B285" s="465" t="s">
        <v>925</v>
      </c>
      <c r="C285" s="465" t="s">
        <v>926</v>
      </c>
      <c r="D285" s="465" t="s">
        <v>935</v>
      </c>
      <c r="E285" s="465" t="s">
        <v>936</v>
      </c>
      <c r="F285" s="468"/>
      <c r="G285" s="468"/>
      <c r="H285" s="468"/>
      <c r="I285" s="468"/>
      <c r="J285" s="468"/>
      <c r="K285" s="468"/>
      <c r="L285" s="468"/>
      <c r="M285" s="468"/>
      <c r="N285" s="468">
        <v>1</v>
      </c>
      <c r="O285" s="468">
        <v>1030</v>
      </c>
      <c r="P285" s="603"/>
      <c r="Q285" s="469">
        <v>1030</v>
      </c>
    </row>
    <row r="286" spans="1:17" ht="14.4" customHeight="1" x14ac:dyDescent="0.3">
      <c r="A286" s="522" t="s">
        <v>1113</v>
      </c>
      <c r="B286" s="465" t="s">
        <v>925</v>
      </c>
      <c r="C286" s="465" t="s">
        <v>926</v>
      </c>
      <c r="D286" s="465" t="s">
        <v>939</v>
      </c>
      <c r="E286" s="465" t="s">
        <v>940</v>
      </c>
      <c r="F286" s="468"/>
      <c r="G286" s="468"/>
      <c r="H286" s="468"/>
      <c r="I286" s="468"/>
      <c r="J286" s="468"/>
      <c r="K286" s="468"/>
      <c r="L286" s="468"/>
      <c r="M286" s="468"/>
      <c r="N286" s="468">
        <v>1</v>
      </c>
      <c r="O286" s="468">
        <v>843</v>
      </c>
      <c r="P286" s="603"/>
      <c r="Q286" s="469">
        <v>843</v>
      </c>
    </row>
    <row r="287" spans="1:17" ht="14.4" customHeight="1" x14ac:dyDescent="0.3">
      <c r="A287" s="522" t="s">
        <v>1113</v>
      </c>
      <c r="B287" s="465" t="s">
        <v>925</v>
      </c>
      <c r="C287" s="465" t="s">
        <v>926</v>
      </c>
      <c r="D287" s="465" t="s">
        <v>943</v>
      </c>
      <c r="E287" s="465" t="s">
        <v>944</v>
      </c>
      <c r="F287" s="468"/>
      <c r="G287" s="468"/>
      <c r="H287" s="468"/>
      <c r="I287" s="468"/>
      <c r="J287" s="468"/>
      <c r="K287" s="468"/>
      <c r="L287" s="468"/>
      <c r="M287" s="468"/>
      <c r="N287" s="468">
        <v>2</v>
      </c>
      <c r="O287" s="468">
        <v>1628</v>
      </c>
      <c r="P287" s="603"/>
      <c r="Q287" s="469">
        <v>814</v>
      </c>
    </row>
    <row r="288" spans="1:17" ht="14.4" customHeight="1" x14ac:dyDescent="0.3">
      <c r="A288" s="522" t="s">
        <v>1113</v>
      </c>
      <c r="B288" s="465" t="s">
        <v>925</v>
      </c>
      <c r="C288" s="465" t="s">
        <v>926</v>
      </c>
      <c r="D288" s="465" t="s">
        <v>945</v>
      </c>
      <c r="E288" s="465" t="s">
        <v>946</v>
      </c>
      <c r="F288" s="468"/>
      <c r="G288" s="468"/>
      <c r="H288" s="468"/>
      <c r="I288" s="468"/>
      <c r="J288" s="468"/>
      <c r="K288" s="468"/>
      <c r="L288" s="468"/>
      <c r="M288" s="468"/>
      <c r="N288" s="468">
        <v>2</v>
      </c>
      <c r="O288" s="468">
        <v>1628</v>
      </c>
      <c r="P288" s="603"/>
      <c r="Q288" s="469">
        <v>814</v>
      </c>
    </row>
    <row r="289" spans="1:17" ht="14.4" customHeight="1" x14ac:dyDescent="0.3">
      <c r="A289" s="522" t="s">
        <v>1113</v>
      </c>
      <c r="B289" s="465" t="s">
        <v>925</v>
      </c>
      <c r="C289" s="465" t="s">
        <v>926</v>
      </c>
      <c r="D289" s="465" t="s">
        <v>947</v>
      </c>
      <c r="E289" s="465" t="s">
        <v>948</v>
      </c>
      <c r="F289" s="468">
        <v>18</v>
      </c>
      <c r="G289" s="468">
        <v>3006</v>
      </c>
      <c r="H289" s="468">
        <v>1.278061224489796</v>
      </c>
      <c r="I289" s="468">
        <v>167</v>
      </c>
      <c r="J289" s="468">
        <v>14</v>
      </c>
      <c r="K289" s="468">
        <v>2352</v>
      </c>
      <c r="L289" s="468">
        <v>1</v>
      </c>
      <c r="M289" s="468">
        <v>168</v>
      </c>
      <c r="N289" s="468">
        <v>35</v>
      </c>
      <c r="O289" s="468">
        <v>5880</v>
      </c>
      <c r="P289" s="603">
        <v>2.5</v>
      </c>
      <c r="Q289" s="469">
        <v>168</v>
      </c>
    </row>
    <row r="290" spans="1:17" ht="14.4" customHeight="1" x14ac:dyDescent="0.3">
      <c r="A290" s="522" t="s">
        <v>1113</v>
      </c>
      <c r="B290" s="465" t="s">
        <v>925</v>
      </c>
      <c r="C290" s="465" t="s">
        <v>926</v>
      </c>
      <c r="D290" s="465" t="s">
        <v>949</v>
      </c>
      <c r="E290" s="465" t="s">
        <v>950</v>
      </c>
      <c r="F290" s="468">
        <v>17</v>
      </c>
      <c r="G290" s="468">
        <v>2941</v>
      </c>
      <c r="H290" s="468">
        <v>1.2073070607553367</v>
      </c>
      <c r="I290" s="468">
        <v>173</v>
      </c>
      <c r="J290" s="468">
        <v>14</v>
      </c>
      <c r="K290" s="468">
        <v>2436</v>
      </c>
      <c r="L290" s="468">
        <v>1</v>
      </c>
      <c r="M290" s="468">
        <v>174</v>
      </c>
      <c r="N290" s="468">
        <v>28</v>
      </c>
      <c r="O290" s="468">
        <v>4872</v>
      </c>
      <c r="P290" s="603">
        <v>2</v>
      </c>
      <c r="Q290" s="469">
        <v>174</v>
      </c>
    </row>
    <row r="291" spans="1:17" ht="14.4" customHeight="1" x14ac:dyDescent="0.3">
      <c r="A291" s="522" t="s">
        <v>1113</v>
      </c>
      <c r="B291" s="465" t="s">
        <v>925</v>
      </c>
      <c r="C291" s="465" t="s">
        <v>926</v>
      </c>
      <c r="D291" s="465" t="s">
        <v>951</v>
      </c>
      <c r="E291" s="465" t="s">
        <v>952</v>
      </c>
      <c r="F291" s="468"/>
      <c r="G291" s="468"/>
      <c r="H291" s="468"/>
      <c r="I291" s="468"/>
      <c r="J291" s="468"/>
      <c r="K291" s="468"/>
      <c r="L291" s="468"/>
      <c r="M291" s="468"/>
      <c r="N291" s="468">
        <v>3</v>
      </c>
      <c r="O291" s="468">
        <v>1056</v>
      </c>
      <c r="P291" s="603"/>
      <c r="Q291" s="469">
        <v>352</v>
      </c>
    </row>
    <row r="292" spans="1:17" ht="14.4" customHeight="1" x14ac:dyDescent="0.3">
      <c r="A292" s="522" t="s">
        <v>1113</v>
      </c>
      <c r="B292" s="465" t="s">
        <v>925</v>
      </c>
      <c r="C292" s="465" t="s">
        <v>926</v>
      </c>
      <c r="D292" s="465" t="s">
        <v>1078</v>
      </c>
      <c r="E292" s="465" t="s">
        <v>1079</v>
      </c>
      <c r="F292" s="468">
        <v>24</v>
      </c>
      <c r="G292" s="468">
        <v>24888</v>
      </c>
      <c r="H292" s="468">
        <v>11.988439306358382</v>
      </c>
      <c r="I292" s="468">
        <v>1037</v>
      </c>
      <c r="J292" s="468">
        <v>2</v>
      </c>
      <c r="K292" s="468">
        <v>2076</v>
      </c>
      <c r="L292" s="468">
        <v>1</v>
      </c>
      <c r="M292" s="468">
        <v>1038</v>
      </c>
      <c r="N292" s="468">
        <v>30</v>
      </c>
      <c r="O292" s="468">
        <v>31140</v>
      </c>
      <c r="P292" s="603">
        <v>15</v>
      </c>
      <c r="Q292" s="469">
        <v>1038</v>
      </c>
    </row>
    <row r="293" spans="1:17" ht="14.4" customHeight="1" x14ac:dyDescent="0.3">
      <c r="A293" s="522" t="s">
        <v>1113</v>
      </c>
      <c r="B293" s="465" t="s">
        <v>925</v>
      </c>
      <c r="C293" s="465" t="s">
        <v>926</v>
      </c>
      <c r="D293" s="465" t="s">
        <v>953</v>
      </c>
      <c r="E293" s="465" t="s">
        <v>954</v>
      </c>
      <c r="F293" s="468"/>
      <c r="G293" s="468"/>
      <c r="H293" s="468"/>
      <c r="I293" s="468"/>
      <c r="J293" s="468"/>
      <c r="K293" s="468"/>
      <c r="L293" s="468"/>
      <c r="M293" s="468"/>
      <c r="N293" s="468">
        <v>1</v>
      </c>
      <c r="O293" s="468">
        <v>190</v>
      </c>
      <c r="P293" s="603"/>
      <c r="Q293" s="469">
        <v>190</v>
      </c>
    </row>
    <row r="294" spans="1:17" ht="14.4" customHeight="1" x14ac:dyDescent="0.3">
      <c r="A294" s="522" t="s">
        <v>1113</v>
      </c>
      <c r="B294" s="465" t="s">
        <v>925</v>
      </c>
      <c r="C294" s="465" t="s">
        <v>926</v>
      </c>
      <c r="D294" s="465" t="s">
        <v>955</v>
      </c>
      <c r="E294" s="465" t="s">
        <v>956</v>
      </c>
      <c r="F294" s="468">
        <v>2</v>
      </c>
      <c r="G294" s="468">
        <v>1644</v>
      </c>
      <c r="H294" s="468">
        <v>0.99878493317132444</v>
      </c>
      <c r="I294" s="468">
        <v>822</v>
      </c>
      <c r="J294" s="468">
        <v>2</v>
      </c>
      <c r="K294" s="468">
        <v>1646</v>
      </c>
      <c r="L294" s="468">
        <v>1</v>
      </c>
      <c r="M294" s="468">
        <v>823</v>
      </c>
      <c r="N294" s="468"/>
      <c r="O294" s="468"/>
      <c r="P294" s="603"/>
      <c r="Q294" s="469"/>
    </row>
    <row r="295" spans="1:17" ht="14.4" customHeight="1" x14ac:dyDescent="0.3">
      <c r="A295" s="522" t="s">
        <v>1113</v>
      </c>
      <c r="B295" s="465" t="s">
        <v>925</v>
      </c>
      <c r="C295" s="465" t="s">
        <v>926</v>
      </c>
      <c r="D295" s="465" t="s">
        <v>959</v>
      </c>
      <c r="E295" s="465" t="s">
        <v>960</v>
      </c>
      <c r="F295" s="468">
        <v>21</v>
      </c>
      <c r="G295" s="468">
        <v>11487</v>
      </c>
      <c r="H295" s="468">
        <v>1.4945355191256831</v>
      </c>
      <c r="I295" s="468">
        <v>547</v>
      </c>
      <c r="J295" s="468">
        <v>14</v>
      </c>
      <c r="K295" s="468">
        <v>7686</v>
      </c>
      <c r="L295" s="468">
        <v>1</v>
      </c>
      <c r="M295" s="468">
        <v>549</v>
      </c>
      <c r="N295" s="468">
        <v>26</v>
      </c>
      <c r="O295" s="468">
        <v>14274</v>
      </c>
      <c r="P295" s="603">
        <v>1.8571428571428572</v>
      </c>
      <c r="Q295" s="469">
        <v>549</v>
      </c>
    </row>
    <row r="296" spans="1:17" ht="14.4" customHeight="1" x14ac:dyDescent="0.3">
      <c r="A296" s="522" t="s">
        <v>1113</v>
      </c>
      <c r="B296" s="465" t="s">
        <v>925</v>
      </c>
      <c r="C296" s="465" t="s">
        <v>926</v>
      </c>
      <c r="D296" s="465" t="s">
        <v>961</v>
      </c>
      <c r="E296" s="465" t="s">
        <v>962</v>
      </c>
      <c r="F296" s="468">
        <v>2</v>
      </c>
      <c r="G296" s="468">
        <v>1304</v>
      </c>
      <c r="H296" s="468">
        <v>1.9938837920489296</v>
      </c>
      <c r="I296" s="468">
        <v>652</v>
      </c>
      <c r="J296" s="468">
        <v>1</v>
      </c>
      <c r="K296" s="468">
        <v>654</v>
      </c>
      <c r="L296" s="468">
        <v>1</v>
      </c>
      <c r="M296" s="468">
        <v>654</v>
      </c>
      <c r="N296" s="468">
        <v>2</v>
      </c>
      <c r="O296" s="468">
        <v>1308</v>
      </c>
      <c r="P296" s="603">
        <v>2</v>
      </c>
      <c r="Q296" s="469">
        <v>654</v>
      </c>
    </row>
    <row r="297" spans="1:17" ht="14.4" customHeight="1" x14ac:dyDescent="0.3">
      <c r="A297" s="522" t="s">
        <v>1113</v>
      </c>
      <c r="B297" s="465" t="s">
        <v>925</v>
      </c>
      <c r="C297" s="465" t="s">
        <v>926</v>
      </c>
      <c r="D297" s="465" t="s">
        <v>963</v>
      </c>
      <c r="E297" s="465" t="s">
        <v>964</v>
      </c>
      <c r="F297" s="468">
        <v>2</v>
      </c>
      <c r="G297" s="468">
        <v>1304</v>
      </c>
      <c r="H297" s="468">
        <v>1.9938837920489296</v>
      </c>
      <c r="I297" s="468">
        <v>652</v>
      </c>
      <c r="J297" s="468">
        <v>1</v>
      </c>
      <c r="K297" s="468">
        <v>654</v>
      </c>
      <c r="L297" s="468">
        <v>1</v>
      </c>
      <c r="M297" s="468">
        <v>654</v>
      </c>
      <c r="N297" s="468">
        <v>2</v>
      </c>
      <c r="O297" s="468">
        <v>1308</v>
      </c>
      <c r="P297" s="603">
        <v>2</v>
      </c>
      <c r="Q297" s="469">
        <v>654</v>
      </c>
    </row>
    <row r="298" spans="1:17" ht="14.4" customHeight="1" x14ac:dyDescent="0.3">
      <c r="A298" s="522" t="s">
        <v>1113</v>
      </c>
      <c r="B298" s="465" t="s">
        <v>925</v>
      </c>
      <c r="C298" s="465" t="s">
        <v>926</v>
      </c>
      <c r="D298" s="465" t="s">
        <v>965</v>
      </c>
      <c r="E298" s="465" t="s">
        <v>966</v>
      </c>
      <c r="F298" s="468">
        <v>7</v>
      </c>
      <c r="G298" s="468">
        <v>4732</v>
      </c>
      <c r="H298" s="468">
        <v>2.3264503441494591</v>
      </c>
      <c r="I298" s="468">
        <v>676</v>
      </c>
      <c r="J298" s="468">
        <v>3</v>
      </c>
      <c r="K298" s="468">
        <v>2034</v>
      </c>
      <c r="L298" s="468">
        <v>1</v>
      </c>
      <c r="M298" s="468">
        <v>678</v>
      </c>
      <c r="N298" s="468">
        <v>8</v>
      </c>
      <c r="O298" s="468">
        <v>5424</v>
      </c>
      <c r="P298" s="603">
        <v>2.6666666666666665</v>
      </c>
      <c r="Q298" s="469">
        <v>678</v>
      </c>
    </row>
    <row r="299" spans="1:17" ht="14.4" customHeight="1" x14ac:dyDescent="0.3">
      <c r="A299" s="522" t="s">
        <v>1113</v>
      </c>
      <c r="B299" s="465" t="s">
        <v>925</v>
      </c>
      <c r="C299" s="465" t="s">
        <v>926</v>
      </c>
      <c r="D299" s="465" t="s">
        <v>967</v>
      </c>
      <c r="E299" s="465" t="s">
        <v>968</v>
      </c>
      <c r="F299" s="468">
        <v>3</v>
      </c>
      <c r="G299" s="468">
        <v>1533</v>
      </c>
      <c r="H299" s="468">
        <v>0.42690058479532161</v>
      </c>
      <c r="I299" s="468">
        <v>511</v>
      </c>
      <c r="J299" s="468">
        <v>7</v>
      </c>
      <c r="K299" s="468">
        <v>3591</v>
      </c>
      <c r="L299" s="468">
        <v>1</v>
      </c>
      <c r="M299" s="468">
        <v>513</v>
      </c>
      <c r="N299" s="468">
        <v>9</v>
      </c>
      <c r="O299" s="468">
        <v>4617</v>
      </c>
      <c r="P299" s="603">
        <v>1.2857142857142858</v>
      </c>
      <c r="Q299" s="469">
        <v>513</v>
      </c>
    </row>
    <row r="300" spans="1:17" ht="14.4" customHeight="1" x14ac:dyDescent="0.3">
      <c r="A300" s="522" t="s">
        <v>1113</v>
      </c>
      <c r="B300" s="465" t="s">
        <v>925</v>
      </c>
      <c r="C300" s="465" t="s">
        <v>926</v>
      </c>
      <c r="D300" s="465" t="s">
        <v>969</v>
      </c>
      <c r="E300" s="465" t="s">
        <v>970</v>
      </c>
      <c r="F300" s="468">
        <v>3</v>
      </c>
      <c r="G300" s="468">
        <v>1263</v>
      </c>
      <c r="H300" s="468">
        <v>0.42654508611955422</v>
      </c>
      <c r="I300" s="468">
        <v>421</v>
      </c>
      <c r="J300" s="468">
        <v>7</v>
      </c>
      <c r="K300" s="468">
        <v>2961</v>
      </c>
      <c r="L300" s="468">
        <v>1</v>
      </c>
      <c r="M300" s="468">
        <v>423</v>
      </c>
      <c r="N300" s="468">
        <v>9</v>
      </c>
      <c r="O300" s="468">
        <v>3807</v>
      </c>
      <c r="P300" s="603">
        <v>1.2857142857142858</v>
      </c>
      <c r="Q300" s="469">
        <v>423</v>
      </c>
    </row>
    <row r="301" spans="1:17" ht="14.4" customHeight="1" x14ac:dyDescent="0.3">
      <c r="A301" s="522" t="s">
        <v>1113</v>
      </c>
      <c r="B301" s="465" t="s">
        <v>925</v>
      </c>
      <c r="C301" s="465" t="s">
        <v>926</v>
      </c>
      <c r="D301" s="465" t="s">
        <v>971</v>
      </c>
      <c r="E301" s="465" t="s">
        <v>972</v>
      </c>
      <c r="F301" s="468">
        <v>21</v>
      </c>
      <c r="G301" s="468">
        <v>7287</v>
      </c>
      <c r="H301" s="468">
        <v>1.4914040114613181</v>
      </c>
      <c r="I301" s="468">
        <v>347</v>
      </c>
      <c r="J301" s="468">
        <v>14</v>
      </c>
      <c r="K301" s="468">
        <v>4886</v>
      </c>
      <c r="L301" s="468">
        <v>1</v>
      </c>
      <c r="M301" s="468">
        <v>349</v>
      </c>
      <c r="N301" s="468">
        <v>26</v>
      </c>
      <c r="O301" s="468">
        <v>9074</v>
      </c>
      <c r="P301" s="603">
        <v>1.8571428571428572</v>
      </c>
      <c r="Q301" s="469">
        <v>349</v>
      </c>
    </row>
    <row r="302" spans="1:17" ht="14.4" customHeight="1" x14ac:dyDescent="0.3">
      <c r="A302" s="522" t="s">
        <v>1113</v>
      </c>
      <c r="B302" s="465" t="s">
        <v>925</v>
      </c>
      <c r="C302" s="465" t="s">
        <v>926</v>
      </c>
      <c r="D302" s="465" t="s">
        <v>973</v>
      </c>
      <c r="E302" s="465" t="s">
        <v>974</v>
      </c>
      <c r="F302" s="468">
        <v>12</v>
      </c>
      <c r="G302" s="468">
        <v>2628</v>
      </c>
      <c r="H302" s="468">
        <v>5.9457013574660635</v>
      </c>
      <c r="I302" s="468">
        <v>219</v>
      </c>
      <c r="J302" s="468">
        <v>2</v>
      </c>
      <c r="K302" s="468">
        <v>442</v>
      </c>
      <c r="L302" s="468">
        <v>1</v>
      </c>
      <c r="M302" s="468">
        <v>221</v>
      </c>
      <c r="N302" s="468">
        <v>16</v>
      </c>
      <c r="O302" s="468">
        <v>3536</v>
      </c>
      <c r="P302" s="603">
        <v>8</v>
      </c>
      <c r="Q302" s="469">
        <v>221</v>
      </c>
    </row>
    <row r="303" spans="1:17" ht="14.4" customHeight="1" x14ac:dyDescent="0.3">
      <c r="A303" s="522" t="s">
        <v>1113</v>
      </c>
      <c r="B303" s="465" t="s">
        <v>925</v>
      </c>
      <c r="C303" s="465" t="s">
        <v>926</v>
      </c>
      <c r="D303" s="465" t="s">
        <v>975</v>
      </c>
      <c r="E303" s="465" t="s">
        <v>976</v>
      </c>
      <c r="F303" s="468">
        <v>104</v>
      </c>
      <c r="G303" s="468">
        <v>52312</v>
      </c>
      <c r="H303" s="468">
        <v>1.9803149606299213</v>
      </c>
      <c r="I303" s="468">
        <v>503</v>
      </c>
      <c r="J303" s="468">
        <v>52</v>
      </c>
      <c r="K303" s="468">
        <v>26416</v>
      </c>
      <c r="L303" s="468">
        <v>1</v>
      </c>
      <c r="M303" s="468">
        <v>508</v>
      </c>
      <c r="N303" s="468">
        <v>102</v>
      </c>
      <c r="O303" s="468">
        <v>51816</v>
      </c>
      <c r="P303" s="603">
        <v>1.9615384615384615</v>
      </c>
      <c r="Q303" s="469">
        <v>508</v>
      </c>
    </row>
    <row r="304" spans="1:17" ht="14.4" customHeight="1" x14ac:dyDescent="0.3">
      <c r="A304" s="522" t="s">
        <v>1113</v>
      </c>
      <c r="B304" s="465" t="s">
        <v>925</v>
      </c>
      <c r="C304" s="465" t="s">
        <v>926</v>
      </c>
      <c r="D304" s="465" t="s">
        <v>979</v>
      </c>
      <c r="E304" s="465" t="s">
        <v>980</v>
      </c>
      <c r="F304" s="468"/>
      <c r="G304" s="468"/>
      <c r="H304" s="468"/>
      <c r="I304" s="468"/>
      <c r="J304" s="468"/>
      <c r="K304" s="468"/>
      <c r="L304" s="468"/>
      <c r="M304" s="468"/>
      <c r="N304" s="468">
        <v>1</v>
      </c>
      <c r="O304" s="468">
        <v>239</v>
      </c>
      <c r="P304" s="603"/>
      <c r="Q304" s="469">
        <v>239</v>
      </c>
    </row>
    <row r="305" spans="1:17" ht="14.4" customHeight="1" x14ac:dyDescent="0.3">
      <c r="A305" s="522" t="s">
        <v>1113</v>
      </c>
      <c r="B305" s="465" t="s">
        <v>925</v>
      </c>
      <c r="C305" s="465" t="s">
        <v>926</v>
      </c>
      <c r="D305" s="465" t="s">
        <v>981</v>
      </c>
      <c r="E305" s="465" t="s">
        <v>982</v>
      </c>
      <c r="F305" s="468">
        <v>15</v>
      </c>
      <c r="G305" s="468">
        <v>1665</v>
      </c>
      <c r="H305" s="468">
        <v>1.6666666666666667</v>
      </c>
      <c r="I305" s="468">
        <v>111</v>
      </c>
      <c r="J305" s="468">
        <v>9</v>
      </c>
      <c r="K305" s="468">
        <v>999</v>
      </c>
      <c r="L305" s="468">
        <v>1</v>
      </c>
      <c r="M305" s="468">
        <v>111</v>
      </c>
      <c r="N305" s="468">
        <v>17</v>
      </c>
      <c r="O305" s="468">
        <v>1887</v>
      </c>
      <c r="P305" s="603">
        <v>1.8888888888888888</v>
      </c>
      <c r="Q305" s="469">
        <v>111</v>
      </c>
    </row>
    <row r="306" spans="1:17" ht="14.4" customHeight="1" x14ac:dyDescent="0.3">
      <c r="A306" s="522" t="s">
        <v>1113</v>
      </c>
      <c r="B306" s="465" t="s">
        <v>925</v>
      </c>
      <c r="C306" s="465" t="s">
        <v>926</v>
      </c>
      <c r="D306" s="465" t="s">
        <v>983</v>
      </c>
      <c r="E306" s="465" t="s">
        <v>984</v>
      </c>
      <c r="F306" s="468"/>
      <c r="G306" s="468"/>
      <c r="H306" s="468"/>
      <c r="I306" s="468"/>
      <c r="J306" s="468"/>
      <c r="K306" s="468"/>
      <c r="L306" s="468"/>
      <c r="M306" s="468"/>
      <c r="N306" s="468">
        <v>2</v>
      </c>
      <c r="O306" s="468">
        <v>662</v>
      </c>
      <c r="P306" s="603"/>
      <c r="Q306" s="469">
        <v>331</v>
      </c>
    </row>
    <row r="307" spans="1:17" ht="14.4" customHeight="1" x14ac:dyDescent="0.3">
      <c r="A307" s="522" t="s">
        <v>1113</v>
      </c>
      <c r="B307" s="465" t="s">
        <v>925</v>
      </c>
      <c r="C307" s="465" t="s">
        <v>926</v>
      </c>
      <c r="D307" s="465" t="s">
        <v>985</v>
      </c>
      <c r="E307" s="465" t="s">
        <v>986</v>
      </c>
      <c r="F307" s="468">
        <v>9</v>
      </c>
      <c r="G307" s="468">
        <v>2799</v>
      </c>
      <c r="H307" s="468">
        <v>8.9711538461538467</v>
      </c>
      <c r="I307" s="468">
        <v>311</v>
      </c>
      <c r="J307" s="468">
        <v>1</v>
      </c>
      <c r="K307" s="468">
        <v>312</v>
      </c>
      <c r="L307" s="468">
        <v>1</v>
      </c>
      <c r="M307" s="468">
        <v>312</v>
      </c>
      <c r="N307" s="468">
        <v>2</v>
      </c>
      <c r="O307" s="468">
        <v>624</v>
      </c>
      <c r="P307" s="603">
        <v>2</v>
      </c>
      <c r="Q307" s="469">
        <v>312</v>
      </c>
    </row>
    <row r="308" spans="1:17" ht="14.4" customHeight="1" x14ac:dyDescent="0.3">
      <c r="A308" s="522" t="s">
        <v>1113</v>
      </c>
      <c r="B308" s="465" t="s">
        <v>925</v>
      </c>
      <c r="C308" s="465" t="s">
        <v>926</v>
      </c>
      <c r="D308" s="465" t="s">
        <v>987</v>
      </c>
      <c r="E308" s="465" t="s">
        <v>988</v>
      </c>
      <c r="F308" s="468"/>
      <c r="G308" s="468"/>
      <c r="H308" s="468"/>
      <c r="I308" s="468"/>
      <c r="J308" s="468"/>
      <c r="K308" s="468"/>
      <c r="L308" s="468"/>
      <c r="M308" s="468"/>
      <c r="N308" s="468">
        <v>1</v>
      </c>
      <c r="O308" s="468">
        <v>23</v>
      </c>
      <c r="P308" s="603"/>
      <c r="Q308" s="469">
        <v>23</v>
      </c>
    </row>
    <row r="309" spans="1:17" ht="14.4" customHeight="1" x14ac:dyDescent="0.3">
      <c r="A309" s="522" t="s">
        <v>1113</v>
      </c>
      <c r="B309" s="465" t="s">
        <v>925</v>
      </c>
      <c r="C309" s="465" t="s">
        <v>926</v>
      </c>
      <c r="D309" s="465" t="s">
        <v>989</v>
      </c>
      <c r="E309" s="465" t="s">
        <v>990</v>
      </c>
      <c r="F309" s="468">
        <v>2</v>
      </c>
      <c r="G309" s="468">
        <v>32</v>
      </c>
      <c r="H309" s="468">
        <v>1.8823529411764706</v>
      </c>
      <c r="I309" s="468">
        <v>16</v>
      </c>
      <c r="J309" s="468">
        <v>1</v>
      </c>
      <c r="K309" s="468">
        <v>17</v>
      </c>
      <c r="L309" s="468">
        <v>1</v>
      </c>
      <c r="M309" s="468">
        <v>17</v>
      </c>
      <c r="N309" s="468">
        <v>6</v>
      </c>
      <c r="O309" s="468">
        <v>102</v>
      </c>
      <c r="P309" s="603">
        <v>6</v>
      </c>
      <c r="Q309" s="469">
        <v>17</v>
      </c>
    </row>
    <row r="310" spans="1:17" ht="14.4" customHeight="1" x14ac:dyDescent="0.3">
      <c r="A310" s="522" t="s">
        <v>1113</v>
      </c>
      <c r="B310" s="465" t="s">
        <v>925</v>
      </c>
      <c r="C310" s="465" t="s">
        <v>926</v>
      </c>
      <c r="D310" s="465" t="s">
        <v>993</v>
      </c>
      <c r="E310" s="465" t="s">
        <v>994</v>
      </c>
      <c r="F310" s="468">
        <v>183</v>
      </c>
      <c r="G310" s="468">
        <v>63867</v>
      </c>
      <c r="H310" s="468">
        <v>2.2528042328042326</v>
      </c>
      <c r="I310" s="468">
        <v>349</v>
      </c>
      <c r="J310" s="468">
        <v>81</v>
      </c>
      <c r="K310" s="468">
        <v>28350</v>
      </c>
      <c r="L310" s="468">
        <v>1</v>
      </c>
      <c r="M310" s="468">
        <v>350</v>
      </c>
      <c r="N310" s="468">
        <v>208</v>
      </c>
      <c r="O310" s="468">
        <v>72800</v>
      </c>
      <c r="P310" s="603">
        <v>2.5679012345679011</v>
      </c>
      <c r="Q310" s="469">
        <v>350</v>
      </c>
    </row>
    <row r="311" spans="1:17" ht="14.4" customHeight="1" x14ac:dyDescent="0.3">
      <c r="A311" s="522" t="s">
        <v>1113</v>
      </c>
      <c r="B311" s="465" t="s">
        <v>925</v>
      </c>
      <c r="C311" s="465" t="s">
        <v>926</v>
      </c>
      <c r="D311" s="465" t="s">
        <v>997</v>
      </c>
      <c r="E311" s="465" t="s">
        <v>998</v>
      </c>
      <c r="F311" s="468"/>
      <c r="G311" s="468"/>
      <c r="H311" s="468"/>
      <c r="I311" s="468"/>
      <c r="J311" s="468"/>
      <c r="K311" s="468"/>
      <c r="L311" s="468"/>
      <c r="M311" s="468"/>
      <c r="N311" s="468">
        <v>3</v>
      </c>
      <c r="O311" s="468">
        <v>447</v>
      </c>
      <c r="P311" s="603"/>
      <c r="Q311" s="469">
        <v>149</v>
      </c>
    </row>
    <row r="312" spans="1:17" ht="14.4" customHeight="1" x14ac:dyDescent="0.3">
      <c r="A312" s="522" t="s">
        <v>1113</v>
      </c>
      <c r="B312" s="465" t="s">
        <v>925</v>
      </c>
      <c r="C312" s="465" t="s">
        <v>926</v>
      </c>
      <c r="D312" s="465" t="s">
        <v>1001</v>
      </c>
      <c r="E312" s="465" t="s">
        <v>1002</v>
      </c>
      <c r="F312" s="468"/>
      <c r="G312" s="468"/>
      <c r="H312" s="468"/>
      <c r="I312" s="468"/>
      <c r="J312" s="468"/>
      <c r="K312" s="468"/>
      <c r="L312" s="468"/>
      <c r="M312" s="468"/>
      <c r="N312" s="468">
        <v>1</v>
      </c>
      <c r="O312" s="468">
        <v>295</v>
      </c>
      <c r="P312" s="603"/>
      <c r="Q312" s="469">
        <v>295</v>
      </c>
    </row>
    <row r="313" spans="1:17" ht="14.4" customHeight="1" x14ac:dyDescent="0.3">
      <c r="A313" s="522" t="s">
        <v>1113</v>
      </c>
      <c r="B313" s="465" t="s">
        <v>925</v>
      </c>
      <c r="C313" s="465" t="s">
        <v>926</v>
      </c>
      <c r="D313" s="465" t="s">
        <v>1003</v>
      </c>
      <c r="E313" s="465" t="s">
        <v>1004</v>
      </c>
      <c r="F313" s="468">
        <v>20</v>
      </c>
      <c r="G313" s="468">
        <v>4140</v>
      </c>
      <c r="H313" s="468">
        <v>1.4149008885850991</v>
      </c>
      <c r="I313" s="468">
        <v>207</v>
      </c>
      <c r="J313" s="468">
        <v>14</v>
      </c>
      <c r="K313" s="468">
        <v>2926</v>
      </c>
      <c r="L313" s="468">
        <v>1</v>
      </c>
      <c r="M313" s="468">
        <v>209</v>
      </c>
      <c r="N313" s="468">
        <v>29</v>
      </c>
      <c r="O313" s="468">
        <v>6061</v>
      </c>
      <c r="P313" s="603">
        <v>2.0714285714285716</v>
      </c>
      <c r="Q313" s="469">
        <v>209</v>
      </c>
    </row>
    <row r="314" spans="1:17" ht="14.4" customHeight="1" x14ac:dyDescent="0.3">
      <c r="A314" s="522" t="s">
        <v>1113</v>
      </c>
      <c r="B314" s="465" t="s">
        <v>925</v>
      </c>
      <c r="C314" s="465" t="s">
        <v>926</v>
      </c>
      <c r="D314" s="465" t="s">
        <v>1005</v>
      </c>
      <c r="E314" s="465" t="s">
        <v>1006</v>
      </c>
      <c r="F314" s="468">
        <v>18</v>
      </c>
      <c r="G314" s="468">
        <v>702</v>
      </c>
      <c r="H314" s="468">
        <v>1.2535714285714286</v>
      </c>
      <c r="I314" s="468">
        <v>39</v>
      </c>
      <c r="J314" s="468">
        <v>14</v>
      </c>
      <c r="K314" s="468">
        <v>560</v>
      </c>
      <c r="L314" s="468">
        <v>1</v>
      </c>
      <c r="M314" s="468">
        <v>40</v>
      </c>
      <c r="N314" s="468">
        <v>27</v>
      </c>
      <c r="O314" s="468">
        <v>1080</v>
      </c>
      <c r="P314" s="603">
        <v>1.9285714285714286</v>
      </c>
      <c r="Q314" s="469">
        <v>40</v>
      </c>
    </row>
    <row r="315" spans="1:17" ht="14.4" customHeight="1" x14ac:dyDescent="0.3">
      <c r="A315" s="522" t="s">
        <v>1113</v>
      </c>
      <c r="B315" s="465" t="s">
        <v>925</v>
      </c>
      <c r="C315" s="465" t="s">
        <v>926</v>
      </c>
      <c r="D315" s="465" t="s">
        <v>1009</v>
      </c>
      <c r="E315" s="465" t="s">
        <v>1010</v>
      </c>
      <c r="F315" s="468">
        <v>18</v>
      </c>
      <c r="G315" s="468">
        <v>3060</v>
      </c>
      <c r="H315" s="468">
        <v>1.2781954887218046</v>
      </c>
      <c r="I315" s="468">
        <v>170</v>
      </c>
      <c r="J315" s="468">
        <v>14</v>
      </c>
      <c r="K315" s="468">
        <v>2394</v>
      </c>
      <c r="L315" s="468">
        <v>1</v>
      </c>
      <c r="M315" s="468">
        <v>171</v>
      </c>
      <c r="N315" s="468">
        <v>35</v>
      </c>
      <c r="O315" s="468">
        <v>5985</v>
      </c>
      <c r="P315" s="603">
        <v>2.5</v>
      </c>
      <c r="Q315" s="469">
        <v>171</v>
      </c>
    </row>
    <row r="316" spans="1:17" ht="14.4" customHeight="1" x14ac:dyDescent="0.3">
      <c r="A316" s="522" t="s">
        <v>1113</v>
      </c>
      <c r="B316" s="465" t="s">
        <v>925</v>
      </c>
      <c r="C316" s="465" t="s">
        <v>926</v>
      </c>
      <c r="D316" s="465" t="s">
        <v>1011</v>
      </c>
      <c r="E316" s="465" t="s">
        <v>1012</v>
      </c>
      <c r="F316" s="468"/>
      <c r="G316" s="468"/>
      <c r="H316" s="468"/>
      <c r="I316" s="468"/>
      <c r="J316" s="468"/>
      <c r="K316" s="468"/>
      <c r="L316" s="468"/>
      <c r="M316" s="468"/>
      <c r="N316" s="468">
        <v>1</v>
      </c>
      <c r="O316" s="468">
        <v>327</v>
      </c>
      <c r="P316" s="603"/>
      <c r="Q316" s="469">
        <v>327</v>
      </c>
    </row>
    <row r="317" spans="1:17" ht="14.4" customHeight="1" x14ac:dyDescent="0.3">
      <c r="A317" s="522" t="s">
        <v>1113</v>
      </c>
      <c r="B317" s="465" t="s">
        <v>925</v>
      </c>
      <c r="C317" s="465" t="s">
        <v>926</v>
      </c>
      <c r="D317" s="465" t="s">
        <v>1013</v>
      </c>
      <c r="E317" s="465" t="s">
        <v>1014</v>
      </c>
      <c r="F317" s="468">
        <v>3</v>
      </c>
      <c r="G317" s="468">
        <v>2064</v>
      </c>
      <c r="H317" s="468">
        <v>2.991304347826087</v>
      </c>
      <c r="I317" s="468">
        <v>688</v>
      </c>
      <c r="J317" s="468">
        <v>1</v>
      </c>
      <c r="K317" s="468">
        <v>690</v>
      </c>
      <c r="L317" s="468">
        <v>1</v>
      </c>
      <c r="M317" s="468">
        <v>690</v>
      </c>
      <c r="N317" s="468">
        <v>3</v>
      </c>
      <c r="O317" s="468">
        <v>2070</v>
      </c>
      <c r="P317" s="603">
        <v>3</v>
      </c>
      <c r="Q317" s="469">
        <v>690</v>
      </c>
    </row>
    <row r="318" spans="1:17" ht="14.4" customHeight="1" x14ac:dyDescent="0.3">
      <c r="A318" s="522" t="s">
        <v>1113</v>
      </c>
      <c r="B318" s="465" t="s">
        <v>925</v>
      </c>
      <c r="C318" s="465" t="s">
        <v>926</v>
      </c>
      <c r="D318" s="465" t="s">
        <v>1015</v>
      </c>
      <c r="E318" s="465" t="s">
        <v>1016</v>
      </c>
      <c r="F318" s="468">
        <v>26</v>
      </c>
      <c r="G318" s="468">
        <v>9048</v>
      </c>
      <c r="H318" s="468">
        <v>1.6157142857142857</v>
      </c>
      <c r="I318" s="468">
        <v>348</v>
      </c>
      <c r="J318" s="468">
        <v>16</v>
      </c>
      <c r="K318" s="468">
        <v>5600</v>
      </c>
      <c r="L318" s="468">
        <v>1</v>
      </c>
      <c r="M318" s="468">
        <v>350</v>
      </c>
      <c r="N318" s="468">
        <v>36</v>
      </c>
      <c r="O318" s="468">
        <v>12600</v>
      </c>
      <c r="P318" s="603">
        <v>2.25</v>
      </c>
      <c r="Q318" s="469">
        <v>350</v>
      </c>
    </row>
    <row r="319" spans="1:17" ht="14.4" customHeight="1" x14ac:dyDescent="0.3">
      <c r="A319" s="522" t="s">
        <v>1113</v>
      </c>
      <c r="B319" s="465" t="s">
        <v>925</v>
      </c>
      <c r="C319" s="465" t="s">
        <v>926</v>
      </c>
      <c r="D319" s="465" t="s">
        <v>1017</v>
      </c>
      <c r="E319" s="465" t="s">
        <v>1018</v>
      </c>
      <c r="F319" s="468">
        <v>18</v>
      </c>
      <c r="G319" s="468">
        <v>3114</v>
      </c>
      <c r="H319" s="468">
        <v>1.2783251231527093</v>
      </c>
      <c r="I319" s="468">
        <v>173</v>
      </c>
      <c r="J319" s="468">
        <v>14</v>
      </c>
      <c r="K319" s="468">
        <v>2436</v>
      </c>
      <c r="L319" s="468">
        <v>1</v>
      </c>
      <c r="M319" s="468">
        <v>174</v>
      </c>
      <c r="N319" s="468">
        <v>34</v>
      </c>
      <c r="O319" s="468">
        <v>5916</v>
      </c>
      <c r="P319" s="603">
        <v>2.4285714285714284</v>
      </c>
      <c r="Q319" s="469">
        <v>174</v>
      </c>
    </row>
    <row r="320" spans="1:17" ht="14.4" customHeight="1" x14ac:dyDescent="0.3">
      <c r="A320" s="522" t="s">
        <v>1113</v>
      </c>
      <c r="B320" s="465" t="s">
        <v>925</v>
      </c>
      <c r="C320" s="465" t="s">
        <v>926</v>
      </c>
      <c r="D320" s="465" t="s">
        <v>1019</v>
      </c>
      <c r="E320" s="465" t="s">
        <v>1020</v>
      </c>
      <c r="F320" s="468"/>
      <c r="G320" s="468"/>
      <c r="H320" s="468"/>
      <c r="I320" s="468"/>
      <c r="J320" s="468"/>
      <c r="K320" s="468"/>
      <c r="L320" s="468"/>
      <c r="M320" s="468"/>
      <c r="N320" s="468">
        <v>8</v>
      </c>
      <c r="O320" s="468">
        <v>3208</v>
      </c>
      <c r="P320" s="603"/>
      <c r="Q320" s="469">
        <v>401</v>
      </c>
    </row>
    <row r="321" spans="1:17" ht="14.4" customHeight="1" x14ac:dyDescent="0.3">
      <c r="A321" s="522" t="s">
        <v>1113</v>
      </c>
      <c r="B321" s="465" t="s">
        <v>925</v>
      </c>
      <c r="C321" s="465" t="s">
        <v>926</v>
      </c>
      <c r="D321" s="465" t="s">
        <v>1021</v>
      </c>
      <c r="E321" s="465" t="s">
        <v>1022</v>
      </c>
      <c r="F321" s="468">
        <v>2</v>
      </c>
      <c r="G321" s="468">
        <v>1304</v>
      </c>
      <c r="H321" s="468">
        <v>1.9938837920489296</v>
      </c>
      <c r="I321" s="468">
        <v>652</v>
      </c>
      <c r="J321" s="468">
        <v>1</v>
      </c>
      <c r="K321" s="468">
        <v>654</v>
      </c>
      <c r="L321" s="468">
        <v>1</v>
      </c>
      <c r="M321" s="468">
        <v>654</v>
      </c>
      <c r="N321" s="468">
        <v>2</v>
      </c>
      <c r="O321" s="468">
        <v>1308</v>
      </c>
      <c r="P321" s="603">
        <v>2</v>
      </c>
      <c r="Q321" s="469">
        <v>654</v>
      </c>
    </row>
    <row r="322" spans="1:17" ht="14.4" customHeight="1" x14ac:dyDescent="0.3">
      <c r="A322" s="522" t="s">
        <v>1113</v>
      </c>
      <c r="B322" s="465" t="s">
        <v>925</v>
      </c>
      <c r="C322" s="465" t="s">
        <v>926</v>
      </c>
      <c r="D322" s="465" t="s">
        <v>1023</v>
      </c>
      <c r="E322" s="465" t="s">
        <v>1024</v>
      </c>
      <c r="F322" s="468">
        <v>2</v>
      </c>
      <c r="G322" s="468">
        <v>1304</v>
      </c>
      <c r="H322" s="468">
        <v>1.9938837920489296</v>
      </c>
      <c r="I322" s="468">
        <v>652</v>
      </c>
      <c r="J322" s="468">
        <v>1</v>
      </c>
      <c r="K322" s="468">
        <v>654</v>
      </c>
      <c r="L322" s="468">
        <v>1</v>
      </c>
      <c r="M322" s="468">
        <v>654</v>
      </c>
      <c r="N322" s="468">
        <v>2</v>
      </c>
      <c r="O322" s="468">
        <v>1308</v>
      </c>
      <c r="P322" s="603">
        <v>2</v>
      </c>
      <c r="Q322" s="469">
        <v>654</v>
      </c>
    </row>
    <row r="323" spans="1:17" ht="14.4" customHeight="1" x14ac:dyDescent="0.3">
      <c r="A323" s="522" t="s">
        <v>1113</v>
      </c>
      <c r="B323" s="465" t="s">
        <v>925</v>
      </c>
      <c r="C323" s="465" t="s">
        <v>926</v>
      </c>
      <c r="D323" s="465" t="s">
        <v>1027</v>
      </c>
      <c r="E323" s="465" t="s">
        <v>1028</v>
      </c>
      <c r="F323" s="468">
        <v>1</v>
      </c>
      <c r="G323" s="468">
        <v>692</v>
      </c>
      <c r="H323" s="468"/>
      <c r="I323" s="468">
        <v>692</v>
      </c>
      <c r="J323" s="468"/>
      <c r="K323" s="468"/>
      <c r="L323" s="468"/>
      <c r="M323" s="468"/>
      <c r="N323" s="468">
        <v>1</v>
      </c>
      <c r="O323" s="468">
        <v>694</v>
      </c>
      <c r="P323" s="603"/>
      <c r="Q323" s="469">
        <v>694</v>
      </c>
    </row>
    <row r="324" spans="1:17" ht="14.4" customHeight="1" x14ac:dyDescent="0.3">
      <c r="A324" s="522" t="s">
        <v>1113</v>
      </c>
      <c r="B324" s="465" t="s">
        <v>925</v>
      </c>
      <c r="C324" s="465" t="s">
        <v>926</v>
      </c>
      <c r="D324" s="465" t="s">
        <v>1029</v>
      </c>
      <c r="E324" s="465" t="s">
        <v>1030</v>
      </c>
      <c r="F324" s="468">
        <v>7</v>
      </c>
      <c r="G324" s="468">
        <v>4732</v>
      </c>
      <c r="H324" s="468">
        <v>2.3264503441494591</v>
      </c>
      <c r="I324" s="468">
        <v>676</v>
      </c>
      <c r="J324" s="468">
        <v>3</v>
      </c>
      <c r="K324" s="468">
        <v>2034</v>
      </c>
      <c r="L324" s="468">
        <v>1</v>
      </c>
      <c r="M324" s="468">
        <v>678</v>
      </c>
      <c r="N324" s="468">
        <v>8</v>
      </c>
      <c r="O324" s="468">
        <v>5424</v>
      </c>
      <c r="P324" s="603">
        <v>2.6666666666666665</v>
      </c>
      <c r="Q324" s="469">
        <v>678</v>
      </c>
    </row>
    <row r="325" spans="1:17" ht="14.4" customHeight="1" x14ac:dyDescent="0.3">
      <c r="A325" s="522" t="s">
        <v>1113</v>
      </c>
      <c r="B325" s="465" t="s">
        <v>925</v>
      </c>
      <c r="C325" s="465" t="s">
        <v>926</v>
      </c>
      <c r="D325" s="465" t="s">
        <v>1031</v>
      </c>
      <c r="E325" s="465" t="s">
        <v>1032</v>
      </c>
      <c r="F325" s="468">
        <v>8</v>
      </c>
      <c r="G325" s="468">
        <v>3800</v>
      </c>
      <c r="H325" s="468">
        <v>3.9832285115303985</v>
      </c>
      <c r="I325" s="468">
        <v>475</v>
      </c>
      <c r="J325" s="468">
        <v>2</v>
      </c>
      <c r="K325" s="468">
        <v>954</v>
      </c>
      <c r="L325" s="468">
        <v>1</v>
      </c>
      <c r="M325" s="468">
        <v>477</v>
      </c>
      <c r="N325" s="468">
        <v>3</v>
      </c>
      <c r="O325" s="468">
        <v>1431</v>
      </c>
      <c r="P325" s="603">
        <v>1.5</v>
      </c>
      <c r="Q325" s="469">
        <v>477</v>
      </c>
    </row>
    <row r="326" spans="1:17" ht="14.4" customHeight="1" x14ac:dyDescent="0.3">
      <c r="A326" s="522" t="s">
        <v>1113</v>
      </c>
      <c r="B326" s="465" t="s">
        <v>925</v>
      </c>
      <c r="C326" s="465" t="s">
        <v>926</v>
      </c>
      <c r="D326" s="465" t="s">
        <v>1033</v>
      </c>
      <c r="E326" s="465" t="s">
        <v>1034</v>
      </c>
      <c r="F326" s="468">
        <v>3</v>
      </c>
      <c r="G326" s="468">
        <v>867</v>
      </c>
      <c r="H326" s="468">
        <v>0.42562592047128128</v>
      </c>
      <c r="I326" s="468">
        <v>289</v>
      </c>
      <c r="J326" s="468">
        <v>7</v>
      </c>
      <c r="K326" s="468">
        <v>2037</v>
      </c>
      <c r="L326" s="468">
        <v>1</v>
      </c>
      <c r="M326" s="468">
        <v>291</v>
      </c>
      <c r="N326" s="468">
        <v>9</v>
      </c>
      <c r="O326" s="468">
        <v>2619</v>
      </c>
      <c r="P326" s="603">
        <v>1.2857142857142858</v>
      </c>
      <c r="Q326" s="469">
        <v>291</v>
      </c>
    </row>
    <row r="327" spans="1:17" ht="14.4" customHeight="1" x14ac:dyDescent="0.3">
      <c r="A327" s="522" t="s">
        <v>1113</v>
      </c>
      <c r="B327" s="465" t="s">
        <v>925</v>
      </c>
      <c r="C327" s="465" t="s">
        <v>926</v>
      </c>
      <c r="D327" s="465" t="s">
        <v>1035</v>
      </c>
      <c r="E327" s="465" t="s">
        <v>1036</v>
      </c>
      <c r="F327" s="468"/>
      <c r="G327" s="468"/>
      <c r="H327" s="468"/>
      <c r="I327" s="468"/>
      <c r="J327" s="468"/>
      <c r="K327" s="468"/>
      <c r="L327" s="468"/>
      <c r="M327" s="468"/>
      <c r="N327" s="468">
        <v>2</v>
      </c>
      <c r="O327" s="468">
        <v>1628</v>
      </c>
      <c r="P327" s="603"/>
      <c r="Q327" s="469">
        <v>814</v>
      </c>
    </row>
    <row r="328" spans="1:17" ht="14.4" customHeight="1" x14ac:dyDescent="0.3">
      <c r="A328" s="522" t="s">
        <v>1113</v>
      </c>
      <c r="B328" s="465" t="s">
        <v>925</v>
      </c>
      <c r="C328" s="465" t="s">
        <v>926</v>
      </c>
      <c r="D328" s="465" t="s">
        <v>1039</v>
      </c>
      <c r="E328" s="465" t="s">
        <v>1040</v>
      </c>
      <c r="F328" s="468">
        <v>17</v>
      </c>
      <c r="G328" s="468">
        <v>2839</v>
      </c>
      <c r="H328" s="468">
        <v>1.2070578231292517</v>
      </c>
      <c r="I328" s="468">
        <v>167</v>
      </c>
      <c r="J328" s="468">
        <v>14</v>
      </c>
      <c r="K328" s="468">
        <v>2352</v>
      </c>
      <c r="L328" s="468">
        <v>1</v>
      </c>
      <c r="M328" s="468">
        <v>168</v>
      </c>
      <c r="N328" s="468">
        <v>28</v>
      </c>
      <c r="O328" s="468">
        <v>4704</v>
      </c>
      <c r="P328" s="603">
        <v>2</v>
      </c>
      <c r="Q328" s="469">
        <v>168</v>
      </c>
    </row>
    <row r="329" spans="1:17" ht="14.4" customHeight="1" x14ac:dyDescent="0.3">
      <c r="A329" s="522" t="s">
        <v>1113</v>
      </c>
      <c r="B329" s="465" t="s">
        <v>925</v>
      </c>
      <c r="C329" s="465" t="s">
        <v>926</v>
      </c>
      <c r="D329" s="465" t="s">
        <v>1043</v>
      </c>
      <c r="E329" s="465" t="s">
        <v>1044</v>
      </c>
      <c r="F329" s="468"/>
      <c r="G329" s="468"/>
      <c r="H329" s="468"/>
      <c r="I329" s="468"/>
      <c r="J329" s="468"/>
      <c r="K329" s="468"/>
      <c r="L329" s="468"/>
      <c r="M329" s="468"/>
      <c r="N329" s="468">
        <v>2</v>
      </c>
      <c r="O329" s="468">
        <v>1148</v>
      </c>
      <c r="P329" s="603"/>
      <c r="Q329" s="469">
        <v>574</v>
      </c>
    </row>
    <row r="330" spans="1:17" ht="14.4" customHeight="1" x14ac:dyDescent="0.3">
      <c r="A330" s="522" t="s">
        <v>1113</v>
      </c>
      <c r="B330" s="465" t="s">
        <v>925</v>
      </c>
      <c r="C330" s="465" t="s">
        <v>926</v>
      </c>
      <c r="D330" s="465" t="s">
        <v>1047</v>
      </c>
      <c r="E330" s="465" t="s">
        <v>1048</v>
      </c>
      <c r="F330" s="468"/>
      <c r="G330" s="468"/>
      <c r="H330" s="468"/>
      <c r="I330" s="468"/>
      <c r="J330" s="468"/>
      <c r="K330" s="468"/>
      <c r="L330" s="468"/>
      <c r="M330" s="468"/>
      <c r="N330" s="468">
        <v>1</v>
      </c>
      <c r="O330" s="468">
        <v>187</v>
      </c>
      <c r="P330" s="603"/>
      <c r="Q330" s="469">
        <v>187</v>
      </c>
    </row>
    <row r="331" spans="1:17" ht="14.4" customHeight="1" x14ac:dyDescent="0.3">
      <c r="A331" s="522" t="s">
        <v>1113</v>
      </c>
      <c r="B331" s="465" t="s">
        <v>925</v>
      </c>
      <c r="C331" s="465" t="s">
        <v>926</v>
      </c>
      <c r="D331" s="465" t="s">
        <v>1049</v>
      </c>
      <c r="E331" s="465" t="s">
        <v>1050</v>
      </c>
      <c r="F331" s="468">
        <v>17</v>
      </c>
      <c r="G331" s="468">
        <v>9775</v>
      </c>
      <c r="H331" s="468">
        <v>3.3940972222222223</v>
      </c>
      <c r="I331" s="468">
        <v>575</v>
      </c>
      <c r="J331" s="468">
        <v>5</v>
      </c>
      <c r="K331" s="468">
        <v>2880</v>
      </c>
      <c r="L331" s="468">
        <v>1</v>
      </c>
      <c r="M331" s="468">
        <v>576</v>
      </c>
      <c r="N331" s="468">
        <v>6</v>
      </c>
      <c r="O331" s="468">
        <v>3456</v>
      </c>
      <c r="P331" s="603">
        <v>1.2</v>
      </c>
      <c r="Q331" s="469">
        <v>576</v>
      </c>
    </row>
    <row r="332" spans="1:17" ht="14.4" customHeight="1" x14ac:dyDescent="0.3">
      <c r="A332" s="522" t="s">
        <v>1113</v>
      </c>
      <c r="B332" s="465" t="s">
        <v>925</v>
      </c>
      <c r="C332" s="465" t="s">
        <v>926</v>
      </c>
      <c r="D332" s="465" t="s">
        <v>1053</v>
      </c>
      <c r="E332" s="465" t="s">
        <v>1054</v>
      </c>
      <c r="F332" s="468">
        <v>2</v>
      </c>
      <c r="G332" s="468">
        <v>2794</v>
      </c>
      <c r="H332" s="468">
        <v>1.9971408148677627</v>
      </c>
      <c r="I332" s="468">
        <v>1397</v>
      </c>
      <c r="J332" s="468">
        <v>1</v>
      </c>
      <c r="K332" s="468">
        <v>1399</v>
      </c>
      <c r="L332" s="468">
        <v>1</v>
      </c>
      <c r="M332" s="468">
        <v>1399</v>
      </c>
      <c r="N332" s="468">
        <v>2</v>
      </c>
      <c r="O332" s="468">
        <v>2798</v>
      </c>
      <c r="P332" s="603">
        <v>2</v>
      </c>
      <c r="Q332" s="469">
        <v>1399</v>
      </c>
    </row>
    <row r="333" spans="1:17" ht="14.4" customHeight="1" x14ac:dyDescent="0.3">
      <c r="A333" s="522" t="s">
        <v>1113</v>
      </c>
      <c r="B333" s="465" t="s">
        <v>925</v>
      </c>
      <c r="C333" s="465" t="s">
        <v>926</v>
      </c>
      <c r="D333" s="465" t="s">
        <v>1057</v>
      </c>
      <c r="E333" s="465" t="s">
        <v>1058</v>
      </c>
      <c r="F333" s="468">
        <v>8</v>
      </c>
      <c r="G333" s="468">
        <v>1512</v>
      </c>
      <c r="H333" s="468">
        <v>0.66315789473684206</v>
      </c>
      <c r="I333" s="468">
        <v>189</v>
      </c>
      <c r="J333" s="468">
        <v>12</v>
      </c>
      <c r="K333" s="468">
        <v>2280</v>
      </c>
      <c r="L333" s="468">
        <v>1</v>
      </c>
      <c r="M333" s="468">
        <v>190</v>
      </c>
      <c r="N333" s="468">
        <v>26</v>
      </c>
      <c r="O333" s="468">
        <v>4940</v>
      </c>
      <c r="P333" s="603">
        <v>2.1666666666666665</v>
      </c>
      <c r="Q333" s="469">
        <v>190</v>
      </c>
    </row>
    <row r="334" spans="1:17" ht="14.4" customHeight="1" x14ac:dyDescent="0.3">
      <c r="A334" s="522" t="s">
        <v>1113</v>
      </c>
      <c r="B334" s="465" t="s">
        <v>925</v>
      </c>
      <c r="C334" s="465" t="s">
        <v>926</v>
      </c>
      <c r="D334" s="465" t="s">
        <v>1059</v>
      </c>
      <c r="E334" s="465" t="s">
        <v>1060</v>
      </c>
      <c r="F334" s="468"/>
      <c r="G334" s="468"/>
      <c r="H334" s="468"/>
      <c r="I334" s="468"/>
      <c r="J334" s="468"/>
      <c r="K334" s="468"/>
      <c r="L334" s="468"/>
      <c r="M334" s="468"/>
      <c r="N334" s="468">
        <v>2</v>
      </c>
      <c r="O334" s="468">
        <v>1628</v>
      </c>
      <c r="P334" s="603"/>
      <c r="Q334" s="469">
        <v>814</v>
      </c>
    </row>
    <row r="335" spans="1:17" ht="14.4" customHeight="1" x14ac:dyDescent="0.3">
      <c r="A335" s="522" t="s">
        <v>1113</v>
      </c>
      <c r="B335" s="465" t="s">
        <v>925</v>
      </c>
      <c r="C335" s="465" t="s">
        <v>926</v>
      </c>
      <c r="D335" s="465" t="s">
        <v>1063</v>
      </c>
      <c r="E335" s="465" t="s">
        <v>1064</v>
      </c>
      <c r="F335" s="468">
        <v>1</v>
      </c>
      <c r="G335" s="468">
        <v>258</v>
      </c>
      <c r="H335" s="468"/>
      <c r="I335" s="468">
        <v>258</v>
      </c>
      <c r="J335" s="468"/>
      <c r="K335" s="468"/>
      <c r="L335" s="468"/>
      <c r="M335" s="468"/>
      <c r="N335" s="468">
        <v>2</v>
      </c>
      <c r="O335" s="468">
        <v>520</v>
      </c>
      <c r="P335" s="603"/>
      <c r="Q335" s="469">
        <v>260</v>
      </c>
    </row>
    <row r="336" spans="1:17" ht="14.4" customHeight="1" x14ac:dyDescent="0.3">
      <c r="A336" s="522" t="s">
        <v>1113</v>
      </c>
      <c r="B336" s="465" t="s">
        <v>925</v>
      </c>
      <c r="C336" s="465" t="s">
        <v>926</v>
      </c>
      <c r="D336" s="465" t="s">
        <v>1074</v>
      </c>
      <c r="E336" s="465" t="s">
        <v>1075</v>
      </c>
      <c r="F336" s="468"/>
      <c r="G336" s="468"/>
      <c r="H336" s="468"/>
      <c r="I336" s="468"/>
      <c r="J336" s="468"/>
      <c r="K336" s="468"/>
      <c r="L336" s="468"/>
      <c r="M336" s="468"/>
      <c r="N336" s="468">
        <v>1</v>
      </c>
      <c r="O336" s="468">
        <v>7668</v>
      </c>
      <c r="P336" s="603"/>
      <c r="Q336" s="469">
        <v>7668</v>
      </c>
    </row>
    <row r="337" spans="1:17" ht="14.4" customHeight="1" x14ac:dyDescent="0.3">
      <c r="A337" s="522" t="s">
        <v>1114</v>
      </c>
      <c r="B337" s="465" t="s">
        <v>925</v>
      </c>
      <c r="C337" s="465" t="s">
        <v>926</v>
      </c>
      <c r="D337" s="465" t="s">
        <v>927</v>
      </c>
      <c r="E337" s="465" t="s">
        <v>928</v>
      </c>
      <c r="F337" s="468">
        <v>1</v>
      </c>
      <c r="G337" s="468">
        <v>1184</v>
      </c>
      <c r="H337" s="468">
        <v>0.9974726200505476</v>
      </c>
      <c r="I337" s="468">
        <v>1184</v>
      </c>
      <c r="J337" s="468">
        <v>1</v>
      </c>
      <c r="K337" s="468">
        <v>1187</v>
      </c>
      <c r="L337" s="468">
        <v>1</v>
      </c>
      <c r="M337" s="468">
        <v>1187</v>
      </c>
      <c r="N337" s="468"/>
      <c r="O337" s="468"/>
      <c r="P337" s="603"/>
      <c r="Q337" s="469"/>
    </row>
    <row r="338" spans="1:17" ht="14.4" customHeight="1" x14ac:dyDescent="0.3">
      <c r="A338" s="522" t="s">
        <v>1114</v>
      </c>
      <c r="B338" s="465" t="s">
        <v>925</v>
      </c>
      <c r="C338" s="465" t="s">
        <v>926</v>
      </c>
      <c r="D338" s="465" t="s">
        <v>929</v>
      </c>
      <c r="E338" s="465" t="s">
        <v>930</v>
      </c>
      <c r="F338" s="468"/>
      <c r="G338" s="468"/>
      <c r="H338" s="468"/>
      <c r="I338" s="468"/>
      <c r="J338" s="468">
        <v>1</v>
      </c>
      <c r="K338" s="468">
        <v>3912</v>
      </c>
      <c r="L338" s="468">
        <v>1</v>
      </c>
      <c r="M338" s="468">
        <v>3912</v>
      </c>
      <c r="N338" s="468"/>
      <c r="O338" s="468"/>
      <c r="P338" s="603"/>
      <c r="Q338" s="469"/>
    </row>
    <row r="339" spans="1:17" ht="14.4" customHeight="1" x14ac:dyDescent="0.3">
      <c r="A339" s="522" t="s">
        <v>1114</v>
      </c>
      <c r="B339" s="465" t="s">
        <v>925</v>
      </c>
      <c r="C339" s="465" t="s">
        <v>926</v>
      </c>
      <c r="D339" s="465" t="s">
        <v>931</v>
      </c>
      <c r="E339" s="465" t="s">
        <v>932</v>
      </c>
      <c r="F339" s="468">
        <v>4</v>
      </c>
      <c r="G339" s="468">
        <v>2616</v>
      </c>
      <c r="H339" s="468">
        <v>0.79634703196347034</v>
      </c>
      <c r="I339" s="468">
        <v>654</v>
      </c>
      <c r="J339" s="468">
        <v>5</v>
      </c>
      <c r="K339" s="468">
        <v>3285</v>
      </c>
      <c r="L339" s="468">
        <v>1</v>
      </c>
      <c r="M339" s="468">
        <v>657</v>
      </c>
      <c r="N339" s="468">
        <v>3</v>
      </c>
      <c r="O339" s="468">
        <v>1974</v>
      </c>
      <c r="P339" s="603">
        <v>0.60091324200913243</v>
      </c>
      <c r="Q339" s="469">
        <v>658</v>
      </c>
    </row>
    <row r="340" spans="1:17" ht="14.4" customHeight="1" x14ac:dyDescent="0.3">
      <c r="A340" s="522" t="s">
        <v>1114</v>
      </c>
      <c r="B340" s="465" t="s">
        <v>925</v>
      </c>
      <c r="C340" s="465" t="s">
        <v>926</v>
      </c>
      <c r="D340" s="465" t="s">
        <v>943</v>
      </c>
      <c r="E340" s="465" t="s">
        <v>944</v>
      </c>
      <c r="F340" s="468">
        <v>1</v>
      </c>
      <c r="G340" s="468">
        <v>812</v>
      </c>
      <c r="H340" s="468"/>
      <c r="I340" s="468">
        <v>812</v>
      </c>
      <c r="J340" s="468"/>
      <c r="K340" s="468"/>
      <c r="L340" s="468"/>
      <c r="M340" s="468"/>
      <c r="N340" s="468">
        <v>2</v>
      </c>
      <c r="O340" s="468">
        <v>1628</v>
      </c>
      <c r="P340" s="603"/>
      <c r="Q340" s="469">
        <v>814</v>
      </c>
    </row>
    <row r="341" spans="1:17" ht="14.4" customHeight="1" x14ac:dyDescent="0.3">
      <c r="A341" s="522" t="s">
        <v>1114</v>
      </c>
      <c r="B341" s="465" t="s">
        <v>925</v>
      </c>
      <c r="C341" s="465" t="s">
        <v>926</v>
      </c>
      <c r="D341" s="465" t="s">
        <v>945</v>
      </c>
      <c r="E341" s="465" t="s">
        <v>946</v>
      </c>
      <c r="F341" s="468">
        <v>1</v>
      </c>
      <c r="G341" s="468">
        <v>812</v>
      </c>
      <c r="H341" s="468"/>
      <c r="I341" s="468">
        <v>812</v>
      </c>
      <c r="J341" s="468"/>
      <c r="K341" s="468"/>
      <c r="L341" s="468"/>
      <c r="M341" s="468"/>
      <c r="N341" s="468">
        <v>2</v>
      </c>
      <c r="O341" s="468">
        <v>1628</v>
      </c>
      <c r="P341" s="603"/>
      <c r="Q341" s="469">
        <v>814</v>
      </c>
    </row>
    <row r="342" spans="1:17" ht="14.4" customHeight="1" x14ac:dyDescent="0.3">
      <c r="A342" s="522" t="s">
        <v>1114</v>
      </c>
      <c r="B342" s="465" t="s">
        <v>925</v>
      </c>
      <c r="C342" s="465" t="s">
        <v>926</v>
      </c>
      <c r="D342" s="465" t="s">
        <v>947</v>
      </c>
      <c r="E342" s="465" t="s">
        <v>948</v>
      </c>
      <c r="F342" s="468">
        <v>13</v>
      </c>
      <c r="G342" s="468">
        <v>2171</v>
      </c>
      <c r="H342" s="468">
        <v>4.3075396825396828</v>
      </c>
      <c r="I342" s="468">
        <v>167</v>
      </c>
      <c r="J342" s="468">
        <v>3</v>
      </c>
      <c r="K342" s="468">
        <v>504</v>
      </c>
      <c r="L342" s="468">
        <v>1</v>
      </c>
      <c r="M342" s="468">
        <v>168</v>
      </c>
      <c r="N342" s="468">
        <v>23</v>
      </c>
      <c r="O342" s="468">
        <v>3864</v>
      </c>
      <c r="P342" s="603">
        <v>7.666666666666667</v>
      </c>
      <c r="Q342" s="469">
        <v>168</v>
      </c>
    </row>
    <row r="343" spans="1:17" ht="14.4" customHeight="1" x14ac:dyDescent="0.3">
      <c r="A343" s="522" t="s">
        <v>1114</v>
      </c>
      <c r="B343" s="465" t="s">
        <v>925</v>
      </c>
      <c r="C343" s="465" t="s">
        <v>926</v>
      </c>
      <c r="D343" s="465" t="s">
        <v>949</v>
      </c>
      <c r="E343" s="465" t="s">
        <v>950</v>
      </c>
      <c r="F343" s="468">
        <v>28</v>
      </c>
      <c r="G343" s="468">
        <v>4844</v>
      </c>
      <c r="H343" s="468">
        <v>3.4798850574712645</v>
      </c>
      <c r="I343" s="468">
        <v>173</v>
      </c>
      <c r="J343" s="468">
        <v>8</v>
      </c>
      <c r="K343" s="468">
        <v>1392</v>
      </c>
      <c r="L343" s="468">
        <v>1</v>
      </c>
      <c r="M343" s="468">
        <v>174</v>
      </c>
      <c r="N343" s="468">
        <v>47</v>
      </c>
      <c r="O343" s="468">
        <v>8178</v>
      </c>
      <c r="P343" s="603">
        <v>5.875</v>
      </c>
      <c r="Q343" s="469">
        <v>174</v>
      </c>
    </row>
    <row r="344" spans="1:17" ht="14.4" customHeight="1" x14ac:dyDescent="0.3">
      <c r="A344" s="522" t="s">
        <v>1114</v>
      </c>
      <c r="B344" s="465" t="s">
        <v>925</v>
      </c>
      <c r="C344" s="465" t="s">
        <v>926</v>
      </c>
      <c r="D344" s="465" t="s">
        <v>951</v>
      </c>
      <c r="E344" s="465" t="s">
        <v>952</v>
      </c>
      <c r="F344" s="468">
        <v>11</v>
      </c>
      <c r="G344" s="468">
        <v>3861</v>
      </c>
      <c r="H344" s="468">
        <v>3.65625</v>
      </c>
      <c r="I344" s="468">
        <v>351</v>
      </c>
      <c r="J344" s="468">
        <v>3</v>
      </c>
      <c r="K344" s="468">
        <v>1056</v>
      </c>
      <c r="L344" s="468">
        <v>1</v>
      </c>
      <c r="M344" s="468">
        <v>352</v>
      </c>
      <c r="N344" s="468">
        <v>1</v>
      </c>
      <c r="O344" s="468">
        <v>352</v>
      </c>
      <c r="P344" s="603">
        <v>0.33333333333333331</v>
      </c>
      <c r="Q344" s="469">
        <v>352</v>
      </c>
    </row>
    <row r="345" spans="1:17" ht="14.4" customHeight="1" x14ac:dyDescent="0.3">
      <c r="A345" s="522" t="s">
        <v>1114</v>
      </c>
      <c r="B345" s="465" t="s">
        <v>925</v>
      </c>
      <c r="C345" s="465" t="s">
        <v>926</v>
      </c>
      <c r="D345" s="465" t="s">
        <v>953</v>
      </c>
      <c r="E345" s="465" t="s">
        <v>954</v>
      </c>
      <c r="F345" s="468"/>
      <c r="G345" s="468"/>
      <c r="H345" s="468"/>
      <c r="I345" s="468"/>
      <c r="J345" s="468">
        <v>1</v>
      </c>
      <c r="K345" s="468">
        <v>190</v>
      </c>
      <c r="L345" s="468">
        <v>1</v>
      </c>
      <c r="M345" s="468">
        <v>190</v>
      </c>
      <c r="N345" s="468">
        <v>2</v>
      </c>
      <c r="O345" s="468">
        <v>380</v>
      </c>
      <c r="P345" s="603">
        <v>2</v>
      </c>
      <c r="Q345" s="469">
        <v>190</v>
      </c>
    </row>
    <row r="346" spans="1:17" ht="14.4" customHeight="1" x14ac:dyDescent="0.3">
      <c r="A346" s="522" t="s">
        <v>1114</v>
      </c>
      <c r="B346" s="465" t="s">
        <v>925</v>
      </c>
      <c r="C346" s="465" t="s">
        <v>926</v>
      </c>
      <c r="D346" s="465" t="s">
        <v>959</v>
      </c>
      <c r="E346" s="465" t="s">
        <v>960</v>
      </c>
      <c r="F346" s="468">
        <v>25</v>
      </c>
      <c r="G346" s="468">
        <v>13675</v>
      </c>
      <c r="H346" s="468">
        <v>2.4908925318761383</v>
      </c>
      <c r="I346" s="468">
        <v>547</v>
      </c>
      <c r="J346" s="468">
        <v>10</v>
      </c>
      <c r="K346" s="468">
        <v>5490</v>
      </c>
      <c r="L346" s="468">
        <v>1</v>
      </c>
      <c r="M346" s="468">
        <v>549</v>
      </c>
      <c r="N346" s="468">
        <v>50</v>
      </c>
      <c r="O346" s="468">
        <v>27450</v>
      </c>
      <c r="P346" s="603">
        <v>5</v>
      </c>
      <c r="Q346" s="469">
        <v>549</v>
      </c>
    </row>
    <row r="347" spans="1:17" ht="14.4" customHeight="1" x14ac:dyDescent="0.3">
      <c r="A347" s="522" t="s">
        <v>1114</v>
      </c>
      <c r="B347" s="465" t="s">
        <v>925</v>
      </c>
      <c r="C347" s="465" t="s">
        <v>926</v>
      </c>
      <c r="D347" s="465" t="s">
        <v>961</v>
      </c>
      <c r="E347" s="465" t="s">
        <v>962</v>
      </c>
      <c r="F347" s="468">
        <v>4</v>
      </c>
      <c r="G347" s="468">
        <v>2608</v>
      </c>
      <c r="H347" s="468"/>
      <c r="I347" s="468">
        <v>652</v>
      </c>
      <c r="J347" s="468"/>
      <c r="K347" s="468"/>
      <c r="L347" s="468"/>
      <c r="M347" s="468"/>
      <c r="N347" s="468">
        <v>5</v>
      </c>
      <c r="O347" s="468">
        <v>3270</v>
      </c>
      <c r="P347" s="603"/>
      <c r="Q347" s="469">
        <v>654</v>
      </c>
    </row>
    <row r="348" spans="1:17" ht="14.4" customHeight="1" x14ac:dyDescent="0.3">
      <c r="A348" s="522" t="s">
        <v>1114</v>
      </c>
      <c r="B348" s="465" t="s">
        <v>925</v>
      </c>
      <c r="C348" s="465" t="s">
        <v>926</v>
      </c>
      <c r="D348" s="465" t="s">
        <v>963</v>
      </c>
      <c r="E348" s="465" t="s">
        <v>964</v>
      </c>
      <c r="F348" s="468">
        <v>4</v>
      </c>
      <c r="G348" s="468">
        <v>2608</v>
      </c>
      <c r="H348" s="468"/>
      <c r="I348" s="468">
        <v>652</v>
      </c>
      <c r="J348" s="468"/>
      <c r="K348" s="468"/>
      <c r="L348" s="468"/>
      <c r="M348" s="468"/>
      <c r="N348" s="468">
        <v>5</v>
      </c>
      <c r="O348" s="468">
        <v>3270</v>
      </c>
      <c r="P348" s="603"/>
      <c r="Q348" s="469">
        <v>654</v>
      </c>
    </row>
    <row r="349" spans="1:17" ht="14.4" customHeight="1" x14ac:dyDescent="0.3">
      <c r="A349" s="522" t="s">
        <v>1114</v>
      </c>
      <c r="B349" s="465" t="s">
        <v>925</v>
      </c>
      <c r="C349" s="465" t="s">
        <v>926</v>
      </c>
      <c r="D349" s="465" t="s">
        <v>965</v>
      </c>
      <c r="E349" s="465" t="s">
        <v>966</v>
      </c>
      <c r="F349" s="468">
        <v>7</v>
      </c>
      <c r="G349" s="468">
        <v>4732</v>
      </c>
      <c r="H349" s="468">
        <v>3.4896755162241888</v>
      </c>
      <c r="I349" s="468">
        <v>676</v>
      </c>
      <c r="J349" s="468">
        <v>2</v>
      </c>
      <c r="K349" s="468">
        <v>1356</v>
      </c>
      <c r="L349" s="468">
        <v>1</v>
      </c>
      <c r="M349" s="468">
        <v>678</v>
      </c>
      <c r="N349" s="468">
        <v>6</v>
      </c>
      <c r="O349" s="468">
        <v>4068</v>
      </c>
      <c r="P349" s="603">
        <v>3</v>
      </c>
      <c r="Q349" s="469">
        <v>678</v>
      </c>
    </row>
    <row r="350" spans="1:17" ht="14.4" customHeight="1" x14ac:dyDescent="0.3">
      <c r="A350" s="522" t="s">
        <v>1114</v>
      </c>
      <c r="B350" s="465" t="s">
        <v>925</v>
      </c>
      <c r="C350" s="465" t="s">
        <v>926</v>
      </c>
      <c r="D350" s="465" t="s">
        <v>967</v>
      </c>
      <c r="E350" s="465" t="s">
        <v>968</v>
      </c>
      <c r="F350" s="468">
        <v>15</v>
      </c>
      <c r="G350" s="468">
        <v>7665</v>
      </c>
      <c r="H350" s="468">
        <v>3.7353801169590644</v>
      </c>
      <c r="I350" s="468">
        <v>511</v>
      </c>
      <c r="J350" s="468">
        <v>4</v>
      </c>
      <c r="K350" s="468">
        <v>2052</v>
      </c>
      <c r="L350" s="468">
        <v>1</v>
      </c>
      <c r="M350" s="468">
        <v>513</v>
      </c>
      <c r="N350" s="468">
        <v>32</v>
      </c>
      <c r="O350" s="468">
        <v>16416</v>
      </c>
      <c r="P350" s="603">
        <v>8</v>
      </c>
      <c r="Q350" s="469">
        <v>513</v>
      </c>
    </row>
    <row r="351" spans="1:17" ht="14.4" customHeight="1" x14ac:dyDescent="0.3">
      <c r="A351" s="522" t="s">
        <v>1114</v>
      </c>
      <c r="B351" s="465" t="s">
        <v>925</v>
      </c>
      <c r="C351" s="465" t="s">
        <v>926</v>
      </c>
      <c r="D351" s="465" t="s">
        <v>969</v>
      </c>
      <c r="E351" s="465" t="s">
        <v>970</v>
      </c>
      <c r="F351" s="468">
        <v>15</v>
      </c>
      <c r="G351" s="468">
        <v>6315</v>
      </c>
      <c r="H351" s="468">
        <v>3.7322695035460991</v>
      </c>
      <c r="I351" s="468">
        <v>421</v>
      </c>
      <c r="J351" s="468">
        <v>4</v>
      </c>
      <c r="K351" s="468">
        <v>1692</v>
      </c>
      <c r="L351" s="468">
        <v>1</v>
      </c>
      <c r="M351" s="468">
        <v>423</v>
      </c>
      <c r="N351" s="468">
        <v>32</v>
      </c>
      <c r="O351" s="468">
        <v>13536</v>
      </c>
      <c r="P351" s="603">
        <v>8</v>
      </c>
      <c r="Q351" s="469">
        <v>423</v>
      </c>
    </row>
    <row r="352" spans="1:17" ht="14.4" customHeight="1" x14ac:dyDescent="0.3">
      <c r="A352" s="522" t="s">
        <v>1114</v>
      </c>
      <c r="B352" s="465" t="s">
        <v>925</v>
      </c>
      <c r="C352" s="465" t="s">
        <v>926</v>
      </c>
      <c r="D352" s="465" t="s">
        <v>971</v>
      </c>
      <c r="E352" s="465" t="s">
        <v>972</v>
      </c>
      <c r="F352" s="468">
        <v>28</v>
      </c>
      <c r="G352" s="468">
        <v>9716</v>
      </c>
      <c r="H352" s="468">
        <v>2.5308674133889033</v>
      </c>
      <c r="I352" s="468">
        <v>347</v>
      </c>
      <c r="J352" s="468">
        <v>11</v>
      </c>
      <c r="K352" s="468">
        <v>3839</v>
      </c>
      <c r="L352" s="468">
        <v>1</v>
      </c>
      <c r="M352" s="468">
        <v>349</v>
      </c>
      <c r="N352" s="468">
        <v>51</v>
      </c>
      <c r="O352" s="468">
        <v>17799</v>
      </c>
      <c r="P352" s="603">
        <v>4.6363636363636367</v>
      </c>
      <c r="Q352" s="469">
        <v>349</v>
      </c>
    </row>
    <row r="353" spans="1:17" ht="14.4" customHeight="1" x14ac:dyDescent="0.3">
      <c r="A353" s="522" t="s">
        <v>1114</v>
      </c>
      <c r="B353" s="465" t="s">
        <v>925</v>
      </c>
      <c r="C353" s="465" t="s">
        <v>926</v>
      </c>
      <c r="D353" s="465" t="s">
        <v>973</v>
      </c>
      <c r="E353" s="465" t="s">
        <v>974</v>
      </c>
      <c r="F353" s="468">
        <v>4</v>
      </c>
      <c r="G353" s="468">
        <v>876</v>
      </c>
      <c r="H353" s="468">
        <v>0.66063348416289591</v>
      </c>
      <c r="I353" s="468">
        <v>219</v>
      </c>
      <c r="J353" s="468">
        <v>6</v>
      </c>
      <c r="K353" s="468">
        <v>1326</v>
      </c>
      <c r="L353" s="468">
        <v>1</v>
      </c>
      <c r="M353" s="468">
        <v>221</v>
      </c>
      <c r="N353" s="468">
        <v>3</v>
      </c>
      <c r="O353" s="468">
        <v>663</v>
      </c>
      <c r="P353" s="603">
        <v>0.5</v>
      </c>
      <c r="Q353" s="469">
        <v>221</v>
      </c>
    </row>
    <row r="354" spans="1:17" ht="14.4" customHeight="1" x14ac:dyDescent="0.3">
      <c r="A354" s="522" t="s">
        <v>1114</v>
      </c>
      <c r="B354" s="465" t="s">
        <v>925</v>
      </c>
      <c r="C354" s="465" t="s">
        <v>926</v>
      </c>
      <c r="D354" s="465" t="s">
        <v>979</v>
      </c>
      <c r="E354" s="465" t="s">
        <v>980</v>
      </c>
      <c r="F354" s="468">
        <v>1</v>
      </c>
      <c r="G354" s="468">
        <v>238</v>
      </c>
      <c r="H354" s="468">
        <v>0.99581589958159</v>
      </c>
      <c r="I354" s="468">
        <v>238</v>
      </c>
      <c r="J354" s="468">
        <v>1</v>
      </c>
      <c r="K354" s="468">
        <v>239</v>
      </c>
      <c r="L354" s="468">
        <v>1</v>
      </c>
      <c r="M354" s="468">
        <v>239</v>
      </c>
      <c r="N354" s="468">
        <v>1</v>
      </c>
      <c r="O354" s="468">
        <v>239</v>
      </c>
      <c r="P354" s="603">
        <v>1</v>
      </c>
      <c r="Q354" s="469">
        <v>239</v>
      </c>
    </row>
    <row r="355" spans="1:17" ht="14.4" customHeight="1" x14ac:dyDescent="0.3">
      <c r="A355" s="522" t="s">
        <v>1114</v>
      </c>
      <c r="B355" s="465" t="s">
        <v>925</v>
      </c>
      <c r="C355" s="465" t="s">
        <v>926</v>
      </c>
      <c r="D355" s="465" t="s">
        <v>981</v>
      </c>
      <c r="E355" s="465" t="s">
        <v>982</v>
      </c>
      <c r="F355" s="468">
        <v>18</v>
      </c>
      <c r="G355" s="468">
        <v>1998</v>
      </c>
      <c r="H355" s="468">
        <v>2</v>
      </c>
      <c r="I355" s="468">
        <v>111</v>
      </c>
      <c r="J355" s="468">
        <v>9</v>
      </c>
      <c r="K355" s="468">
        <v>999</v>
      </c>
      <c r="L355" s="468">
        <v>1</v>
      </c>
      <c r="M355" s="468">
        <v>111</v>
      </c>
      <c r="N355" s="468">
        <v>40</v>
      </c>
      <c r="O355" s="468">
        <v>4440</v>
      </c>
      <c r="P355" s="603">
        <v>4.4444444444444446</v>
      </c>
      <c r="Q355" s="469">
        <v>111</v>
      </c>
    </row>
    <row r="356" spans="1:17" ht="14.4" customHeight="1" x14ac:dyDescent="0.3">
      <c r="A356" s="522" t="s">
        <v>1114</v>
      </c>
      <c r="B356" s="465" t="s">
        <v>925</v>
      </c>
      <c r="C356" s="465" t="s">
        <v>926</v>
      </c>
      <c r="D356" s="465" t="s">
        <v>985</v>
      </c>
      <c r="E356" s="465" t="s">
        <v>986</v>
      </c>
      <c r="F356" s="468">
        <v>4</v>
      </c>
      <c r="G356" s="468">
        <v>1244</v>
      </c>
      <c r="H356" s="468"/>
      <c r="I356" s="468">
        <v>311</v>
      </c>
      <c r="J356" s="468"/>
      <c r="K356" s="468"/>
      <c r="L356" s="468"/>
      <c r="M356" s="468"/>
      <c r="N356" s="468">
        <v>12</v>
      </c>
      <c r="O356" s="468">
        <v>3744</v>
      </c>
      <c r="P356" s="603"/>
      <c r="Q356" s="469">
        <v>312</v>
      </c>
    </row>
    <row r="357" spans="1:17" ht="14.4" customHeight="1" x14ac:dyDescent="0.3">
      <c r="A357" s="522" t="s">
        <v>1114</v>
      </c>
      <c r="B357" s="465" t="s">
        <v>925</v>
      </c>
      <c r="C357" s="465" t="s">
        <v>926</v>
      </c>
      <c r="D357" s="465" t="s">
        <v>989</v>
      </c>
      <c r="E357" s="465" t="s">
        <v>990</v>
      </c>
      <c r="F357" s="468">
        <v>1</v>
      </c>
      <c r="G357" s="468">
        <v>16</v>
      </c>
      <c r="H357" s="468"/>
      <c r="I357" s="468">
        <v>16</v>
      </c>
      <c r="J357" s="468"/>
      <c r="K357" s="468"/>
      <c r="L357" s="468"/>
      <c r="M357" s="468"/>
      <c r="N357" s="468">
        <v>2</v>
      </c>
      <c r="O357" s="468">
        <v>34</v>
      </c>
      <c r="P357" s="603"/>
      <c r="Q357" s="469">
        <v>17</v>
      </c>
    </row>
    <row r="358" spans="1:17" ht="14.4" customHeight="1" x14ac:dyDescent="0.3">
      <c r="A358" s="522" t="s">
        <v>1114</v>
      </c>
      <c r="B358" s="465" t="s">
        <v>925</v>
      </c>
      <c r="C358" s="465" t="s">
        <v>926</v>
      </c>
      <c r="D358" s="465" t="s">
        <v>1001</v>
      </c>
      <c r="E358" s="465" t="s">
        <v>1002</v>
      </c>
      <c r="F358" s="468"/>
      <c r="G358" s="468"/>
      <c r="H358" s="468"/>
      <c r="I358" s="468"/>
      <c r="J358" s="468">
        <v>1</v>
      </c>
      <c r="K358" s="468">
        <v>295</v>
      </c>
      <c r="L358" s="468">
        <v>1</v>
      </c>
      <c r="M358" s="468">
        <v>295</v>
      </c>
      <c r="N358" s="468">
        <v>1</v>
      </c>
      <c r="O358" s="468">
        <v>295</v>
      </c>
      <c r="P358" s="603">
        <v>1</v>
      </c>
      <c r="Q358" s="469">
        <v>295</v>
      </c>
    </row>
    <row r="359" spans="1:17" ht="14.4" customHeight="1" x14ac:dyDescent="0.3">
      <c r="A359" s="522" t="s">
        <v>1114</v>
      </c>
      <c r="B359" s="465" t="s">
        <v>925</v>
      </c>
      <c r="C359" s="465" t="s">
        <v>926</v>
      </c>
      <c r="D359" s="465" t="s">
        <v>1003</v>
      </c>
      <c r="E359" s="465" t="s">
        <v>1004</v>
      </c>
      <c r="F359" s="468">
        <v>27</v>
      </c>
      <c r="G359" s="468">
        <v>5589</v>
      </c>
      <c r="H359" s="468">
        <v>2.6741626794258373</v>
      </c>
      <c r="I359" s="468">
        <v>207</v>
      </c>
      <c r="J359" s="468">
        <v>10</v>
      </c>
      <c r="K359" s="468">
        <v>2090</v>
      </c>
      <c r="L359" s="468">
        <v>1</v>
      </c>
      <c r="M359" s="468">
        <v>209</v>
      </c>
      <c r="N359" s="468">
        <v>50</v>
      </c>
      <c r="O359" s="468">
        <v>10450</v>
      </c>
      <c r="P359" s="603">
        <v>5</v>
      </c>
      <c r="Q359" s="469">
        <v>209</v>
      </c>
    </row>
    <row r="360" spans="1:17" ht="14.4" customHeight="1" x14ac:dyDescent="0.3">
      <c r="A360" s="522" t="s">
        <v>1114</v>
      </c>
      <c r="B360" s="465" t="s">
        <v>925</v>
      </c>
      <c r="C360" s="465" t="s">
        <v>926</v>
      </c>
      <c r="D360" s="465" t="s">
        <v>1005</v>
      </c>
      <c r="E360" s="465" t="s">
        <v>1006</v>
      </c>
      <c r="F360" s="468">
        <v>27</v>
      </c>
      <c r="G360" s="468">
        <v>1053</v>
      </c>
      <c r="H360" s="468">
        <v>2.9249999999999998</v>
      </c>
      <c r="I360" s="468">
        <v>39</v>
      </c>
      <c r="J360" s="468">
        <v>9</v>
      </c>
      <c r="K360" s="468">
        <v>360</v>
      </c>
      <c r="L360" s="468">
        <v>1</v>
      </c>
      <c r="M360" s="468">
        <v>40</v>
      </c>
      <c r="N360" s="468">
        <v>48</v>
      </c>
      <c r="O360" s="468">
        <v>1920</v>
      </c>
      <c r="P360" s="603">
        <v>5.333333333333333</v>
      </c>
      <c r="Q360" s="469">
        <v>40</v>
      </c>
    </row>
    <row r="361" spans="1:17" ht="14.4" customHeight="1" x14ac:dyDescent="0.3">
      <c r="A361" s="522" t="s">
        <v>1114</v>
      </c>
      <c r="B361" s="465" t="s">
        <v>925</v>
      </c>
      <c r="C361" s="465" t="s">
        <v>926</v>
      </c>
      <c r="D361" s="465" t="s">
        <v>1009</v>
      </c>
      <c r="E361" s="465" t="s">
        <v>1010</v>
      </c>
      <c r="F361" s="468">
        <v>13</v>
      </c>
      <c r="G361" s="468">
        <v>2210</v>
      </c>
      <c r="H361" s="468">
        <v>4.3079922027290447</v>
      </c>
      <c r="I361" s="468">
        <v>170</v>
      </c>
      <c r="J361" s="468">
        <v>3</v>
      </c>
      <c r="K361" s="468">
        <v>513</v>
      </c>
      <c r="L361" s="468">
        <v>1</v>
      </c>
      <c r="M361" s="468">
        <v>171</v>
      </c>
      <c r="N361" s="468">
        <v>22</v>
      </c>
      <c r="O361" s="468">
        <v>3762</v>
      </c>
      <c r="P361" s="603">
        <v>7.333333333333333</v>
      </c>
      <c r="Q361" s="469">
        <v>171</v>
      </c>
    </row>
    <row r="362" spans="1:17" ht="14.4" customHeight="1" x14ac:dyDescent="0.3">
      <c r="A362" s="522" t="s">
        <v>1114</v>
      </c>
      <c r="B362" s="465" t="s">
        <v>925</v>
      </c>
      <c r="C362" s="465" t="s">
        <v>926</v>
      </c>
      <c r="D362" s="465" t="s">
        <v>1011</v>
      </c>
      <c r="E362" s="465" t="s">
        <v>1012</v>
      </c>
      <c r="F362" s="468"/>
      <c r="G362" s="468"/>
      <c r="H362" s="468"/>
      <c r="I362" s="468"/>
      <c r="J362" s="468"/>
      <c r="K362" s="468"/>
      <c r="L362" s="468"/>
      <c r="M362" s="468"/>
      <c r="N362" s="468">
        <v>1</v>
      </c>
      <c r="O362" s="468">
        <v>327</v>
      </c>
      <c r="P362" s="603"/>
      <c r="Q362" s="469">
        <v>327</v>
      </c>
    </row>
    <row r="363" spans="1:17" ht="14.4" customHeight="1" x14ac:dyDescent="0.3">
      <c r="A363" s="522" t="s">
        <v>1114</v>
      </c>
      <c r="B363" s="465" t="s">
        <v>925</v>
      </c>
      <c r="C363" s="465" t="s">
        <v>926</v>
      </c>
      <c r="D363" s="465" t="s">
        <v>1013</v>
      </c>
      <c r="E363" s="465" t="s">
        <v>1014</v>
      </c>
      <c r="F363" s="468">
        <v>10</v>
      </c>
      <c r="G363" s="468">
        <v>6880</v>
      </c>
      <c r="H363" s="468">
        <v>9.9710144927536231</v>
      </c>
      <c r="I363" s="468">
        <v>688</v>
      </c>
      <c r="J363" s="468">
        <v>1</v>
      </c>
      <c r="K363" s="468">
        <v>690</v>
      </c>
      <c r="L363" s="468">
        <v>1</v>
      </c>
      <c r="M363" s="468">
        <v>690</v>
      </c>
      <c r="N363" s="468">
        <v>16</v>
      </c>
      <c r="O363" s="468">
        <v>11040</v>
      </c>
      <c r="P363" s="603">
        <v>16</v>
      </c>
      <c r="Q363" s="469">
        <v>690</v>
      </c>
    </row>
    <row r="364" spans="1:17" ht="14.4" customHeight="1" x14ac:dyDescent="0.3">
      <c r="A364" s="522" t="s">
        <v>1114</v>
      </c>
      <c r="B364" s="465" t="s">
        <v>925</v>
      </c>
      <c r="C364" s="465" t="s">
        <v>926</v>
      </c>
      <c r="D364" s="465" t="s">
        <v>1015</v>
      </c>
      <c r="E364" s="465" t="s">
        <v>1016</v>
      </c>
      <c r="F364" s="468">
        <v>6</v>
      </c>
      <c r="G364" s="468">
        <v>2088</v>
      </c>
      <c r="H364" s="468">
        <v>5.9657142857142853</v>
      </c>
      <c r="I364" s="468">
        <v>348</v>
      </c>
      <c r="J364" s="468">
        <v>1</v>
      </c>
      <c r="K364" s="468">
        <v>350</v>
      </c>
      <c r="L364" s="468">
        <v>1</v>
      </c>
      <c r="M364" s="468">
        <v>350</v>
      </c>
      <c r="N364" s="468">
        <v>15</v>
      </c>
      <c r="O364" s="468">
        <v>5250</v>
      </c>
      <c r="P364" s="603">
        <v>15</v>
      </c>
      <c r="Q364" s="469">
        <v>350</v>
      </c>
    </row>
    <row r="365" spans="1:17" ht="14.4" customHeight="1" x14ac:dyDescent="0.3">
      <c r="A365" s="522" t="s">
        <v>1114</v>
      </c>
      <c r="B365" s="465" t="s">
        <v>925</v>
      </c>
      <c r="C365" s="465" t="s">
        <v>926</v>
      </c>
      <c r="D365" s="465" t="s">
        <v>1017</v>
      </c>
      <c r="E365" s="465" t="s">
        <v>1018</v>
      </c>
      <c r="F365" s="468">
        <v>13</v>
      </c>
      <c r="G365" s="468">
        <v>2249</v>
      </c>
      <c r="H365" s="468">
        <v>4.3084291187739465</v>
      </c>
      <c r="I365" s="468">
        <v>173</v>
      </c>
      <c r="J365" s="468">
        <v>3</v>
      </c>
      <c r="K365" s="468">
        <v>522</v>
      </c>
      <c r="L365" s="468">
        <v>1</v>
      </c>
      <c r="M365" s="468">
        <v>174</v>
      </c>
      <c r="N365" s="468">
        <v>22</v>
      </c>
      <c r="O365" s="468">
        <v>3828</v>
      </c>
      <c r="P365" s="603">
        <v>7.333333333333333</v>
      </c>
      <c r="Q365" s="469">
        <v>174</v>
      </c>
    </row>
    <row r="366" spans="1:17" ht="14.4" customHeight="1" x14ac:dyDescent="0.3">
      <c r="A366" s="522" t="s">
        <v>1114</v>
      </c>
      <c r="B366" s="465" t="s">
        <v>925</v>
      </c>
      <c r="C366" s="465" t="s">
        <v>926</v>
      </c>
      <c r="D366" s="465" t="s">
        <v>1021</v>
      </c>
      <c r="E366" s="465" t="s">
        <v>1022</v>
      </c>
      <c r="F366" s="468">
        <v>4</v>
      </c>
      <c r="G366" s="468">
        <v>2608</v>
      </c>
      <c r="H366" s="468"/>
      <c r="I366" s="468">
        <v>652</v>
      </c>
      <c r="J366" s="468"/>
      <c r="K366" s="468"/>
      <c r="L366" s="468"/>
      <c r="M366" s="468"/>
      <c r="N366" s="468">
        <v>5</v>
      </c>
      <c r="O366" s="468">
        <v>3270</v>
      </c>
      <c r="P366" s="603"/>
      <c r="Q366" s="469">
        <v>654</v>
      </c>
    </row>
    <row r="367" spans="1:17" ht="14.4" customHeight="1" x14ac:dyDescent="0.3">
      <c r="A367" s="522" t="s">
        <v>1114</v>
      </c>
      <c r="B367" s="465" t="s">
        <v>925</v>
      </c>
      <c r="C367" s="465" t="s">
        <v>926</v>
      </c>
      <c r="D367" s="465" t="s">
        <v>1023</v>
      </c>
      <c r="E367" s="465" t="s">
        <v>1024</v>
      </c>
      <c r="F367" s="468">
        <v>4</v>
      </c>
      <c r="G367" s="468">
        <v>2608</v>
      </c>
      <c r="H367" s="468"/>
      <c r="I367" s="468">
        <v>652</v>
      </c>
      <c r="J367" s="468"/>
      <c r="K367" s="468"/>
      <c r="L367" s="468"/>
      <c r="M367" s="468"/>
      <c r="N367" s="468">
        <v>5</v>
      </c>
      <c r="O367" s="468">
        <v>3270</v>
      </c>
      <c r="P367" s="603"/>
      <c r="Q367" s="469">
        <v>654</v>
      </c>
    </row>
    <row r="368" spans="1:17" ht="14.4" customHeight="1" x14ac:dyDescent="0.3">
      <c r="A368" s="522" t="s">
        <v>1114</v>
      </c>
      <c r="B368" s="465" t="s">
        <v>925</v>
      </c>
      <c r="C368" s="465" t="s">
        <v>926</v>
      </c>
      <c r="D368" s="465" t="s">
        <v>1027</v>
      </c>
      <c r="E368" s="465" t="s">
        <v>1028</v>
      </c>
      <c r="F368" s="468">
        <v>24</v>
      </c>
      <c r="G368" s="468">
        <v>16608</v>
      </c>
      <c r="H368" s="468">
        <v>3.988472622478386</v>
      </c>
      <c r="I368" s="468">
        <v>692</v>
      </c>
      <c r="J368" s="468">
        <v>6</v>
      </c>
      <c r="K368" s="468">
        <v>4164</v>
      </c>
      <c r="L368" s="468">
        <v>1</v>
      </c>
      <c r="M368" s="468">
        <v>694</v>
      </c>
      <c r="N368" s="468">
        <v>40</v>
      </c>
      <c r="O368" s="468">
        <v>27760</v>
      </c>
      <c r="P368" s="603">
        <v>6.666666666666667</v>
      </c>
      <c r="Q368" s="469">
        <v>694</v>
      </c>
    </row>
    <row r="369" spans="1:17" ht="14.4" customHeight="1" x14ac:dyDescent="0.3">
      <c r="A369" s="522" t="s">
        <v>1114</v>
      </c>
      <c r="B369" s="465" t="s">
        <v>925</v>
      </c>
      <c r="C369" s="465" t="s">
        <v>926</v>
      </c>
      <c r="D369" s="465" t="s">
        <v>1029</v>
      </c>
      <c r="E369" s="465" t="s">
        <v>1030</v>
      </c>
      <c r="F369" s="468">
        <v>7</v>
      </c>
      <c r="G369" s="468">
        <v>4732</v>
      </c>
      <c r="H369" s="468">
        <v>3.4896755162241888</v>
      </c>
      <c r="I369" s="468">
        <v>676</v>
      </c>
      <c r="J369" s="468">
        <v>2</v>
      </c>
      <c r="K369" s="468">
        <v>1356</v>
      </c>
      <c r="L369" s="468">
        <v>1</v>
      </c>
      <c r="M369" s="468">
        <v>678</v>
      </c>
      <c r="N369" s="468">
        <v>6</v>
      </c>
      <c r="O369" s="468">
        <v>4068</v>
      </c>
      <c r="P369" s="603">
        <v>3</v>
      </c>
      <c r="Q369" s="469">
        <v>678</v>
      </c>
    </row>
    <row r="370" spans="1:17" ht="14.4" customHeight="1" x14ac:dyDescent="0.3">
      <c r="A370" s="522" t="s">
        <v>1114</v>
      </c>
      <c r="B370" s="465" t="s">
        <v>925</v>
      </c>
      <c r="C370" s="465" t="s">
        <v>926</v>
      </c>
      <c r="D370" s="465" t="s">
        <v>1031</v>
      </c>
      <c r="E370" s="465" t="s">
        <v>1032</v>
      </c>
      <c r="F370" s="468">
        <v>28</v>
      </c>
      <c r="G370" s="468">
        <v>13300</v>
      </c>
      <c r="H370" s="468">
        <v>2.7882599580712788</v>
      </c>
      <c r="I370" s="468">
        <v>475</v>
      </c>
      <c r="J370" s="468">
        <v>10</v>
      </c>
      <c r="K370" s="468">
        <v>4770</v>
      </c>
      <c r="L370" s="468">
        <v>1</v>
      </c>
      <c r="M370" s="468">
        <v>477</v>
      </c>
      <c r="N370" s="468">
        <v>49</v>
      </c>
      <c r="O370" s="468">
        <v>23373</v>
      </c>
      <c r="P370" s="603">
        <v>4.9000000000000004</v>
      </c>
      <c r="Q370" s="469">
        <v>477</v>
      </c>
    </row>
    <row r="371" spans="1:17" ht="14.4" customHeight="1" x14ac:dyDescent="0.3">
      <c r="A371" s="522" t="s">
        <v>1114</v>
      </c>
      <c r="B371" s="465" t="s">
        <v>925</v>
      </c>
      <c r="C371" s="465" t="s">
        <v>926</v>
      </c>
      <c r="D371" s="465" t="s">
        <v>1033</v>
      </c>
      <c r="E371" s="465" t="s">
        <v>1034</v>
      </c>
      <c r="F371" s="468">
        <v>15</v>
      </c>
      <c r="G371" s="468">
        <v>4335</v>
      </c>
      <c r="H371" s="468">
        <v>3.7242268041237114</v>
      </c>
      <c r="I371" s="468">
        <v>289</v>
      </c>
      <c r="J371" s="468">
        <v>4</v>
      </c>
      <c r="K371" s="468">
        <v>1164</v>
      </c>
      <c r="L371" s="468">
        <v>1</v>
      </c>
      <c r="M371" s="468">
        <v>291</v>
      </c>
      <c r="N371" s="468">
        <v>32</v>
      </c>
      <c r="O371" s="468">
        <v>9312</v>
      </c>
      <c r="P371" s="603">
        <v>8</v>
      </c>
      <c r="Q371" s="469">
        <v>291</v>
      </c>
    </row>
    <row r="372" spans="1:17" ht="14.4" customHeight="1" x14ac:dyDescent="0.3">
      <c r="A372" s="522" t="s">
        <v>1114</v>
      </c>
      <c r="B372" s="465" t="s">
        <v>925</v>
      </c>
      <c r="C372" s="465" t="s">
        <v>926</v>
      </c>
      <c r="D372" s="465" t="s">
        <v>1035</v>
      </c>
      <c r="E372" s="465" t="s">
        <v>1036</v>
      </c>
      <c r="F372" s="468">
        <v>1</v>
      </c>
      <c r="G372" s="468">
        <v>812</v>
      </c>
      <c r="H372" s="468"/>
      <c r="I372" s="468">
        <v>812</v>
      </c>
      <c r="J372" s="468"/>
      <c r="K372" s="468"/>
      <c r="L372" s="468"/>
      <c r="M372" s="468"/>
      <c r="N372" s="468">
        <v>2</v>
      </c>
      <c r="O372" s="468">
        <v>1628</v>
      </c>
      <c r="P372" s="603"/>
      <c r="Q372" s="469">
        <v>814</v>
      </c>
    </row>
    <row r="373" spans="1:17" ht="14.4" customHeight="1" x14ac:dyDescent="0.3">
      <c r="A373" s="522" t="s">
        <v>1114</v>
      </c>
      <c r="B373" s="465" t="s">
        <v>925</v>
      </c>
      <c r="C373" s="465" t="s">
        <v>926</v>
      </c>
      <c r="D373" s="465" t="s">
        <v>1039</v>
      </c>
      <c r="E373" s="465" t="s">
        <v>1040</v>
      </c>
      <c r="F373" s="468">
        <v>28</v>
      </c>
      <c r="G373" s="468">
        <v>4676</v>
      </c>
      <c r="H373" s="468">
        <v>3.4791666666666665</v>
      </c>
      <c r="I373" s="468">
        <v>167</v>
      </c>
      <c r="J373" s="468">
        <v>8</v>
      </c>
      <c r="K373" s="468">
        <v>1344</v>
      </c>
      <c r="L373" s="468">
        <v>1</v>
      </c>
      <c r="M373" s="468">
        <v>168</v>
      </c>
      <c r="N373" s="468">
        <v>47</v>
      </c>
      <c r="O373" s="468">
        <v>7896</v>
      </c>
      <c r="P373" s="603">
        <v>5.875</v>
      </c>
      <c r="Q373" s="469">
        <v>168</v>
      </c>
    </row>
    <row r="374" spans="1:17" ht="14.4" customHeight="1" x14ac:dyDescent="0.3">
      <c r="A374" s="522" t="s">
        <v>1114</v>
      </c>
      <c r="B374" s="465" t="s">
        <v>925</v>
      </c>
      <c r="C374" s="465" t="s">
        <v>926</v>
      </c>
      <c r="D374" s="465" t="s">
        <v>1047</v>
      </c>
      <c r="E374" s="465" t="s">
        <v>1048</v>
      </c>
      <c r="F374" s="468"/>
      <c r="G374" s="468"/>
      <c r="H374" s="468"/>
      <c r="I374" s="468"/>
      <c r="J374" s="468">
        <v>1</v>
      </c>
      <c r="K374" s="468">
        <v>187</v>
      </c>
      <c r="L374" s="468">
        <v>1</v>
      </c>
      <c r="M374" s="468">
        <v>187</v>
      </c>
      <c r="N374" s="468">
        <v>2</v>
      </c>
      <c r="O374" s="468">
        <v>374</v>
      </c>
      <c r="P374" s="603">
        <v>2</v>
      </c>
      <c r="Q374" s="469">
        <v>187</v>
      </c>
    </row>
    <row r="375" spans="1:17" ht="14.4" customHeight="1" x14ac:dyDescent="0.3">
      <c r="A375" s="522" t="s">
        <v>1114</v>
      </c>
      <c r="B375" s="465" t="s">
        <v>925</v>
      </c>
      <c r="C375" s="465" t="s">
        <v>926</v>
      </c>
      <c r="D375" s="465" t="s">
        <v>1053</v>
      </c>
      <c r="E375" s="465" t="s">
        <v>1054</v>
      </c>
      <c r="F375" s="468">
        <v>4</v>
      </c>
      <c r="G375" s="468">
        <v>5588</v>
      </c>
      <c r="H375" s="468"/>
      <c r="I375" s="468">
        <v>1397</v>
      </c>
      <c r="J375" s="468"/>
      <c r="K375" s="468"/>
      <c r="L375" s="468"/>
      <c r="M375" s="468"/>
      <c r="N375" s="468">
        <v>5</v>
      </c>
      <c r="O375" s="468">
        <v>6995</v>
      </c>
      <c r="P375" s="603"/>
      <c r="Q375" s="469">
        <v>1399</v>
      </c>
    </row>
    <row r="376" spans="1:17" ht="14.4" customHeight="1" x14ac:dyDescent="0.3">
      <c r="A376" s="522" t="s">
        <v>1114</v>
      </c>
      <c r="B376" s="465" t="s">
        <v>925</v>
      </c>
      <c r="C376" s="465" t="s">
        <v>926</v>
      </c>
      <c r="D376" s="465" t="s">
        <v>1057</v>
      </c>
      <c r="E376" s="465" t="s">
        <v>1058</v>
      </c>
      <c r="F376" s="468">
        <v>1</v>
      </c>
      <c r="G376" s="468">
        <v>189</v>
      </c>
      <c r="H376" s="468"/>
      <c r="I376" s="468">
        <v>189</v>
      </c>
      <c r="J376" s="468"/>
      <c r="K376" s="468"/>
      <c r="L376" s="468"/>
      <c r="M376" s="468"/>
      <c r="N376" s="468"/>
      <c r="O376" s="468"/>
      <c r="P376" s="603"/>
      <c r="Q376" s="469"/>
    </row>
    <row r="377" spans="1:17" ht="14.4" customHeight="1" x14ac:dyDescent="0.3">
      <c r="A377" s="522" t="s">
        <v>1114</v>
      </c>
      <c r="B377" s="465" t="s">
        <v>925</v>
      </c>
      <c r="C377" s="465" t="s">
        <v>926</v>
      </c>
      <c r="D377" s="465" t="s">
        <v>1059</v>
      </c>
      <c r="E377" s="465" t="s">
        <v>1060</v>
      </c>
      <c r="F377" s="468">
        <v>1</v>
      </c>
      <c r="G377" s="468">
        <v>812</v>
      </c>
      <c r="H377" s="468"/>
      <c r="I377" s="468">
        <v>812</v>
      </c>
      <c r="J377" s="468"/>
      <c r="K377" s="468"/>
      <c r="L377" s="468"/>
      <c r="M377" s="468"/>
      <c r="N377" s="468">
        <v>2</v>
      </c>
      <c r="O377" s="468">
        <v>1628</v>
      </c>
      <c r="P377" s="603"/>
      <c r="Q377" s="469">
        <v>814</v>
      </c>
    </row>
    <row r="378" spans="1:17" ht="14.4" customHeight="1" x14ac:dyDescent="0.3">
      <c r="A378" s="522" t="s">
        <v>1115</v>
      </c>
      <c r="B378" s="465" t="s">
        <v>925</v>
      </c>
      <c r="C378" s="465" t="s">
        <v>926</v>
      </c>
      <c r="D378" s="465" t="s">
        <v>927</v>
      </c>
      <c r="E378" s="465" t="s">
        <v>928</v>
      </c>
      <c r="F378" s="468">
        <v>1</v>
      </c>
      <c r="G378" s="468">
        <v>1184</v>
      </c>
      <c r="H378" s="468">
        <v>0.4987363100252738</v>
      </c>
      <c r="I378" s="468">
        <v>1184</v>
      </c>
      <c r="J378" s="468">
        <v>2</v>
      </c>
      <c r="K378" s="468">
        <v>2374</v>
      </c>
      <c r="L378" s="468">
        <v>1</v>
      </c>
      <c r="M378" s="468">
        <v>1187</v>
      </c>
      <c r="N378" s="468">
        <v>3</v>
      </c>
      <c r="O378" s="468">
        <v>4449</v>
      </c>
      <c r="P378" s="603">
        <v>1.8740522325189553</v>
      </c>
      <c r="Q378" s="469">
        <v>1483</v>
      </c>
    </row>
    <row r="379" spans="1:17" ht="14.4" customHeight="1" x14ac:dyDescent="0.3">
      <c r="A379" s="522" t="s">
        <v>1115</v>
      </c>
      <c r="B379" s="465" t="s">
        <v>925</v>
      </c>
      <c r="C379" s="465" t="s">
        <v>926</v>
      </c>
      <c r="D379" s="465" t="s">
        <v>943</v>
      </c>
      <c r="E379" s="465" t="s">
        <v>944</v>
      </c>
      <c r="F379" s="468">
        <v>1</v>
      </c>
      <c r="G379" s="468">
        <v>812</v>
      </c>
      <c r="H379" s="468">
        <v>0.99876998769987702</v>
      </c>
      <c r="I379" s="468">
        <v>812</v>
      </c>
      <c r="J379" s="468">
        <v>1</v>
      </c>
      <c r="K379" s="468">
        <v>813</v>
      </c>
      <c r="L379" s="468">
        <v>1</v>
      </c>
      <c r="M379" s="468">
        <v>813</v>
      </c>
      <c r="N379" s="468"/>
      <c r="O379" s="468"/>
      <c r="P379" s="603"/>
      <c r="Q379" s="469"/>
    </row>
    <row r="380" spans="1:17" ht="14.4" customHeight="1" x14ac:dyDescent="0.3">
      <c r="A380" s="522" t="s">
        <v>1115</v>
      </c>
      <c r="B380" s="465" t="s">
        <v>925</v>
      </c>
      <c r="C380" s="465" t="s">
        <v>926</v>
      </c>
      <c r="D380" s="465" t="s">
        <v>945</v>
      </c>
      <c r="E380" s="465" t="s">
        <v>946</v>
      </c>
      <c r="F380" s="468">
        <v>1</v>
      </c>
      <c r="G380" s="468">
        <v>812</v>
      </c>
      <c r="H380" s="468">
        <v>0.99876998769987702</v>
      </c>
      <c r="I380" s="468">
        <v>812</v>
      </c>
      <c r="J380" s="468">
        <v>1</v>
      </c>
      <c r="K380" s="468">
        <v>813</v>
      </c>
      <c r="L380" s="468">
        <v>1</v>
      </c>
      <c r="M380" s="468">
        <v>813</v>
      </c>
      <c r="N380" s="468"/>
      <c r="O380" s="468"/>
      <c r="P380" s="603"/>
      <c r="Q380" s="469"/>
    </row>
    <row r="381" spans="1:17" ht="14.4" customHeight="1" x14ac:dyDescent="0.3">
      <c r="A381" s="522" t="s">
        <v>1115</v>
      </c>
      <c r="B381" s="465" t="s">
        <v>925</v>
      </c>
      <c r="C381" s="465" t="s">
        <v>926</v>
      </c>
      <c r="D381" s="465" t="s">
        <v>947</v>
      </c>
      <c r="E381" s="465" t="s">
        <v>948</v>
      </c>
      <c r="F381" s="468">
        <v>12</v>
      </c>
      <c r="G381" s="468">
        <v>2004</v>
      </c>
      <c r="H381" s="468">
        <v>0.91758241758241754</v>
      </c>
      <c r="I381" s="468">
        <v>167</v>
      </c>
      <c r="J381" s="468">
        <v>13</v>
      </c>
      <c r="K381" s="468">
        <v>2184</v>
      </c>
      <c r="L381" s="468">
        <v>1</v>
      </c>
      <c r="M381" s="468">
        <v>168</v>
      </c>
      <c r="N381" s="468">
        <v>21</v>
      </c>
      <c r="O381" s="468">
        <v>3528</v>
      </c>
      <c r="P381" s="603">
        <v>1.6153846153846154</v>
      </c>
      <c r="Q381" s="469">
        <v>168</v>
      </c>
    </row>
    <row r="382" spans="1:17" ht="14.4" customHeight="1" x14ac:dyDescent="0.3">
      <c r="A382" s="522" t="s">
        <v>1115</v>
      </c>
      <c r="B382" s="465" t="s">
        <v>925</v>
      </c>
      <c r="C382" s="465" t="s">
        <v>926</v>
      </c>
      <c r="D382" s="465" t="s">
        <v>949</v>
      </c>
      <c r="E382" s="465" t="s">
        <v>950</v>
      </c>
      <c r="F382" s="468">
        <v>11</v>
      </c>
      <c r="G382" s="468">
        <v>1903</v>
      </c>
      <c r="H382" s="468">
        <v>0.99425287356321834</v>
      </c>
      <c r="I382" s="468">
        <v>173</v>
      </c>
      <c r="J382" s="468">
        <v>11</v>
      </c>
      <c r="K382" s="468">
        <v>1914</v>
      </c>
      <c r="L382" s="468">
        <v>1</v>
      </c>
      <c r="M382" s="468">
        <v>174</v>
      </c>
      <c r="N382" s="468">
        <v>20</v>
      </c>
      <c r="O382" s="468">
        <v>3480</v>
      </c>
      <c r="P382" s="603">
        <v>1.8181818181818181</v>
      </c>
      <c r="Q382" s="469">
        <v>174</v>
      </c>
    </row>
    <row r="383" spans="1:17" ht="14.4" customHeight="1" x14ac:dyDescent="0.3">
      <c r="A383" s="522" t="s">
        <v>1115</v>
      </c>
      <c r="B383" s="465" t="s">
        <v>925</v>
      </c>
      <c r="C383" s="465" t="s">
        <v>926</v>
      </c>
      <c r="D383" s="465" t="s">
        <v>951</v>
      </c>
      <c r="E383" s="465" t="s">
        <v>952</v>
      </c>
      <c r="F383" s="468">
        <v>7</v>
      </c>
      <c r="G383" s="468">
        <v>2457</v>
      </c>
      <c r="H383" s="468">
        <v>6.9801136363636367</v>
      </c>
      <c r="I383" s="468">
        <v>351</v>
      </c>
      <c r="J383" s="468">
        <v>1</v>
      </c>
      <c r="K383" s="468">
        <v>352</v>
      </c>
      <c r="L383" s="468">
        <v>1</v>
      </c>
      <c r="M383" s="468">
        <v>352</v>
      </c>
      <c r="N383" s="468">
        <v>4</v>
      </c>
      <c r="O383" s="468">
        <v>1408</v>
      </c>
      <c r="P383" s="603">
        <v>4</v>
      </c>
      <c r="Q383" s="469">
        <v>352</v>
      </c>
    </row>
    <row r="384" spans="1:17" ht="14.4" customHeight="1" x14ac:dyDescent="0.3">
      <c r="A384" s="522" t="s">
        <v>1115</v>
      </c>
      <c r="B384" s="465" t="s">
        <v>925</v>
      </c>
      <c r="C384" s="465" t="s">
        <v>926</v>
      </c>
      <c r="D384" s="465" t="s">
        <v>1078</v>
      </c>
      <c r="E384" s="465" t="s">
        <v>1079</v>
      </c>
      <c r="F384" s="468">
        <v>2</v>
      </c>
      <c r="G384" s="468">
        <v>2074</v>
      </c>
      <c r="H384" s="468"/>
      <c r="I384" s="468">
        <v>1037</v>
      </c>
      <c r="J384" s="468"/>
      <c r="K384" s="468"/>
      <c r="L384" s="468"/>
      <c r="M384" s="468"/>
      <c r="N384" s="468"/>
      <c r="O384" s="468"/>
      <c r="P384" s="603"/>
      <c r="Q384" s="469"/>
    </row>
    <row r="385" spans="1:17" ht="14.4" customHeight="1" x14ac:dyDescent="0.3">
      <c r="A385" s="522" t="s">
        <v>1115</v>
      </c>
      <c r="B385" s="465" t="s">
        <v>925</v>
      </c>
      <c r="C385" s="465" t="s">
        <v>926</v>
      </c>
      <c r="D385" s="465" t="s">
        <v>953</v>
      </c>
      <c r="E385" s="465" t="s">
        <v>954</v>
      </c>
      <c r="F385" s="468">
        <v>7</v>
      </c>
      <c r="G385" s="468">
        <v>1323</v>
      </c>
      <c r="H385" s="468">
        <v>6.9631578947368418</v>
      </c>
      <c r="I385" s="468">
        <v>189</v>
      </c>
      <c r="J385" s="468">
        <v>1</v>
      </c>
      <c r="K385" s="468">
        <v>190</v>
      </c>
      <c r="L385" s="468">
        <v>1</v>
      </c>
      <c r="M385" s="468">
        <v>190</v>
      </c>
      <c r="N385" s="468">
        <v>4</v>
      </c>
      <c r="O385" s="468">
        <v>760</v>
      </c>
      <c r="P385" s="603">
        <v>4</v>
      </c>
      <c r="Q385" s="469">
        <v>190</v>
      </c>
    </row>
    <row r="386" spans="1:17" ht="14.4" customHeight="1" x14ac:dyDescent="0.3">
      <c r="A386" s="522" t="s">
        <v>1115</v>
      </c>
      <c r="B386" s="465" t="s">
        <v>925</v>
      </c>
      <c r="C386" s="465" t="s">
        <v>926</v>
      </c>
      <c r="D386" s="465" t="s">
        <v>955</v>
      </c>
      <c r="E386" s="465" t="s">
        <v>956</v>
      </c>
      <c r="F386" s="468">
        <v>13</v>
      </c>
      <c r="G386" s="468">
        <v>10686</v>
      </c>
      <c r="H386" s="468">
        <v>1.1803821937479289</v>
      </c>
      <c r="I386" s="468">
        <v>822</v>
      </c>
      <c r="J386" s="468">
        <v>11</v>
      </c>
      <c r="K386" s="468">
        <v>9053</v>
      </c>
      <c r="L386" s="468">
        <v>1</v>
      </c>
      <c r="M386" s="468">
        <v>823</v>
      </c>
      <c r="N386" s="468"/>
      <c r="O386" s="468"/>
      <c r="P386" s="603"/>
      <c r="Q386" s="469"/>
    </row>
    <row r="387" spans="1:17" ht="14.4" customHeight="1" x14ac:dyDescent="0.3">
      <c r="A387" s="522" t="s">
        <v>1115</v>
      </c>
      <c r="B387" s="465" t="s">
        <v>925</v>
      </c>
      <c r="C387" s="465" t="s">
        <v>926</v>
      </c>
      <c r="D387" s="465" t="s">
        <v>959</v>
      </c>
      <c r="E387" s="465" t="s">
        <v>960</v>
      </c>
      <c r="F387" s="468">
        <v>11</v>
      </c>
      <c r="G387" s="468">
        <v>6017</v>
      </c>
      <c r="H387" s="468">
        <v>0.99635701275045541</v>
      </c>
      <c r="I387" s="468">
        <v>547</v>
      </c>
      <c r="J387" s="468">
        <v>11</v>
      </c>
      <c r="K387" s="468">
        <v>6039</v>
      </c>
      <c r="L387" s="468">
        <v>1</v>
      </c>
      <c r="M387" s="468">
        <v>549</v>
      </c>
      <c r="N387" s="468">
        <v>20</v>
      </c>
      <c r="O387" s="468">
        <v>10980</v>
      </c>
      <c r="P387" s="603">
        <v>1.8181818181818181</v>
      </c>
      <c r="Q387" s="469">
        <v>549</v>
      </c>
    </row>
    <row r="388" spans="1:17" ht="14.4" customHeight="1" x14ac:dyDescent="0.3">
      <c r="A388" s="522" t="s">
        <v>1115</v>
      </c>
      <c r="B388" s="465" t="s">
        <v>925</v>
      </c>
      <c r="C388" s="465" t="s">
        <v>926</v>
      </c>
      <c r="D388" s="465" t="s">
        <v>961</v>
      </c>
      <c r="E388" s="465" t="s">
        <v>962</v>
      </c>
      <c r="F388" s="468">
        <v>2</v>
      </c>
      <c r="G388" s="468">
        <v>1304</v>
      </c>
      <c r="H388" s="468">
        <v>1.9938837920489296</v>
      </c>
      <c r="I388" s="468">
        <v>652</v>
      </c>
      <c r="J388" s="468">
        <v>1</v>
      </c>
      <c r="K388" s="468">
        <v>654</v>
      </c>
      <c r="L388" s="468">
        <v>1</v>
      </c>
      <c r="M388" s="468">
        <v>654</v>
      </c>
      <c r="N388" s="468">
        <v>19</v>
      </c>
      <c r="O388" s="468">
        <v>12426</v>
      </c>
      <c r="P388" s="603">
        <v>19</v>
      </c>
      <c r="Q388" s="469">
        <v>654</v>
      </c>
    </row>
    <row r="389" spans="1:17" ht="14.4" customHeight="1" x14ac:dyDescent="0.3">
      <c r="A389" s="522" t="s">
        <v>1115</v>
      </c>
      <c r="B389" s="465" t="s">
        <v>925</v>
      </c>
      <c r="C389" s="465" t="s">
        <v>926</v>
      </c>
      <c r="D389" s="465" t="s">
        <v>963</v>
      </c>
      <c r="E389" s="465" t="s">
        <v>964</v>
      </c>
      <c r="F389" s="468">
        <v>2</v>
      </c>
      <c r="G389" s="468">
        <v>1304</v>
      </c>
      <c r="H389" s="468">
        <v>1.9938837920489296</v>
      </c>
      <c r="I389" s="468">
        <v>652</v>
      </c>
      <c r="J389" s="468">
        <v>1</v>
      </c>
      <c r="K389" s="468">
        <v>654</v>
      </c>
      <c r="L389" s="468">
        <v>1</v>
      </c>
      <c r="M389" s="468">
        <v>654</v>
      </c>
      <c r="N389" s="468">
        <v>19</v>
      </c>
      <c r="O389" s="468">
        <v>12426</v>
      </c>
      <c r="P389" s="603">
        <v>19</v>
      </c>
      <c r="Q389" s="469">
        <v>654</v>
      </c>
    </row>
    <row r="390" spans="1:17" ht="14.4" customHeight="1" x14ac:dyDescent="0.3">
      <c r="A390" s="522" t="s">
        <v>1115</v>
      </c>
      <c r="B390" s="465" t="s">
        <v>925</v>
      </c>
      <c r="C390" s="465" t="s">
        <v>926</v>
      </c>
      <c r="D390" s="465" t="s">
        <v>965</v>
      </c>
      <c r="E390" s="465" t="s">
        <v>966</v>
      </c>
      <c r="F390" s="468">
        <v>4</v>
      </c>
      <c r="G390" s="468">
        <v>2704</v>
      </c>
      <c r="H390" s="468">
        <v>3.9882005899705013</v>
      </c>
      <c r="I390" s="468">
        <v>676</v>
      </c>
      <c r="J390" s="468">
        <v>1</v>
      </c>
      <c r="K390" s="468">
        <v>678</v>
      </c>
      <c r="L390" s="468">
        <v>1</v>
      </c>
      <c r="M390" s="468">
        <v>678</v>
      </c>
      <c r="N390" s="468">
        <v>5</v>
      </c>
      <c r="O390" s="468">
        <v>3390</v>
      </c>
      <c r="P390" s="603">
        <v>5</v>
      </c>
      <c r="Q390" s="469">
        <v>678</v>
      </c>
    </row>
    <row r="391" spans="1:17" ht="14.4" customHeight="1" x14ac:dyDescent="0.3">
      <c r="A391" s="522" t="s">
        <v>1115</v>
      </c>
      <c r="B391" s="465" t="s">
        <v>925</v>
      </c>
      <c r="C391" s="465" t="s">
        <v>926</v>
      </c>
      <c r="D391" s="465" t="s">
        <v>967</v>
      </c>
      <c r="E391" s="465" t="s">
        <v>968</v>
      </c>
      <c r="F391" s="468"/>
      <c r="G391" s="468"/>
      <c r="H391" s="468"/>
      <c r="I391" s="468"/>
      <c r="J391" s="468"/>
      <c r="K391" s="468"/>
      <c r="L391" s="468"/>
      <c r="M391" s="468"/>
      <c r="N391" s="468">
        <v>19</v>
      </c>
      <c r="O391" s="468">
        <v>9747</v>
      </c>
      <c r="P391" s="603"/>
      <c r="Q391" s="469">
        <v>513</v>
      </c>
    </row>
    <row r="392" spans="1:17" ht="14.4" customHeight="1" x14ac:dyDescent="0.3">
      <c r="A392" s="522" t="s">
        <v>1115</v>
      </c>
      <c r="B392" s="465" t="s">
        <v>925</v>
      </c>
      <c r="C392" s="465" t="s">
        <v>926</v>
      </c>
      <c r="D392" s="465" t="s">
        <v>969</v>
      </c>
      <c r="E392" s="465" t="s">
        <v>970</v>
      </c>
      <c r="F392" s="468"/>
      <c r="G392" s="468"/>
      <c r="H392" s="468"/>
      <c r="I392" s="468"/>
      <c r="J392" s="468"/>
      <c r="K392" s="468"/>
      <c r="L392" s="468"/>
      <c r="M392" s="468"/>
      <c r="N392" s="468">
        <v>19</v>
      </c>
      <c r="O392" s="468">
        <v>8037</v>
      </c>
      <c r="P392" s="603"/>
      <c r="Q392" s="469">
        <v>423</v>
      </c>
    </row>
    <row r="393" spans="1:17" ht="14.4" customHeight="1" x14ac:dyDescent="0.3">
      <c r="A393" s="522" t="s">
        <v>1115</v>
      </c>
      <c r="B393" s="465" t="s">
        <v>925</v>
      </c>
      <c r="C393" s="465" t="s">
        <v>926</v>
      </c>
      <c r="D393" s="465" t="s">
        <v>971</v>
      </c>
      <c r="E393" s="465" t="s">
        <v>972</v>
      </c>
      <c r="F393" s="468">
        <v>11</v>
      </c>
      <c r="G393" s="468">
        <v>3817</v>
      </c>
      <c r="H393" s="468">
        <v>0.91141356255969441</v>
      </c>
      <c r="I393" s="468">
        <v>347</v>
      </c>
      <c r="J393" s="468">
        <v>12</v>
      </c>
      <c r="K393" s="468">
        <v>4188</v>
      </c>
      <c r="L393" s="468">
        <v>1</v>
      </c>
      <c r="M393" s="468">
        <v>349</v>
      </c>
      <c r="N393" s="468">
        <v>19</v>
      </c>
      <c r="O393" s="468">
        <v>6631</v>
      </c>
      <c r="P393" s="603">
        <v>1.5833333333333333</v>
      </c>
      <c r="Q393" s="469">
        <v>349</v>
      </c>
    </row>
    <row r="394" spans="1:17" ht="14.4" customHeight="1" x14ac:dyDescent="0.3">
      <c r="A394" s="522" t="s">
        <v>1115</v>
      </c>
      <c r="B394" s="465" t="s">
        <v>925</v>
      </c>
      <c r="C394" s="465" t="s">
        <v>926</v>
      </c>
      <c r="D394" s="465" t="s">
        <v>973</v>
      </c>
      <c r="E394" s="465" t="s">
        <v>974</v>
      </c>
      <c r="F394" s="468">
        <v>1</v>
      </c>
      <c r="G394" s="468">
        <v>219</v>
      </c>
      <c r="H394" s="468"/>
      <c r="I394" s="468">
        <v>219</v>
      </c>
      <c r="J394" s="468"/>
      <c r="K394" s="468"/>
      <c r="L394" s="468"/>
      <c r="M394" s="468"/>
      <c r="N394" s="468"/>
      <c r="O394" s="468"/>
      <c r="P394" s="603"/>
      <c r="Q394" s="469"/>
    </row>
    <row r="395" spans="1:17" ht="14.4" customHeight="1" x14ac:dyDescent="0.3">
      <c r="A395" s="522" t="s">
        <v>1115</v>
      </c>
      <c r="B395" s="465" t="s">
        <v>925</v>
      </c>
      <c r="C395" s="465" t="s">
        <v>926</v>
      </c>
      <c r="D395" s="465" t="s">
        <v>977</v>
      </c>
      <c r="E395" s="465" t="s">
        <v>978</v>
      </c>
      <c r="F395" s="468">
        <v>1</v>
      </c>
      <c r="G395" s="468">
        <v>148</v>
      </c>
      <c r="H395" s="468"/>
      <c r="I395" s="468">
        <v>148</v>
      </c>
      <c r="J395" s="468"/>
      <c r="K395" s="468"/>
      <c r="L395" s="468"/>
      <c r="M395" s="468"/>
      <c r="N395" s="468"/>
      <c r="O395" s="468"/>
      <c r="P395" s="603"/>
      <c r="Q395" s="469"/>
    </row>
    <row r="396" spans="1:17" ht="14.4" customHeight="1" x14ac:dyDescent="0.3">
      <c r="A396" s="522" t="s">
        <v>1115</v>
      </c>
      <c r="B396" s="465" t="s">
        <v>925</v>
      </c>
      <c r="C396" s="465" t="s">
        <v>926</v>
      </c>
      <c r="D396" s="465" t="s">
        <v>979</v>
      </c>
      <c r="E396" s="465" t="s">
        <v>980</v>
      </c>
      <c r="F396" s="468">
        <v>9</v>
      </c>
      <c r="G396" s="468">
        <v>2142</v>
      </c>
      <c r="H396" s="468">
        <v>8.96234309623431</v>
      </c>
      <c r="I396" s="468">
        <v>238</v>
      </c>
      <c r="J396" s="468">
        <v>1</v>
      </c>
      <c r="K396" s="468">
        <v>239</v>
      </c>
      <c r="L396" s="468">
        <v>1</v>
      </c>
      <c r="M396" s="468">
        <v>239</v>
      </c>
      <c r="N396" s="468">
        <v>4</v>
      </c>
      <c r="O396" s="468">
        <v>956</v>
      </c>
      <c r="P396" s="603">
        <v>4</v>
      </c>
      <c r="Q396" s="469">
        <v>239</v>
      </c>
    </row>
    <row r="397" spans="1:17" ht="14.4" customHeight="1" x14ac:dyDescent="0.3">
      <c r="A397" s="522" t="s">
        <v>1115</v>
      </c>
      <c r="B397" s="465" t="s">
        <v>925</v>
      </c>
      <c r="C397" s="465" t="s">
        <v>926</v>
      </c>
      <c r="D397" s="465" t="s">
        <v>981</v>
      </c>
      <c r="E397" s="465" t="s">
        <v>982</v>
      </c>
      <c r="F397" s="468">
        <v>10</v>
      </c>
      <c r="G397" s="468">
        <v>1110</v>
      </c>
      <c r="H397" s="468">
        <v>1.1111111111111112</v>
      </c>
      <c r="I397" s="468">
        <v>111</v>
      </c>
      <c r="J397" s="468">
        <v>9</v>
      </c>
      <c r="K397" s="468">
        <v>999</v>
      </c>
      <c r="L397" s="468">
        <v>1</v>
      </c>
      <c r="M397" s="468">
        <v>111</v>
      </c>
      <c r="N397" s="468">
        <v>20</v>
      </c>
      <c r="O397" s="468">
        <v>2220</v>
      </c>
      <c r="P397" s="603">
        <v>2.2222222222222223</v>
      </c>
      <c r="Q397" s="469">
        <v>111</v>
      </c>
    </row>
    <row r="398" spans="1:17" ht="14.4" customHeight="1" x14ac:dyDescent="0.3">
      <c r="A398" s="522" t="s">
        <v>1115</v>
      </c>
      <c r="B398" s="465" t="s">
        <v>925</v>
      </c>
      <c r="C398" s="465" t="s">
        <v>926</v>
      </c>
      <c r="D398" s="465" t="s">
        <v>985</v>
      </c>
      <c r="E398" s="465" t="s">
        <v>986</v>
      </c>
      <c r="F398" s="468">
        <v>2</v>
      </c>
      <c r="G398" s="468">
        <v>622</v>
      </c>
      <c r="H398" s="468">
        <v>0.22150997150997151</v>
      </c>
      <c r="I398" s="468">
        <v>311</v>
      </c>
      <c r="J398" s="468">
        <v>9</v>
      </c>
      <c r="K398" s="468">
        <v>2808</v>
      </c>
      <c r="L398" s="468">
        <v>1</v>
      </c>
      <c r="M398" s="468">
        <v>312</v>
      </c>
      <c r="N398" s="468">
        <v>19</v>
      </c>
      <c r="O398" s="468">
        <v>5928</v>
      </c>
      <c r="P398" s="603">
        <v>2.1111111111111112</v>
      </c>
      <c r="Q398" s="469">
        <v>312</v>
      </c>
    </row>
    <row r="399" spans="1:17" ht="14.4" customHeight="1" x14ac:dyDescent="0.3">
      <c r="A399" s="522" t="s">
        <v>1115</v>
      </c>
      <c r="B399" s="465" t="s">
        <v>925</v>
      </c>
      <c r="C399" s="465" t="s">
        <v>926</v>
      </c>
      <c r="D399" s="465" t="s">
        <v>989</v>
      </c>
      <c r="E399" s="465" t="s">
        <v>990</v>
      </c>
      <c r="F399" s="468"/>
      <c r="G399" s="468"/>
      <c r="H399" s="468"/>
      <c r="I399" s="468"/>
      <c r="J399" s="468"/>
      <c r="K399" s="468"/>
      <c r="L399" s="468"/>
      <c r="M399" s="468"/>
      <c r="N399" s="468">
        <v>2</v>
      </c>
      <c r="O399" s="468">
        <v>34</v>
      </c>
      <c r="P399" s="603"/>
      <c r="Q399" s="469">
        <v>17</v>
      </c>
    </row>
    <row r="400" spans="1:17" ht="14.4" customHeight="1" x14ac:dyDescent="0.3">
      <c r="A400" s="522" t="s">
        <v>1115</v>
      </c>
      <c r="B400" s="465" t="s">
        <v>925</v>
      </c>
      <c r="C400" s="465" t="s">
        <v>926</v>
      </c>
      <c r="D400" s="465" t="s">
        <v>993</v>
      </c>
      <c r="E400" s="465" t="s">
        <v>994</v>
      </c>
      <c r="F400" s="468">
        <v>10</v>
      </c>
      <c r="G400" s="468">
        <v>3490</v>
      </c>
      <c r="H400" s="468"/>
      <c r="I400" s="468">
        <v>349</v>
      </c>
      <c r="J400" s="468"/>
      <c r="K400" s="468"/>
      <c r="L400" s="468"/>
      <c r="M400" s="468"/>
      <c r="N400" s="468"/>
      <c r="O400" s="468"/>
      <c r="P400" s="603"/>
      <c r="Q400" s="469"/>
    </row>
    <row r="401" spans="1:17" ht="14.4" customHeight="1" x14ac:dyDescent="0.3">
      <c r="A401" s="522" t="s">
        <v>1115</v>
      </c>
      <c r="B401" s="465" t="s">
        <v>925</v>
      </c>
      <c r="C401" s="465" t="s">
        <v>926</v>
      </c>
      <c r="D401" s="465" t="s">
        <v>1001</v>
      </c>
      <c r="E401" s="465" t="s">
        <v>1002</v>
      </c>
      <c r="F401" s="468">
        <v>7</v>
      </c>
      <c r="G401" s="468">
        <v>2058</v>
      </c>
      <c r="H401" s="468">
        <v>6.9762711864406777</v>
      </c>
      <c r="I401" s="468">
        <v>294</v>
      </c>
      <c r="J401" s="468">
        <v>1</v>
      </c>
      <c r="K401" s="468">
        <v>295</v>
      </c>
      <c r="L401" s="468">
        <v>1</v>
      </c>
      <c r="M401" s="468">
        <v>295</v>
      </c>
      <c r="N401" s="468">
        <v>4</v>
      </c>
      <c r="O401" s="468">
        <v>1180</v>
      </c>
      <c r="P401" s="603">
        <v>4</v>
      </c>
      <c r="Q401" s="469">
        <v>295</v>
      </c>
    </row>
    <row r="402" spans="1:17" ht="14.4" customHeight="1" x14ac:dyDescent="0.3">
      <c r="A402" s="522" t="s">
        <v>1115</v>
      </c>
      <c r="B402" s="465" t="s">
        <v>925</v>
      </c>
      <c r="C402" s="465" t="s">
        <v>926</v>
      </c>
      <c r="D402" s="465" t="s">
        <v>1003</v>
      </c>
      <c r="E402" s="465" t="s">
        <v>1004</v>
      </c>
      <c r="F402" s="468">
        <v>11</v>
      </c>
      <c r="G402" s="468">
        <v>2277</v>
      </c>
      <c r="H402" s="468">
        <v>0.90789473684210531</v>
      </c>
      <c r="I402" s="468">
        <v>207</v>
      </c>
      <c r="J402" s="468">
        <v>12</v>
      </c>
      <c r="K402" s="468">
        <v>2508</v>
      </c>
      <c r="L402" s="468">
        <v>1</v>
      </c>
      <c r="M402" s="468">
        <v>209</v>
      </c>
      <c r="N402" s="468">
        <v>20</v>
      </c>
      <c r="O402" s="468">
        <v>4180</v>
      </c>
      <c r="P402" s="603">
        <v>1.6666666666666667</v>
      </c>
      <c r="Q402" s="469">
        <v>209</v>
      </c>
    </row>
    <row r="403" spans="1:17" ht="14.4" customHeight="1" x14ac:dyDescent="0.3">
      <c r="A403" s="522" t="s">
        <v>1115</v>
      </c>
      <c r="B403" s="465" t="s">
        <v>925</v>
      </c>
      <c r="C403" s="465" t="s">
        <v>926</v>
      </c>
      <c r="D403" s="465" t="s">
        <v>1005</v>
      </c>
      <c r="E403" s="465" t="s">
        <v>1006</v>
      </c>
      <c r="F403" s="468">
        <v>10</v>
      </c>
      <c r="G403" s="468">
        <v>390</v>
      </c>
      <c r="H403" s="468">
        <v>0.88636363636363635</v>
      </c>
      <c r="I403" s="468">
        <v>39</v>
      </c>
      <c r="J403" s="468">
        <v>11</v>
      </c>
      <c r="K403" s="468">
        <v>440</v>
      </c>
      <c r="L403" s="468">
        <v>1</v>
      </c>
      <c r="M403" s="468">
        <v>40</v>
      </c>
      <c r="N403" s="468">
        <v>20</v>
      </c>
      <c r="O403" s="468">
        <v>800</v>
      </c>
      <c r="P403" s="603">
        <v>1.8181818181818181</v>
      </c>
      <c r="Q403" s="469">
        <v>40</v>
      </c>
    </row>
    <row r="404" spans="1:17" ht="14.4" customHeight="1" x14ac:dyDescent="0.3">
      <c r="A404" s="522" t="s">
        <v>1115</v>
      </c>
      <c r="B404" s="465" t="s">
        <v>925</v>
      </c>
      <c r="C404" s="465" t="s">
        <v>926</v>
      </c>
      <c r="D404" s="465" t="s">
        <v>1009</v>
      </c>
      <c r="E404" s="465" t="s">
        <v>1010</v>
      </c>
      <c r="F404" s="468">
        <v>13</v>
      </c>
      <c r="G404" s="468">
        <v>2210</v>
      </c>
      <c r="H404" s="468">
        <v>0.99415204678362568</v>
      </c>
      <c r="I404" s="468">
        <v>170</v>
      </c>
      <c r="J404" s="468">
        <v>13</v>
      </c>
      <c r="K404" s="468">
        <v>2223</v>
      </c>
      <c r="L404" s="468">
        <v>1</v>
      </c>
      <c r="M404" s="468">
        <v>171</v>
      </c>
      <c r="N404" s="468">
        <v>20</v>
      </c>
      <c r="O404" s="468">
        <v>3420</v>
      </c>
      <c r="P404" s="603">
        <v>1.5384615384615385</v>
      </c>
      <c r="Q404" s="469">
        <v>171</v>
      </c>
    </row>
    <row r="405" spans="1:17" ht="14.4" customHeight="1" x14ac:dyDescent="0.3">
      <c r="A405" s="522" t="s">
        <v>1115</v>
      </c>
      <c r="B405" s="465" t="s">
        <v>925</v>
      </c>
      <c r="C405" s="465" t="s">
        <v>926</v>
      </c>
      <c r="D405" s="465" t="s">
        <v>1013</v>
      </c>
      <c r="E405" s="465" t="s">
        <v>1014</v>
      </c>
      <c r="F405" s="468">
        <v>2</v>
      </c>
      <c r="G405" s="468">
        <v>1376</v>
      </c>
      <c r="H405" s="468">
        <v>0.99710144927536237</v>
      </c>
      <c r="I405" s="468">
        <v>688</v>
      </c>
      <c r="J405" s="468">
        <v>2</v>
      </c>
      <c r="K405" s="468">
        <v>1380</v>
      </c>
      <c r="L405" s="468">
        <v>1</v>
      </c>
      <c r="M405" s="468">
        <v>690</v>
      </c>
      <c r="N405" s="468">
        <v>38</v>
      </c>
      <c r="O405" s="468">
        <v>26220</v>
      </c>
      <c r="P405" s="603">
        <v>19</v>
      </c>
      <c r="Q405" s="469">
        <v>690</v>
      </c>
    </row>
    <row r="406" spans="1:17" ht="14.4" customHeight="1" x14ac:dyDescent="0.3">
      <c r="A406" s="522" t="s">
        <v>1115</v>
      </c>
      <c r="B406" s="465" t="s">
        <v>925</v>
      </c>
      <c r="C406" s="465" t="s">
        <v>926</v>
      </c>
      <c r="D406" s="465" t="s">
        <v>1015</v>
      </c>
      <c r="E406" s="465" t="s">
        <v>1016</v>
      </c>
      <c r="F406" s="468">
        <v>17</v>
      </c>
      <c r="G406" s="468">
        <v>5916</v>
      </c>
      <c r="H406" s="468">
        <v>1.3002197802197801</v>
      </c>
      <c r="I406" s="468">
        <v>348</v>
      </c>
      <c r="J406" s="468">
        <v>13</v>
      </c>
      <c r="K406" s="468">
        <v>4550</v>
      </c>
      <c r="L406" s="468">
        <v>1</v>
      </c>
      <c r="M406" s="468">
        <v>350</v>
      </c>
      <c r="N406" s="468">
        <v>23</v>
      </c>
      <c r="O406" s="468">
        <v>8050</v>
      </c>
      <c r="P406" s="603">
        <v>1.7692307692307692</v>
      </c>
      <c r="Q406" s="469">
        <v>350</v>
      </c>
    </row>
    <row r="407" spans="1:17" ht="14.4" customHeight="1" x14ac:dyDescent="0.3">
      <c r="A407" s="522" t="s">
        <v>1115</v>
      </c>
      <c r="B407" s="465" t="s">
        <v>925</v>
      </c>
      <c r="C407" s="465" t="s">
        <v>926</v>
      </c>
      <c r="D407" s="465" t="s">
        <v>1017</v>
      </c>
      <c r="E407" s="465" t="s">
        <v>1018</v>
      </c>
      <c r="F407" s="468">
        <v>11</v>
      </c>
      <c r="G407" s="468">
        <v>1903</v>
      </c>
      <c r="H407" s="468">
        <v>0.84129089301503091</v>
      </c>
      <c r="I407" s="468">
        <v>173</v>
      </c>
      <c r="J407" s="468">
        <v>13</v>
      </c>
      <c r="K407" s="468">
        <v>2262</v>
      </c>
      <c r="L407" s="468">
        <v>1</v>
      </c>
      <c r="M407" s="468">
        <v>174</v>
      </c>
      <c r="N407" s="468">
        <v>20</v>
      </c>
      <c r="O407" s="468">
        <v>3480</v>
      </c>
      <c r="P407" s="603">
        <v>1.5384615384615385</v>
      </c>
      <c r="Q407" s="469">
        <v>174</v>
      </c>
    </row>
    <row r="408" spans="1:17" ht="14.4" customHeight="1" x14ac:dyDescent="0.3">
      <c r="A408" s="522" t="s">
        <v>1115</v>
      </c>
      <c r="B408" s="465" t="s">
        <v>925</v>
      </c>
      <c r="C408" s="465" t="s">
        <v>926</v>
      </c>
      <c r="D408" s="465" t="s">
        <v>1021</v>
      </c>
      <c r="E408" s="465" t="s">
        <v>1022</v>
      </c>
      <c r="F408" s="468">
        <v>2</v>
      </c>
      <c r="G408" s="468">
        <v>1304</v>
      </c>
      <c r="H408" s="468">
        <v>1.9938837920489296</v>
      </c>
      <c r="I408" s="468">
        <v>652</v>
      </c>
      <c r="J408" s="468">
        <v>1</v>
      </c>
      <c r="K408" s="468">
        <v>654</v>
      </c>
      <c r="L408" s="468">
        <v>1</v>
      </c>
      <c r="M408" s="468">
        <v>654</v>
      </c>
      <c r="N408" s="468">
        <v>19</v>
      </c>
      <c r="O408" s="468">
        <v>12426</v>
      </c>
      <c r="P408" s="603">
        <v>19</v>
      </c>
      <c r="Q408" s="469">
        <v>654</v>
      </c>
    </row>
    <row r="409" spans="1:17" ht="14.4" customHeight="1" x14ac:dyDescent="0.3">
      <c r="A409" s="522" t="s">
        <v>1115</v>
      </c>
      <c r="B409" s="465" t="s">
        <v>925</v>
      </c>
      <c r="C409" s="465" t="s">
        <v>926</v>
      </c>
      <c r="D409" s="465" t="s">
        <v>1023</v>
      </c>
      <c r="E409" s="465" t="s">
        <v>1024</v>
      </c>
      <c r="F409" s="468">
        <v>2</v>
      </c>
      <c r="G409" s="468">
        <v>1304</v>
      </c>
      <c r="H409" s="468">
        <v>1.9938837920489296</v>
      </c>
      <c r="I409" s="468">
        <v>652</v>
      </c>
      <c r="J409" s="468">
        <v>1</v>
      </c>
      <c r="K409" s="468">
        <v>654</v>
      </c>
      <c r="L409" s="468">
        <v>1</v>
      </c>
      <c r="M409" s="468">
        <v>654</v>
      </c>
      <c r="N409" s="468">
        <v>19</v>
      </c>
      <c r="O409" s="468">
        <v>12426</v>
      </c>
      <c r="P409" s="603">
        <v>19</v>
      </c>
      <c r="Q409" s="469">
        <v>654</v>
      </c>
    </row>
    <row r="410" spans="1:17" ht="14.4" customHeight="1" x14ac:dyDescent="0.3">
      <c r="A410" s="522" t="s">
        <v>1115</v>
      </c>
      <c r="B410" s="465" t="s">
        <v>925</v>
      </c>
      <c r="C410" s="465" t="s">
        <v>926</v>
      </c>
      <c r="D410" s="465" t="s">
        <v>1027</v>
      </c>
      <c r="E410" s="465" t="s">
        <v>1028</v>
      </c>
      <c r="F410" s="468">
        <v>11</v>
      </c>
      <c r="G410" s="468">
        <v>7612</v>
      </c>
      <c r="H410" s="468">
        <v>1.0968299711815561</v>
      </c>
      <c r="I410" s="468">
        <v>692</v>
      </c>
      <c r="J410" s="468">
        <v>10</v>
      </c>
      <c r="K410" s="468">
        <v>6940</v>
      </c>
      <c r="L410" s="468">
        <v>1</v>
      </c>
      <c r="M410" s="468">
        <v>694</v>
      </c>
      <c r="N410" s="468">
        <v>19</v>
      </c>
      <c r="O410" s="468">
        <v>13186</v>
      </c>
      <c r="P410" s="603">
        <v>1.9</v>
      </c>
      <c r="Q410" s="469">
        <v>694</v>
      </c>
    </row>
    <row r="411" spans="1:17" ht="14.4" customHeight="1" x14ac:dyDescent="0.3">
      <c r="A411" s="522" t="s">
        <v>1115</v>
      </c>
      <c r="B411" s="465" t="s">
        <v>925</v>
      </c>
      <c r="C411" s="465" t="s">
        <v>926</v>
      </c>
      <c r="D411" s="465" t="s">
        <v>1029</v>
      </c>
      <c r="E411" s="465" t="s">
        <v>1030</v>
      </c>
      <c r="F411" s="468">
        <v>4</v>
      </c>
      <c r="G411" s="468">
        <v>2704</v>
      </c>
      <c r="H411" s="468">
        <v>3.9882005899705013</v>
      </c>
      <c r="I411" s="468">
        <v>676</v>
      </c>
      <c r="J411" s="468">
        <v>1</v>
      </c>
      <c r="K411" s="468">
        <v>678</v>
      </c>
      <c r="L411" s="468">
        <v>1</v>
      </c>
      <c r="M411" s="468">
        <v>678</v>
      </c>
      <c r="N411" s="468">
        <v>5</v>
      </c>
      <c r="O411" s="468">
        <v>3390</v>
      </c>
      <c r="P411" s="603">
        <v>5</v>
      </c>
      <c r="Q411" s="469">
        <v>678</v>
      </c>
    </row>
    <row r="412" spans="1:17" ht="14.4" customHeight="1" x14ac:dyDescent="0.3">
      <c r="A412" s="522" t="s">
        <v>1115</v>
      </c>
      <c r="B412" s="465" t="s">
        <v>925</v>
      </c>
      <c r="C412" s="465" t="s">
        <v>926</v>
      </c>
      <c r="D412" s="465" t="s">
        <v>1031</v>
      </c>
      <c r="E412" s="465" t="s">
        <v>1032</v>
      </c>
      <c r="F412" s="468">
        <v>11</v>
      </c>
      <c r="G412" s="468">
        <v>5225</v>
      </c>
      <c r="H412" s="468">
        <v>0.99580712788259962</v>
      </c>
      <c r="I412" s="468">
        <v>475</v>
      </c>
      <c r="J412" s="468">
        <v>11</v>
      </c>
      <c r="K412" s="468">
        <v>5247</v>
      </c>
      <c r="L412" s="468">
        <v>1</v>
      </c>
      <c r="M412" s="468">
        <v>477</v>
      </c>
      <c r="N412" s="468">
        <v>19</v>
      </c>
      <c r="O412" s="468">
        <v>9063</v>
      </c>
      <c r="P412" s="603">
        <v>1.7272727272727273</v>
      </c>
      <c r="Q412" s="469">
        <v>477</v>
      </c>
    </row>
    <row r="413" spans="1:17" ht="14.4" customHeight="1" x14ac:dyDescent="0.3">
      <c r="A413" s="522" t="s">
        <v>1115</v>
      </c>
      <c r="B413" s="465" t="s">
        <v>925</v>
      </c>
      <c r="C413" s="465" t="s">
        <v>926</v>
      </c>
      <c r="D413" s="465" t="s">
        <v>1033</v>
      </c>
      <c r="E413" s="465" t="s">
        <v>1034</v>
      </c>
      <c r="F413" s="468"/>
      <c r="G413" s="468"/>
      <c r="H413" s="468"/>
      <c r="I413" s="468"/>
      <c r="J413" s="468"/>
      <c r="K413" s="468"/>
      <c r="L413" s="468"/>
      <c r="M413" s="468"/>
      <c r="N413" s="468">
        <v>19</v>
      </c>
      <c r="O413" s="468">
        <v>5529</v>
      </c>
      <c r="P413" s="603"/>
      <c r="Q413" s="469">
        <v>291</v>
      </c>
    </row>
    <row r="414" spans="1:17" ht="14.4" customHeight="1" x14ac:dyDescent="0.3">
      <c r="A414" s="522" t="s">
        <v>1115</v>
      </c>
      <c r="B414" s="465" t="s">
        <v>925</v>
      </c>
      <c r="C414" s="465" t="s">
        <v>926</v>
      </c>
      <c r="D414" s="465" t="s">
        <v>1035</v>
      </c>
      <c r="E414" s="465" t="s">
        <v>1036</v>
      </c>
      <c r="F414" s="468">
        <v>1</v>
      </c>
      <c r="G414" s="468">
        <v>812</v>
      </c>
      <c r="H414" s="468">
        <v>0.99876998769987702</v>
      </c>
      <c r="I414" s="468">
        <v>812</v>
      </c>
      <c r="J414" s="468">
        <v>1</v>
      </c>
      <c r="K414" s="468">
        <v>813</v>
      </c>
      <c r="L414" s="468">
        <v>1</v>
      </c>
      <c r="M414" s="468">
        <v>813</v>
      </c>
      <c r="N414" s="468"/>
      <c r="O414" s="468"/>
      <c r="P414" s="603"/>
      <c r="Q414" s="469"/>
    </row>
    <row r="415" spans="1:17" ht="14.4" customHeight="1" x14ac:dyDescent="0.3">
      <c r="A415" s="522" t="s">
        <v>1115</v>
      </c>
      <c r="B415" s="465" t="s">
        <v>925</v>
      </c>
      <c r="C415" s="465" t="s">
        <v>926</v>
      </c>
      <c r="D415" s="465" t="s">
        <v>1039</v>
      </c>
      <c r="E415" s="465" t="s">
        <v>1040</v>
      </c>
      <c r="F415" s="468">
        <v>11</v>
      </c>
      <c r="G415" s="468">
        <v>1837</v>
      </c>
      <c r="H415" s="468">
        <v>0.99404761904761907</v>
      </c>
      <c r="I415" s="468">
        <v>167</v>
      </c>
      <c r="J415" s="468">
        <v>11</v>
      </c>
      <c r="K415" s="468">
        <v>1848</v>
      </c>
      <c r="L415" s="468">
        <v>1</v>
      </c>
      <c r="M415" s="468">
        <v>168</v>
      </c>
      <c r="N415" s="468">
        <v>20</v>
      </c>
      <c r="O415" s="468">
        <v>3360</v>
      </c>
      <c r="P415" s="603">
        <v>1.8181818181818181</v>
      </c>
      <c r="Q415" s="469">
        <v>168</v>
      </c>
    </row>
    <row r="416" spans="1:17" ht="14.4" customHeight="1" x14ac:dyDescent="0.3">
      <c r="A416" s="522" t="s">
        <v>1115</v>
      </c>
      <c r="B416" s="465" t="s">
        <v>925</v>
      </c>
      <c r="C416" s="465" t="s">
        <v>926</v>
      </c>
      <c r="D416" s="465" t="s">
        <v>1047</v>
      </c>
      <c r="E416" s="465" t="s">
        <v>1048</v>
      </c>
      <c r="F416" s="468">
        <v>7</v>
      </c>
      <c r="G416" s="468">
        <v>1302</v>
      </c>
      <c r="H416" s="468">
        <v>6.9625668449197864</v>
      </c>
      <c r="I416" s="468">
        <v>186</v>
      </c>
      <c r="J416" s="468">
        <v>1</v>
      </c>
      <c r="K416" s="468">
        <v>187</v>
      </c>
      <c r="L416" s="468">
        <v>1</v>
      </c>
      <c r="M416" s="468">
        <v>187</v>
      </c>
      <c r="N416" s="468">
        <v>4</v>
      </c>
      <c r="O416" s="468">
        <v>748</v>
      </c>
      <c r="P416" s="603">
        <v>4</v>
      </c>
      <c r="Q416" s="469">
        <v>187</v>
      </c>
    </row>
    <row r="417" spans="1:17" ht="14.4" customHeight="1" x14ac:dyDescent="0.3">
      <c r="A417" s="522" t="s">
        <v>1115</v>
      </c>
      <c r="B417" s="465" t="s">
        <v>925</v>
      </c>
      <c r="C417" s="465" t="s">
        <v>926</v>
      </c>
      <c r="D417" s="465" t="s">
        <v>1049</v>
      </c>
      <c r="E417" s="465" t="s">
        <v>1050</v>
      </c>
      <c r="F417" s="468">
        <v>52</v>
      </c>
      <c r="G417" s="468">
        <v>29900</v>
      </c>
      <c r="H417" s="468">
        <v>0.76337826797385622</v>
      </c>
      <c r="I417" s="468">
        <v>575</v>
      </c>
      <c r="J417" s="468">
        <v>68</v>
      </c>
      <c r="K417" s="468">
        <v>39168</v>
      </c>
      <c r="L417" s="468">
        <v>1</v>
      </c>
      <c r="M417" s="468">
        <v>576</v>
      </c>
      <c r="N417" s="468">
        <v>5</v>
      </c>
      <c r="O417" s="468">
        <v>2880</v>
      </c>
      <c r="P417" s="603">
        <v>7.3529411764705885E-2</v>
      </c>
      <c r="Q417" s="469">
        <v>576</v>
      </c>
    </row>
    <row r="418" spans="1:17" ht="14.4" customHeight="1" x14ac:dyDescent="0.3">
      <c r="A418" s="522" t="s">
        <v>1115</v>
      </c>
      <c r="B418" s="465" t="s">
        <v>925</v>
      </c>
      <c r="C418" s="465" t="s">
        <v>926</v>
      </c>
      <c r="D418" s="465" t="s">
        <v>1053</v>
      </c>
      <c r="E418" s="465" t="s">
        <v>1054</v>
      </c>
      <c r="F418" s="468">
        <v>2</v>
      </c>
      <c r="G418" s="468">
        <v>2794</v>
      </c>
      <c r="H418" s="468">
        <v>1.9971408148677627</v>
      </c>
      <c r="I418" s="468">
        <v>1397</v>
      </c>
      <c r="J418" s="468">
        <v>1</v>
      </c>
      <c r="K418" s="468">
        <v>1399</v>
      </c>
      <c r="L418" s="468">
        <v>1</v>
      </c>
      <c r="M418" s="468">
        <v>1399</v>
      </c>
      <c r="N418" s="468">
        <v>19</v>
      </c>
      <c r="O418" s="468">
        <v>26581</v>
      </c>
      <c r="P418" s="603">
        <v>19</v>
      </c>
      <c r="Q418" s="469">
        <v>1399</v>
      </c>
    </row>
    <row r="419" spans="1:17" ht="14.4" customHeight="1" x14ac:dyDescent="0.3">
      <c r="A419" s="522" t="s">
        <v>1115</v>
      </c>
      <c r="B419" s="465" t="s">
        <v>925</v>
      </c>
      <c r="C419" s="465" t="s">
        <v>926</v>
      </c>
      <c r="D419" s="465" t="s">
        <v>1059</v>
      </c>
      <c r="E419" s="465" t="s">
        <v>1060</v>
      </c>
      <c r="F419" s="468">
        <v>1</v>
      </c>
      <c r="G419" s="468">
        <v>812</v>
      </c>
      <c r="H419" s="468">
        <v>0.99876998769987702</v>
      </c>
      <c r="I419" s="468">
        <v>812</v>
      </c>
      <c r="J419" s="468">
        <v>1</v>
      </c>
      <c r="K419" s="468">
        <v>813</v>
      </c>
      <c r="L419" s="468">
        <v>1</v>
      </c>
      <c r="M419" s="468">
        <v>813</v>
      </c>
      <c r="N419" s="468"/>
      <c r="O419" s="468"/>
      <c r="P419" s="603"/>
      <c r="Q419" s="469"/>
    </row>
    <row r="420" spans="1:17" ht="14.4" customHeight="1" x14ac:dyDescent="0.3">
      <c r="A420" s="522" t="s">
        <v>1115</v>
      </c>
      <c r="B420" s="465" t="s">
        <v>925</v>
      </c>
      <c r="C420" s="465" t="s">
        <v>926</v>
      </c>
      <c r="D420" s="465" t="s">
        <v>1063</v>
      </c>
      <c r="E420" s="465" t="s">
        <v>1064</v>
      </c>
      <c r="F420" s="468"/>
      <c r="G420" s="468"/>
      <c r="H420" s="468"/>
      <c r="I420" s="468"/>
      <c r="J420" s="468">
        <v>1</v>
      </c>
      <c r="K420" s="468">
        <v>260</v>
      </c>
      <c r="L420" s="468">
        <v>1</v>
      </c>
      <c r="M420" s="468">
        <v>260</v>
      </c>
      <c r="N420" s="468"/>
      <c r="O420" s="468"/>
      <c r="P420" s="603"/>
      <c r="Q420" s="469"/>
    </row>
    <row r="421" spans="1:17" ht="14.4" customHeight="1" x14ac:dyDescent="0.3">
      <c r="A421" s="522" t="s">
        <v>1116</v>
      </c>
      <c r="B421" s="465" t="s">
        <v>925</v>
      </c>
      <c r="C421" s="465" t="s">
        <v>926</v>
      </c>
      <c r="D421" s="465" t="s">
        <v>971</v>
      </c>
      <c r="E421" s="465" t="s">
        <v>972</v>
      </c>
      <c r="F421" s="468">
        <v>1</v>
      </c>
      <c r="G421" s="468">
        <v>347</v>
      </c>
      <c r="H421" s="468"/>
      <c r="I421" s="468">
        <v>347</v>
      </c>
      <c r="J421" s="468"/>
      <c r="K421" s="468"/>
      <c r="L421" s="468"/>
      <c r="M421" s="468"/>
      <c r="N421" s="468"/>
      <c r="O421" s="468"/>
      <c r="P421" s="603"/>
      <c r="Q421" s="469"/>
    </row>
    <row r="422" spans="1:17" ht="14.4" customHeight="1" x14ac:dyDescent="0.3">
      <c r="A422" s="522" t="s">
        <v>1116</v>
      </c>
      <c r="B422" s="465" t="s">
        <v>925</v>
      </c>
      <c r="C422" s="465" t="s">
        <v>926</v>
      </c>
      <c r="D422" s="465" t="s">
        <v>981</v>
      </c>
      <c r="E422" s="465" t="s">
        <v>982</v>
      </c>
      <c r="F422" s="468">
        <v>1</v>
      </c>
      <c r="G422" s="468">
        <v>111</v>
      </c>
      <c r="H422" s="468"/>
      <c r="I422" s="468">
        <v>111</v>
      </c>
      <c r="J422" s="468"/>
      <c r="K422" s="468"/>
      <c r="L422" s="468"/>
      <c r="M422" s="468"/>
      <c r="N422" s="468"/>
      <c r="O422" s="468"/>
      <c r="P422" s="603"/>
      <c r="Q422" s="469"/>
    </row>
    <row r="423" spans="1:17" ht="14.4" customHeight="1" x14ac:dyDescent="0.3">
      <c r="A423" s="522" t="s">
        <v>1116</v>
      </c>
      <c r="B423" s="465" t="s">
        <v>925</v>
      </c>
      <c r="C423" s="465" t="s">
        <v>926</v>
      </c>
      <c r="D423" s="465" t="s">
        <v>989</v>
      </c>
      <c r="E423" s="465" t="s">
        <v>990</v>
      </c>
      <c r="F423" s="468">
        <v>1</v>
      </c>
      <c r="G423" s="468">
        <v>16</v>
      </c>
      <c r="H423" s="468"/>
      <c r="I423" s="468">
        <v>16</v>
      </c>
      <c r="J423" s="468"/>
      <c r="K423" s="468"/>
      <c r="L423" s="468"/>
      <c r="M423" s="468"/>
      <c r="N423" s="468"/>
      <c r="O423" s="468"/>
      <c r="P423" s="603"/>
      <c r="Q423" s="469"/>
    </row>
    <row r="424" spans="1:17" ht="14.4" customHeight="1" x14ac:dyDescent="0.3">
      <c r="A424" s="522" t="s">
        <v>1116</v>
      </c>
      <c r="B424" s="465" t="s">
        <v>925</v>
      </c>
      <c r="C424" s="465" t="s">
        <v>926</v>
      </c>
      <c r="D424" s="465" t="s">
        <v>1003</v>
      </c>
      <c r="E424" s="465" t="s">
        <v>1004</v>
      </c>
      <c r="F424" s="468">
        <v>1</v>
      </c>
      <c r="G424" s="468">
        <v>207</v>
      </c>
      <c r="H424" s="468"/>
      <c r="I424" s="468">
        <v>207</v>
      </c>
      <c r="J424" s="468"/>
      <c r="K424" s="468"/>
      <c r="L424" s="468"/>
      <c r="M424" s="468"/>
      <c r="N424" s="468"/>
      <c r="O424" s="468"/>
      <c r="P424" s="603"/>
      <c r="Q424" s="469"/>
    </row>
    <row r="425" spans="1:17" ht="14.4" customHeight="1" x14ac:dyDescent="0.3">
      <c r="A425" s="522" t="s">
        <v>1117</v>
      </c>
      <c r="B425" s="465" t="s">
        <v>925</v>
      </c>
      <c r="C425" s="465" t="s">
        <v>926</v>
      </c>
      <c r="D425" s="465" t="s">
        <v>927</v>
      </c>
      <c r="E425" s="465" t="s">
        <v>928</v>
      </c>
      <c r="F425" s="468"/>
      <c r="G425" s="468"/>
      <c r="H425" s="468"/>
      <c r="I425" s="468"/>
      <c r="J425" s="468"/>
      <c r="K425" s="468"/>
      <c r="L425" s="468"/>
      <c r="M425" s="468"/>
      <c r="N425" s="468">
        <v>1</v>
      </c>
      <c r="O425" s="468">
        <v>1483</v>
      </c>
      <c r="P425" s="603"/>
      <c r="Q425" s="469">
        <v>1483</v>
      </c>
    </row>
    <row r="426" spans="1:17" ht="14.4" customHeight="1" x14ac:dyDescent="0.3">
      <c r="A426" s="522" t="s">
        <v>1118</v>
      </c>
      <c r="B426" s="465" t="s">
        <v>925</v>
      </c>
      <c r="C426" s="465" t="s">
        <v>926</v>
      </c>
      <c r="D426" s="465" t="s">
        <v>947</v>
      </c>
      <c r="E426" s="465" t="s">
        <v>948</v>
      </c>
      <c r="F426" s="468">
        <v>1</v>
      </c>
      <c r="G426" s="468">
        <v>167</v>
      </c>
      <c r="H426" s="468"/>
      <c r="I426" s="468">
        <v>167</v>
      </c>
      <c r="J426" s="468"/>
      <c r="K426" s="468"/>
      <c r="L426" s="468"/>
      <c r="M426" s="468"/>
      <c r="N426" s="468"/>
      <c r="O426" s="468"/>
      <c r="P426" s="603"/>
      <c r="Q426" s="469"/>
    </row>
    <row r="427" spans="1:17" ht="14.4" customHeight="1" x14ac:dyDescent="0.3">
      <c r="A427" s="522" t="s">
        <v>1118</v>
      </c>
      <c r="B427" s="465" t="s">
        <v>925</v>
      </c>
      <c r="C427" s="465" t="s">
        <v>926</v>
      </c>
      <c r="D427" s="465" t="s">
        <v>993</v>
      </c>
      <c r="E427" s="465" t="s">
        <v>994</v>
      </c>
      <c r="F427" s="468">
        <v>3</v>
      </c>
      <c r="G427" s="468">
        <v>1047</v>
      </c>
      <c r="H427" s="468"/>
      <c r="I427" s="468">
        <v>349</v>
      </c>
      <c r="J427" s="468"/>
      <c r="K427" s="468"/>
      <c r="L427" s="468"/>
      <c r="M427" s="468"/>
      <c r="N427" s="468"/>
      <c r="O427" s="468"/>
      <c r="P427" s="603"/>
      <c r="Q427" s="469"/>
    </row>
    <row r="428" spans="1:17" ht="14.4" customHeight="1" x14ac:dyDescent="0.3">
      <c r="A428" s="522" t="s">
        <v>1118</v>
      </c>
      <c r="B428" s="465" t="s">
        <v>925</v>
      </c>
      <c r="C428" s="465" t="s">
        <v>926</v>
      </c>
      <c r="D428" s="465" t="s">
        <v>1009</v>
      </c>
      <c r="E428" s="465" t="s">
        <v>1010</v>
      </c>
      <c r="F428" s="468">
        <v>1</v>
      </c>
      <c r="G428" s="468">
        <v>170</v>
      </c>
      <c r="H428" s="468"/>
      <c r="I428" s="468">
        <v>170</v>
      </c>
      <c r="J428" s="468"/>
      <c r="K428" s="468"/>
      <c r="L428" s="468"/>
      <c r="M428" s="468"/>
      <c r="N428" s="468"/>
      <c r="O428" s="468"/>
      <c r="P428" s="603"/>
      <c r="Q428" s="469"/>
    </row>
    <row r="429" spans="1:17" ht="14.4" customHeight="1" x14ac:dyDescent="0.3">
      <c r="A429" s="522" t="s">
        <v>1118</v>
      </c>
      <c r="B429" s="465" t="s">
        <v>925</v>
      </c>
      <c r="C429" s="465" t="s">
        <v>926</v>
      </c>
      <c r="D429" s="465" t="s">
        <v>1015</v>
      </c>
      <c r="E429" s="465" t="s">
        <v>1016</v>
      </c>
      <c r="F429" s="468">
        <v>2</v>
      </c>
      <c r="G429" s="468">
        <v>696</v>
      </c>
      <c r="H429" s="468"/>
      <c r="I429" s="468">
        <v>348</v>
      </c>
      <c r="J429" s="468"/>
      <c r="K429" s="468"/>
      <c r="L429" s="468"/>
      <c r="M429" s="468"/>
      <c r="N429" s="468"/>
      <c r="O429" s="468"/>
      <c r="P429" s="603"/>
      <c r="Q429" s="469"/>
    </row>
    <row r="430" spans="1:17" ht="14.4" customHeight="1" x14ac:dyDescent="0.3">
      <c r="A430" s="522" t="s">
        <v>1118</v>
      </c>
      <c r="B430" s="465" t="s">
        <v>925</v>
      </c>
      <c r="C430" s="465" t="s">
        <v>926</v>
      </c>
      <c r="D430" s="465" t="s">
        <v>1017</v>
      </c>
      <c r="E430" s="465" t="s">
        <v>1018</v>
      </c>
      <c r="F430" s="468">
        <v>1</v>
      </c>
      <c r="G430" s="468">
        <v>173</v>
      </c>
      <c r="H430" s="468"/>
      <c r="I430" s="468">
        <v>173</v>
      </c>
      <c r="J430" s="468"/>
      <c r="K430" s="468"/>
      <c r="L430" s="468"/>
      <c r="M430" s="468"/>
      <c r="N430" s="468"/>
      <c r="O430" s="468"/>
      <c r="P430" s="603"/>
      <c r="Q430" s="469"/>
    </row>
    <row r="431" spans="1:17" ht="14.4" customHeight="1" x14ac:dyDescent="0.3">
      <c r="A431" s="522" t="s">
        <v>1119</v>
      </c>
      <c r="B431" s="465" t="s">
        <v>925</v>
      </c>
      <c r="C431" s="465" t="s">
        <v>926</v>
      </c>
      <c r="D431" s="465" t="s">
        <v>927</v>
      </c>
      <c r="E431" s="465" t="s">
        <v>928</v>
      </c>
      <c r="F431" s="468">
        <v>2</v>
      </c>
      <c r="G431" s="468">
        <v>2368</v>
      </c>
      <c r="H431" s="468"/>
      <c r="I431" s="468">
        <v>1184</v>
      </c>
      <c r="J431" s="468"/>
      <c r="K431" s="468"/>
      <c r="L431" s="468"/>
      <c r="M431" s="468"/>
      <c r="N431" s="468">
        <v>1</v>
      </c>
      <c r="O431" s="468">
        <v>1483</v>
      </c>
      <c r="P431" s="603"/>
      <c r="Q431" s="469">
        <v>1483</v>
      </c>
    </row>
    <row r="432" spans="1:17" ht="14.4" customHeight="1" x14ac:dyDescent="0.3">
      <c r="A432" s="522" t="s">
        <v>1119</v>
      </c>
      <c r="B432" s="465" t="s">
        <v>925</v>
      </c>
      <c r="C432" s="465" t="s">
        <v>926</v>
      </c>
      <c r="D432" s="465" t="s">
        <v>929</v>
      </c>
      <c r="E432" s="465" t="s">
        <v>930</v>
      </c>
      <c r="F432" s="468">
        <v>6</v>
      </c>
      <c r="G432" s="468">
        <v>23286</v>
      </c>
      <c r="H432" s="468">
        <v>1.9841513292433537</v>
      </c>
      <c r="I432" s="468">
        <v>3881</v>
      </c>
      <c r="J432" s="468">
        <v>3</v>
      </c>
      <c r="K432" s="468">
        <v>11736</v>
      </c>
      <c r="L432" s="468">
        <v>1</v>
      </c>
      <c r="M432" s="468">
        <v>3912</v>
      </c>
      <c r="N432" s="468">
        <v>5</v>
      </c>
      <c r="O432" s="468">
        <v>19570</v>
      </c>
      <c r="P432" s="603">
        <v>1.6675187457396046</v>
      </c>
      <c r="Q432" s="469">
        <v>3914</v>
      </c>
    </row>
    <row r="433" spans="1:17" ht="14.4" customHeight="1" x14ac:dyDescent="0.3">
      <c r="A433" s="522" t="s">
        <v>1119</v>
      </c>
      <c r="B433" s="465" t="s">
        <v>925</v>
      </c>
      <c r="C433" s="465" t="s">
        <v>926</v>
      </c>
      <c r="D433" s="465" t="s">
        <v>931</v>
      </c>
      <c r="E433" s="465" t="s">
        <v>932</v>
      </c>
      <c r="F433" s="468"/>
      <c r="G433" s="468"/>
      <c r="H433" s="468"/>
      <c r="I433" s="468"/>
      <c r="J433" s="468"/>
      <c r="K433" s="468"/>
      <c r="L433" s="468"/>
      <c r="M433" s="468"/>
      <c r="N433" s="468">
        <v>1</v>
      </c>
      <c r="O433" s="468">
        <v>658</v>
      </c>
      <c r="P433" s="603"/>
      <c r="Q433" s="469">
        <v>658</v>
      </c>
    </row>
    <row r="434" spans="1:17" ht="14.4" customHeight="1" x14ac:dyDescent="0.3">
      <c r="A434" s="522" t="s">
        <v>1119</v>
      </c>
      <c r="B434" s="465" t="s">
        <v>925</v>
      </c>
      <c r="C434" s="465" t="s">
        <v>926</v>
      </c>
      <c r="D434" s="465" t="s">
        <v>933</v>
      </c>
      <c r="E434" s="465" t="s">
        <v>934</v>
      </c>
      <c r="F434" s="468">
        <v>1</v>
      </c>
      <c r="G434" s="468">
        <v>318</v>
      </c>
      <c r="H434" s="468"/>
      <c r="I434" s="468">
        <v>318</v>
      </c>
      <c r="J434" s="468"/>
      <c r="K434" s="468"/>
      <c r="L434" s="468"/>
      <c r="M434" s="468"/>
      <c r="N434" s="468"/>
      <c r="O434" s="468"/>
      <c r="P434" s="603"/>
      <c r="Q434" s="469"/>
    </row>
    <row r="435" spans="1:17" ht="14.4" customHeight="1" x14ac:dyDescent="0.3">
      <c r="A435" s="522" t="s">
        <v>1119</v>
      </c>
      <c r="B435" s="465" t="s">
        <v>925</v>
      </c>
      <c r="C435" s="465" t="s">
        <v>926</v>
      </c>
      <c r="D435" s="465" t="s">
        <v>939</v>
      </c>
      <c r="E435" s="465" t="s">
        <v>940</v>
      </c>
      <c r="F435" s="468"/>
      <c r="G435" s="468"/>
      <c r="H435" s="468"/>
      <c r="I435" s="468"/>
      <c r="J435" s="468"/>
      <c r="K435" s="468"/>
      <c r="L435" s="468"/>
      <c r="M435" s="468"/>
      <c r="N435" s="468">
        <v>5</v>
      </c>
      <c r="O435" s="468">
        <v>4215</v>
      </c>
      <c r="P435" s="603"/>
      <c r="Q435" s="469">
        <v>843</v>
      </c>
    </row>
    <row r="436" spans="1:17" ht="14.4" customHeight="1" x14ac:dyDescent="0.3">
      <c r="A436" s="522" t="s">
        <v>1119</v>
      </c>
      <c r="B436" s="465" t="s">
        <v>925</v>
      </c>
      <c r="C436" s="465" t="s">
        <v>926</v>
      </c>
      <c r="D436" s="465" t="s">
        <v>943</v>
      </c>
      <c r="E436" s="465" t="s">
        <v>944</v>
      </c>
      <c r="F436" s="468">
        <v>1</v>
      </c>
      <c r="G436" s="468">
        <v>812</v>
      </c>
      <c r="H436" s="468"/>
      <c r="I436" s="468">
        <v>812</v>
      </c>
      <c r="J436" s="468"/>
      <c r="K436" s="468"/>
      <c r="L436" s="468"/>
      <c r="M436" s="468"/>
      <c r="N436" s="468"/>
      <c r="O436" s="468"/>
      <c r="P436" s="603"/>
      <c r="Q436" s="469"/>
    </row>
    <row r="437" spans="1:17" ht="14.4" customHeight="1" x14ac:dyDescent="0.3">
      <c r="A437" s="522" t="s">
        <v>1119</v>
      </c>
      <c r="B437" s="465" t="s">
        <v>925</v>
      </c>
      <c r="C437" s="465" t="s">
        <v>926</v>
      </c>
      <c r="D437" s="465" t="s">
        <v>945</v>
      </c>
      <c r="E437" s="465" t="s">
        <v>946</v>
      </c>
      <c r="F437" s="468">
        <v>1</v>
      </c>
      <c r="G437" s="468">
        <v>812</v>
      </c>
      <c r="H437" s="468"/>
      <c r="I437" s="468">
        <v>812</v>
      </c>
      <c r="J437" s="468"/>
      <c r="K437" s="468"/>
      <c r="L437" s="468"/>
      <c r="M437" s="468"/>
      <c r="N437" s="468"/>
      <c r="O437" s="468"/>
      <c r="P437" s="603"/>
      <c r="Q437" s="469"/>
    </row>
    <row r="438" spans="1:17" ht="14.4" customHeight="1" x14ac:dyDescent="0.3">
      <c r="A438" s="522" t="s">
        <v>1119</v>
      </c>
      <c r="B438" s="465" t="s">
        <v>925</v>
      </c>
      <c r="C438" s="465" t="s">
        <v>926</v>
      </c>
      <c r="D438" s="465" t="s">
        <v>947</v>
      </c>
      <c r="E438" s="465" t="s">
        <v>948</v>
      </c>
      <c r="F438" s="468">
        <v>4</v>
      </c>
      <c r="G438" s="468">
        <v>668</v>
      </c>
      <c r="H438" s="468"/>
      <c r="I438" s="468">
        <v>167</v>
      </c>
      <c r="J438" s="468"/>
      <c r="K438" s="468"/>
      <c r="L438" s="468"/>
      <c r="M438" s="468"/>
      <c r="N438" s="468"/>
      <c r="O438" s="468"/>
      <c r="P438" s="603"/>
      <c r="Q438" s="469"/>
    </row>
    <row r="439" spans="1:17" ht="14.4" customHeight="1" x14ac:dyDescent="0.3">
      <c r="A439" s="522" t="s">
        <v>1119</v>
      </c>
      <c r="B439" s="465" t="s">
        <v>925</v>
      </c>
      <c r="C439" s="465" t="s">
        <v>926</v>
      </c>
      <c r="D439" s="465" t="s">
        <v>951</v>
      </c>
      <c r="E439" s="465" t="s">
        <v>952</v>
      </c>
      <c r="F439" s="468"/>
      <c r="G439" s="468"/>
      <c r="H439" s="468"/>
      <c r="I439" s="468"/>
      <c r="J439" s="468">
        <v>1</v>
      </c>
      <c r="K439" s="468">
        <v>352</v>
      </c>
      <c r="L439" s="468">
        <v>1</v>
      </c>
      <c r="M439" s="468">
        <v>352</v>
      </c>
      <c r="N439" s="468">
        <v>3</v>
      </c>
      <c r="O439" s="468">
        <v>1056</v>
      </c>
      <c r="P439" s="603">
        <v>3</v>
      </c>
      <c r="Q439" s="469">
        <v>352</v>
      </c>
    </row>
    <row r="440" spans="1:17" ht="14.4" customHeight="1" x14ac:dyDescent="0.3">
      <c r="A440" s="522" t="s">
        <v>1119</v>
      </c>
      <c r="B440" s="465" t="s">
        <v>925</v>
      </c>
      <c r="C440" s="465" t="s">
        <v>926</v>
      </c>
      <c r="D440" s="465" t="s">
        <v>1078</v>
      </c>
      <c r="E440" s="465" t="s">
        <v>1079</v>
      </c>
      <c r="F440" s="468"/>
      <c r="G440" s="468"/>
      <c r="H440" s="468"/>
      <c r="I440" s="468"/>
      <c r="J440" s="468"/>
      <c r="K440" s="468"/>
      <c r="L440" s="468"/>
      <c r="M440" s="468"/>
      <c r="N440" s="468">
        <v>2</v>
      </c>
      <c r="O440" s="468">
        <v>2076</v>
      </c>
      <c r="P440" s="603"/>
      <c r="Q440" s="469">
        <v>1038</v>
      </c>
    </row>
    <row r="441" spans="1:17" ht="14.4" customHeight="1" x14ac:dyDescent="0.3">
      <c r="A441" s="522" t="s">
        <v>1119</v>
      </c>
      <c r="B441" s="465" t="s">
        <v>925</v>
      </c>
      <c r="C441" s="465" t="s">
        <v>926</v>
      </c>
      <c r="D441" s="465" t="s">
        <v>953</v>
      </c>
      <c r="E441" s="465" t="s">
        <v>954</v>
      </c>
      <c r="F441" s="468"/>
      <c r="G441" s="468"/>
      <c r="H441" s="468"/>
      <c r="I441" s="468"/>
      <c r="J441" s="468"/>
      <c r="K441" s="468"/>
      <c r="L441" s="468"/>
      <c r="M441" s="468"/>
      <c r="N441" s="468">
        <v>1</v>
      </c>
      <c r="O441" s="468">
        <v>190</v>
      </c>
      <c r="P441" s="603"/>
      <c r="Q441" s="469">
        <v>190</v>
      </c>
    </row>
    <row r="442" spans="1:17" ht="14.4" customHeight="1" x14ac:dyDescent="0.3">
      <c r="A442" s="522" t="s">
        <v>1119</v>
      </c>
      <c r="B442" s="465" t="s">
        <v>925</v>
      </c>
      <c r="C442" s="465" t="s">
        <v>926</v>
      </c>
      <c r="D442" s="465" t="s">
        <v>959</v>
      </c>
      <c r="E442" s="465" t="s">
        <v>960</v>
      </c>
      <c r="F442" s="468">
        <v>5</v>
      </c>
      <c r="G442" s="468">
        <v>2735</v>
      </c>
      <c r="H442" s="468">
        <v>1.2454462659380692</v>
      </c>
      <c r="I442" s="468">
        <v>547</v>
      </c>
      <c r="J442" s="468">
        <v>4</v>
      </c>
      <c r="K442" s="468">
        <v>2196</v>
      </c>
      <c r="L442" s="468">
        <v>1</v>
      </c>
      <c r="M442" s="468">
        <v>549</v>
      </c>
      <c r="N442" s="468">
        <v>4</v>
      </c>
      <c r="O442" s="468">
        <v>2196</v>
      </c>
      <c r="P442" s="603">
        <v>1</v>
      </c>
      <c r="Q442" s="469">
        <v>549</v>
      </c>
    </row>
    <row r="443" spans="1:17" ht="14.4" customHeight="1" x14ac:dyDescent="0.3">
      <c r="A443" s="522" t="s">
        <v>1119</v>
      </c>
      <c r="B443" s="465" t="s">
        <v>925</v>
      </c>
      <c r="C443" s="465" t="s">
        <v>926</v>
      </c>
      <c r="D443" s="465" t="s">
        <v>961</v>
      </c>
      <c r="E443" s="465" t="s">
        <v>962</v>
      </c>
      <c r="F443" s="468">
        <v>2</v>
      </c>
      <c r="G443" s="468">
        <v>1304</v>
      </c>
      <c r="H443" s="468">
        <v>1.9938837920489296</v>
      </c>
      <c r="I443" s="468">
        <v>652</v>
      </c>
      <c r="J443" s="468">
        <v>1</v>
      </c>
      <c r="K443" s="468">
        <v>654</v>
      </c>
      <c r="L443" s="468">
        <v>1</v>
      </c>
      <c r="M443" s="468">
        <v>654</v>
      </c>
      <c r="N443" s="468">
        <v>1</v>
      </c>
      <c r="O443" s="468">
        <v>654</v>
      </c>
      <c r="P443" s="603">
        <v>1</v>
      </c>
      <c r="Q443" s="469">
        <v>654</v>
      </c>
    </row>
    <row r="444" spans="1:17" ht="14.4" customHeight="1" x14ac:dyDescent="0.3">
      <c r="A444" s="522" t="s">
        <v>1119</v>
      </c>
      <c r="B444" s="465" t="s">
        <v>925</v>
      </c>
      <c r="C444" s="465" t="s">
        <v>926</v>
      </c>
      <c r="D444" s="465" t="s">
        <v>963</v>
      </c>
      <c r="E444" s="465" t="s">
        <v>964</v>
      </c>
      <c r="F444" s="468">
        <v>2</v>
      </c>
      <c r="G444" s="468">
        <v>1304</v>
      </c>
      <c r="H444" s="468">
        <v>1.9938837920489296</v>
      </c>
      <c r="I444" s="468">
        <v>652</v>
      </c>
      <c r="J444" s="468">
        <v>1</v>
      </c>
      <c r="K444" s="468">
        <v>654</v>
      </c>
      <c r="L444" s="468">
        <v>1</v>
      </c>
      <c r="M444" s="468">
        <v>654</v>
      </c>
      <c r="N444" s="468">
        <v>1</v>
      </c>
      <c r="O444" s="468">
        <v>654</v>
      </c>
      <c r="P444" s="603">
        <v>1</v>
      </c>
      <c r="Q444" s="469">
        <v>654</v>
      </c>
    </row>
    <row r="445" spans="1:17" ht="14.4" customHeight="1" x14ac:dyDescent="0.3">
      <c r="A445" s="522" t="s">
        <v>1119</v>
      </c>
      <c r="B445" s="465" t="s">
        <v>925</v>
      </c>
      <c r="C445" s="465" t="s">
        <v>926</v>
      </c>
      <c r="D445" s="465" t="s">
        <v>965</v>
      </c>
      <c r="E445" s="465" t="s">
        <v>966</v>
      </c>
      <c r="F445" s="468">
        <v>2</v>
      </c>
      <c r="G445" s="468">
        <v>1352</v>
      </c>
      <c r="H445" s="468"/>
      <c r="I445" s="468">
        <v>676</v>
      </c>
      <c r="J445" s="468"/>
      <c r="K445" s="468"/>
      <c r="L445" s="468"/>
      <c r="M445" s="468"/>
      <c r="N445" s="468"/>
      <c r="O445" s="468"/>
      <c r="P445" s="603"/>
      <c r="Q445" s="469"/>
    </row>
    <row r="446" spans="1:17" ht="14.4" customHeight="1" x14ac:dyDescent="0.3">
      <c r="A446" s="522" t="s">
        <v>1119</v>
      </c>
      <c r="B446" s="465" t="s">
        <v>925</v>
      </c>
      <c r="C446" s="465" t="s">
        <v>926</v>
      </c>
      <c r="D446" s="465" t="s">
        <v>967</v>
      </c>
      <c r="E446" s="465" t="s">
        <v>968</v>
      </c>
      <c r="F446" s="468"/>
      <c r="G446" s="468"/>
      <c r="H446" s="468"/>
      <c r="I446" s="468"/>
      <c r="J446" s="468"/>
      <c r="K446" s="468"/>
      <c r="L446" s="468"/>
      <c r="M446" s="468"/>
      <c r="N446" s="468">
        <v>1</v>
      </c>
      <c r="O446" s="468">
        <v>513</v>
      </c>
      <c r="P446" s="603"/>
      <c r="Q446" s="469">
        <v>513</v>
      </c>
    </row>
    <row r="447" spans="1:17" ht="14.4" customHeight="1" x14ac:dyDescent="0.3">
      <c r="A447" s="522" t="s">
        <v>1119</v>
      </c>
      <c r="B447" s="465" t="s">
        <v>925</v>
      </c>
      <c r="C447" s="465" t="s">
        <v>926</v>
      </c>
      <c r="D447" s="465" t="s">
        <v>969</v>
      </c>
      <c r="E447" s="465" t="s">
        <v>970</v>
      </c>
      <c r="F447" s="468"/>
      <c r="G447" s="468"/>
      <c r="H447" s="468"/>
      <c r="I447" s="468"/>
      <c r="J447" s="468"/>
      <c r="K447" s="468"/>
      <c r="L447" s="468"/>
      <c r="M447" s="468"/>
      <c r="N447" s="468">
        <v>1</v>
      </c>
      <c r="O447" s="468">
        <v>423</v>
      </c>
      <c r="P447" s="603"/>
      <c r="Q447" s="469">
        <v>423</v>
      </c>
    </row>
    <row r="448" spans="1:17" ht="14.4" customHeight="1" x14ac:dyDescent="0.3">
      <c r="A448" s="522" t="s">
        <v>1119</v>
      </c>
      <c r="B448" s="465" t="s">
        <v>925</v>
      </c>
      <c r="C448" s="465" t="s">
        <v>926</v>
      </c>
      <c r="D448" s="465" t="s">
        <v>971</v>
      </c>
      <c r="E448" s="465" t="s">
        <v>972</v>
      </c>
      <c r="F448" s="468">
        <v>5</v>
      </c>
      <c r="G448" s="468">
        <v>1735</v>
      </c>
      <c r="H448" s="468">
        <v>1.2428366762177649</v>
      </c>
      <c r="I448" s="468">
        <v>347</v>
      </c>
      <c r="J448" s="468">
        <v>4</v>
      </c>
      <c r="K448" s="468">
        <v>1396</v>
      </c>
      <c r="L448" s="468">
        <v>1</v>
      </c>
      <c r="M448" s="468">
        <v>349</v>
      </c>
      <c r="N448" s="468">
        <v>4</v>
      </c>
      <c r="O448" s="468">
        <v>1396</v>
      </c>
      <c r="P448" s="603">
        <v>1</v>
      </c>
      <c r="Q448" s="469">
        <v>349</v>
      </c>
    </row>
    <row r="449" spans="1:17" ht="14.4" customHeight="1" x14ac:dyDescent="0.3">
      <c r="A449" s="522" t="s">
        <v>1119</v>
      </c>
      <c r="B449" s="465" t="s">
        <v>925</v>
      </c>
      <c r="C449" s="465" t="s">
        <v>926</v>
      </c>
      <c r="D449" s="465" t="s">
        <v>973</v>
      </c>
      <c r="E449" s="465" t="s">
        <v>974</v>
      </c>
      <c r="F449" s="468">
        <v>6</v>
      </c>
      <c r="G449" s="468">
        <v>1314</v>
      </c>
      <c r="H449" s="468">
        <v>1.9819004524886878</v>
      </c>
      <c r="I449" s="468">
        <v>219</v>
      </c>
      <c r="J449" s="468">
        <v>3</v>
      </c>
      <c r="K449" s="468">
        <v>663</v>
      </c>
      <c r="L449" s="468">
        <v>1</v>
      </c>
      <c r="M449" s="468">
        <v>221</v>
      </c>
      <c r="N449" s="468">
        <v>7</v>
      </c>
      <c r="O449" s="468">
        <v>1547</v>
      </c>
      <c r="P449" s="603">
        <v>2.3333333333333335</v>
      </c>
      <c r="Q449" s="469">
        <v>221</v>
      </c>
    </row>
    <row r="450" spans="1:17" ht="14.4" customHeight="1" x14ac:dyDescent="0.3">
      <c r="A450" s="522" t="s">
        <v>1119</v>
      </c>
      <c r="B450" s="465" t="s">
        <v>925</v>
      </c>
      <c r="C450" s="465" t="s">
        <v>926</v>
      </c>
      <c r="D450" s="465" t="s">
        <v>979</v>
      </c>
      <c r="E450" s="465" t="s">
        <v>980</v>
      </c>
      <c r="F450" s="468"/>
      <c r="G450" s="468"/>
      <c r="H450" s="468"/>
      <c r="I450" s="468"/>
      <c r="J450" s="468"/>
      <c r="K450" s="468"/>
      <c r="L450" s="468"/>
      <c r="M450" s="468"/>
      <c r="N450" s="468">
        <v>2</v>
      </c>
      <c r="O450" s="468">
        <v>478</v>
      </c>
      <c r="P450" s="603"/>
      <c r="Q450" s="469">
        <v>239</v>
      </c>
    </row>
    <row r="451" spans="1:17" ht="14.4" customHeight="1" x14ac:dyDescent="0.3">
      <c r="A451" s="522" t="s">
        <v>1119</v>
      </c>
      <c r="B451" s="465" t="s">
        <v>925</v>
      </c>
      <c r="C451" s="465" t="s">
        <v>926</v>
      </c>
      <c r="D451" s="465" t="s">
        <v>981</v>
      </c>
      <c r="E451" s="465" t="s">
        <v>982</v>
      </c>
      <c r="F451" s="468">
        <v>5</v>
      </c>
      <c r="G451" s="468">
        <v>555</v>
      </c>
      <c r="H451" s="468">
        <v>1</v>
      </c>
      <c r="I451" s="468">
        <v>111</v>
      </c>
      <c r="J451" s="468">
        <v>5</v>
      </c>
      <c r="K451" s="468">
        <v>555</v>
      </c>
      <c r="L451" s="468">
        <v>1</v>
      </c>
      <c r="M451" s="468">
        <v>111</v>
      </c>
      <c r="N451" s="468">
        <v>3</v>
      </c>
      <c r="O451" s="468">
        <v>333</v>
      </c>
      <c r="P451" s="603">
        <v>0.6</v>
      </c>
      <c r="Q451" s="469">
        <v>111</v>
      </c>
    </row>
    <row r="452" spans="1:17" ht="14.4" customHeight="1" x14ac:dyDescent="0.3">
      <c r="A452" s="522" t="s">
        <v>1119</v>
      </c>
      <c r="B452" s="465" t="s">
        <v>925</v>
      </c>
      <c r="C452" s="465" t="s">
        <v>926</v>
      </c>
      <c r="D452" s="465" t="s">
        <v>983</v>
      </c>
      <c r="E452" s="465" t="s">
        <v>984</v>
      </c>
      <c r="F452" s="468"/>
      <c r="G452" s="468"/>
      <c r="H452" s="468"/>
      <c r="I452" s="468"/>
      <c r="J452" s="468"/>
      <c r="K452" s="468"/>
      <c r="L452" s="468"/>
      <c r="M452" s="468"/>
      <c r="N452" s="468">
        <v>1</v>
      </c>
      <c r="O452" s="468">
        <v>331</v>
      </c>
      <c r="P452" s="603"/>
      <c r="Q452" s="469">
        <v>331</v>
      </c>
    </row>
    <row r="453" spans="1:17" ht="14.4" customHeight="1" x14ac:dyDescent="0.3">
      <c r="A453" s="522" t="s">
        <v>1119</v>
      </c>
      <c r="B453" s="465" t="s">
        <v>925</v>
      </c>
      <c r="C453" s="465" t="s">
        <v>926</v>
      </c>
      <c r="D453" s="465" t="s">
        <v>985</v>
      </c>
      <c r="E453" s="465" t="s">
        <v>986</v>
      </c>
      <c r="F453" s="468">
        <v>2</v>
      </c>
      <c r="G453" s="468">
        <v>622</v>
      </c>
      <c r="H453" s="468">
        <v>0.24919871794871795</v>
      </c>
      <c r="I453" s="468">
        <v>311</v>
      </c>
      <c r="J453" s="468">
        <v>8</v>
      </c>
      <c r="K453" s="468">
        <v>2496</v>
      </c>
      <c r="L453" s="468">
        <v>1</v>
      </c>
      <c r="M453" s="468">
        <v>312</v>
      </c>
      <c r="N453" s="468">
        <v>1</v>
      </c>
      <c r="O453" s="468">
        <v>312</v>
      </c>
      <c r="P453" s="603">
        <v>0.125</v>
      </c>
      <c r="Q453" s="469">
        <v>312</v>
      </c>
    </row>
    <row r="454" spans="1:17" ht="14.4" customHeight="1" x14ac:dyDescent="0.3">
      <c r="A454" s="522" t="s">
        <v>1119</v>
      </c>
      <c r="B454" s="465" t="s">
        <v>925</v>
      </c>
      <c r="C454" s="465" t="s">
        <v>926</v>
      </c>
      <c r="D454" s="465" t="s">
        <v>987</v>
      </c>
      <c r="E454" s="465" t="s">
        <v>988</v>
      </c>
      <c r="F454" s="468">
        <v>22</v>
      </c>
      <c r="G454" s="468">
        <v>506</v>
      </c>
      <c r="H454" s="468">
        <v>1.6923076923076923</v>
      </c>
      <c r="I454" s="468">
        <v>23</v>
      </c>
      <c r="J454" s="468">
        <v>13</v>
      </c>
      <c r="K454" s="468">
        <v>299</v>
      </c>
      <c r="L454" s="468">
        <v>1</v>
      </c>
      <c r="M454" s="468">
        <v>23</v>
      </c>
      <c r="N454" s="468">
        <v>21</v>
      </c>
      <c r="O454" s="468">
        <v>483</v>
      </c>
      <c r="P454" s="603">
        <v>1.6153846153846154</v>
      </c>
      <c r="Q454" s="469">
        <v>23</v>
      </c>
    </row>
    <row r="455" spans="1:17" ht="14.4" customHeight="1" x14ac:dyDescent="0.3">
      <c r="A455" s="522" t="s">
        <v>1119</v>
      </c>
      <c r="B455" s="465" t="s">
        <v>925</v>
      </c>
      <c r="C455" s="465" t="s">
        <v>926</v>
      </c>
      <c r="D455" s="465" t="s">
        <v>989</v>
      </c>
      <c r="E455" s="465" t="s">
        <v>990</v>
      </c>
      <c r="F455" s="468">
        <v>1</v>
      </c>
      <c r="G455" s="468">
        <v>16</v>
      </c>
      <c r="H455" s="468"/>
      <c r="I455" s="468">
        <v>16</v>
      </c>
      <c r="J455" s="468"/>
      <c r="K455" s="468"/>
      <c r="L455" s="468"/>
      <c r="M455" s="468"/>
      <c r="N455" s="468">
        <v>1</v>
      </c>
      <c r="O455" s="468">
        <v>17</v>
      </c>
      <c r="P455" s="603"/>
      <c r="Q455" s="469">
        <v>17</v>
      </c>
    </row>
    <row r="456" spans="1:17" ht="14.4" customHeight="1" x14ac:dyDescent="0.3">
      <c r="A456" s="522" t="s">
        <v>1119</v>
      </c>
      <c r="B456" s="465" t="s">
        <v>925</v>
      </c>
      <c r="C456" s="465" t="s">
        <v>926</v>
      </c>
      <c r="D456" s="465" t="s">
        <v>995</v>
      </c>
      <c r="E456" s="465" t="s">
        <v>996</v>
      </c>
      <c r="F456" s="468">
        <v>8</v>
      </c>
      <c r="G456" s="468">
        <v>10144</v>
      </c>
      <c r="H456" s="468">
        <v>1.5812938425565082</v>
      </c>
      <c r="I456" s="468">
        <v>1268</v>
      </c>
      <c r="J456" s="468">
        <v>5</v>
      </c>
      <c r="K456" s="468">
        <v>6415</v>
      </c>
      <c r="L456" s="468">
        <v>1</v>
      </c>
      <c r="M456" s="468">
        <v>1283</v>
      </c>
      <c r="N456" s="468"/>
      <c r="O456" s="468"/>
      <c r="P456" s="603"/>
      <c r="Q456" s="469"/>
    </row>
    <row r="457" spans="1:17" ht="14.4" customHeight="1" x14ac:dyDescent="0.3">
      <c r="A457" s="522" t="s">
        <v>1119</v>
      </c>
      <c r="B457" s="465" t="s">
        <v>925</v>
      </c>
      <c r="C457" s="465" t="s">
        <v>926</v>
      </c>
      <c r="D457" s="465" t="s">
        <v>1001</v>
      </c>
      <c r="E457" s="465" t="s">
        <v>1002</v>
      </c>
      <c r="F457" s="468"/>
      <c r="G457" s="468"/>
      <c r="H457" s="468"/>
      <c r="I457" s="468"/>
      <c r="J457" s="468"/>
      <c r="K457" s="468"/>
      <c r="L457" s="468"/>
      <c r="M457" s="468"/>
      <c r="N457" s="468">
        <v>1</v>
      </c>
      <c r="O457" s="468">
        <v>295</v>
      </c>
      <c r="P457" s="603"/>
      <c r="Q457" s="469">
        <v>295</v>
      </c>
    </row>
    <row r="458" spans="1:17" ht="14.4" customHeight="1" x14ac:dyDescent="0.3">
      <c r="A458" s="522" t="s">
        <v>1119</v>
      </c>
      <c r="B458" s="465" t="s">
        <v>925</v>
      </c>
      <c r="C458" s="465" t="s">
        <v>926</v>
      </c>
      <c r="D458" s="465" t="s">
        <v>1003</v>
      </c>
      <c r="E458" s="465" t="s">
        <v>1004</v>
      </c>
      <c r="F458" s="468">
        <v>5</v>
      </c>
      <c r="G458" s="468">
        <v>1035</v>
      </c>
      <c r="H458" s="468">
        <v>1.2380382775119618</v>
      </c>
      <c r="I458" s="468">
        <v>207</v>
      </c>
      <c r="J458" s="468">
        <v>4</v>
      </c>
      <c r="K458" s="468">
        <v>836</v>
      </c>
      <c r="L458" s="468">
        <v>1</v>
      </c>
      <c r="M458" s="468">
        <v>209</v>
      </c>
      <c r="N458" s="468">
        <v>3</v>
      </c>
      <c r="O458" s="468">
        <v>627</v>
      </c>
      <c r="P458" s="603">
        <v>0.75</v>
      </c>
      <c r="Q458" s="469">
        <v>209</v>
      </c>
    </row>
    <row r="459" spans="1:17" ht="14.4" customHeight="1" x14ac:dyDescent="0.3">
      <c r="A459" s="522" t="s">
        <v>1119</v>
      </c>
      <c r="B459" s="465" t="s">
        <v>925</v>
      </c>
      <c r="C459" s="465" t="s">
        <v>926</v>
      </c>
      <c r="D459" s="465" t="s">
        <v>1005</v>
      </c>
      <c r="E459" s="465" t="s">
        <v>1006</v>
      </c>
      <c r="F459" s="468">
        <v>2</v>
      </c>
      <c r="G459" s="468">
        <v>78</v>
      </c>
      <c r="H459" s="468"/>
      <c r="I459" s="468">
        <v>39</v>
      </c>
      <c r="J459" s="468"/>
      <c r="K459" s="468"/>
      <c r="L459" s="468"/>
      <c r="M459" s="468"/>
      <c r="N459" s="468">
        <v>2</v>
      </c>
      <c r="O459" s="468">
        <v>80</v>
      </c>
      <c r="P459" s="603"/>
      <c r="Q459" s="469">
        <v>40</v>
      </c>
    </row>
    <row r="460" spans="1:17" ht="14.4" customHeight="1" x14ac:dyDescent="0.3">
      <c r="A460" s="522" t="s">
        <v>1119</v>
      </c>
      <c r="B460" s="465" t="s">
        <v>925</v>
      </c>
      <c r="C460" s="465" t="s">
        <v>926</v>
      </c>
      <c r="D460" s="465" t="s">
        <v>1007</v>
      </c>
      <c r="E460" s="465" t="s">
        <v>1008</v>
      </c>
      <c r="F460" s="468">
        <v>1</v>
      </c>
      <c r="G460" s="468">
        <v>5003</v>
      </c>
      <c r="H460" s="468">
        <v>0.99621664675428112</v>
      </c>
      <c r="I460" s="468">
        <v>5003</v>
      </c>
      <c r="J460" s="468">
        <v>1</v>
      </c>
      <c r="K460" s="468">
        <v>5022</v>
      </c>
      <c r="L460" s="468">
        <v>1</v>
      </c>
      <c r="M460" s="468">
        <v>5022</v>
      </c>
      <c r="N460" s="468">
        <v>7</v>
      </c>
      <c r="O460" s="468">
        <v>35161</v>
      </c>
      <c r="P460" s="603">
        <v>7.0013938669852651</v>
      </c>
      <c r="Q460" s="469">
        <v>5023</v>
      </c>
    </row>
    <row r="461" spans="1:17" ht="14.4" customHeight="1" x14ac:dyDescent="0.3">
      <c r="A461" s="522" t="s">
        <v>1119</v>
      </c>
      <c r="B461" s="465" t="s">
        <v>925</v>
      </c>
      <c r="C461" s="465" t="s">
        <v>926</v>
      </c>
      <c r="D461" s="465" t="s">
        <v>1009</v>
      </c>
      <c r="E461" s="465" t="s">
        <v>1010</v>
      </c>
      <c r="F461" s="468">
        <v>2</v>
      </c>
      <c r="G461" s="468">
        <v>340</v>
      </c>
      <c r="H461" s="468"/>
      <c r="I461" s="468">
        <v>170</v>
      </c>
      <c r="J461" s="468"/>
      <c r="K461" s="468"/>
      <c r="L461" s="468"/>
      <c r="M461" s="468"/>
      <c r="N461" s="468"/>
      <c r="O461" s="468"/>
      <c r="P461" s="603"/>
      <c r="Q461" s="469"/>
    </row>
    <row r="462" spans="1:17" ht="14.4" customHeight="1" x14ac:dyDescent="0.3">
      <c r="A462" s="522" t="s">
        <v>1119</v>
      </c>
      <c r="B462" s="465" t="s">
        <v>925</v>
      </c>
      <c r="C462" s="465" t="s">
        <v>926</v>
      </c>
      <c r="D462" s="465" t="s">
        <v>1013</v>
      </c>
      <c r="E462" s="465" t="s">
        <v>1014</v>
      </c>
      <c r="F462" s="468">
        <v>3</v>
      </c>
      <c r="G462" s="468">
        <v>2064</v>
      </c>
      <c r="H462" s="468">
        <v>2.991304347826087</v>
      </c>
      <c r="I462" s="468">
        <v>688</v>
      </c>
      <c r="J462" s="468">
        <v>1</v>
      </c>
      <c r="K462" s="468">
        <v>690</v>
      </c>
      <c r="L462" s="468">
        <v>1</v>
      </c>
      <c r="M462" s="468">
        <v>690</v>
      </c>
      <c r="N462" s="468">
        <v>1</v>
      </c>
      <c r="O462" s="468">
        <v>690</v>
      </c>
      <c r="P462" s="603">
        <v>1</v>
      </c>
      <c r="Q462" s="469">
        <v>690</v>
      </c>
    </row>
    <row r="463" spans="1:17" ht="14.4" customHeight="1" x14ac:dyDescent="0.3">
      <c r="A463" s="522" t="s">
        <v>1119</v>
      </c>
      <c r="B463" s="465" t="s">
        <v>925</v>
      </c>
      <c r="C463" s="465" t="s">
        <v>926</v>
      </c>
      <c r="D463" s="465" t="s">
        <v>1015</v>
      </c>
      <c r="E463" s="465" t="s">
        <v>1016</v>
      </c>
      <c r="F463" s="468">
        <v>2</v>
      </c>
      <c r="G463" s="468">
        <v>696</v>
      </c>
      <c r="H463" s="468"/>
      <c r="I463" s="468">
        <v>348</v>
      </c>
      <c r="J463" s="468"/>
      <c r="K463" s="468"/>
      <c r="L463" s="468"/>
      <c r="M463" s="468"/>
      <c r="N463" s="468"/>
      <c r="O463" s="468"/>
      <c r="P463" s="603"/>
      <c r="Q463" s="469"/>
    </row>
    <row r="464" spans="1:17" ht="14.4" customHeight="1" x14ac:dyDescent="0.3">
      <c r="A464" s="522" t="s">
        <v>1119</v>
      </c>
      <c r="B464" s="465" t="s">
        <v>925</v>
      </c>
      <c r="C464" s="465" t="s">
        <v>926</v>
      </c>
      <c r="D464" s="465" t="s">
        <v>1017</v>
      </c>
      <c r="E464" s="465" t="s">
        <v>1018</v>
      </c>
      <c r="F464" s="468">
        <v>2</v>
      </c>
      <c r="G464" s="468">
        <v>346</v>
      </c>
      <c r="H464" s="468"/>
      <c r="I464" s="468">
        <v>173</v>
      </c>
      <c r="J464" s="468"/>
      <c r="K464" s="468"/>
      <c r="L464" s="468"/>
      <c r="M464" s="468"/>
      <c r="N464" s="468"/>
      <c r="O464" s="468"/>
      <c r="P464" s="603"/>
      <c r="Q464" s="469"/>
    </row>
    <row r="465" spans="1:17" ht="14.4" customHeight="1" x14ac:dyDescent="0.3">
      <c r="A465" s="522" t="s">
        <v>1119</v>
      </c>
      <c r="B465" s="465" t="s">
        <v>925</v>
      </c>
      <c r="C465" s="465" t="s">
        <v>926</v>
      </c>
      <c r="D465" s="465" t="s">
        <v>1021</v>
      </c>
      <c r="E465" s="465" t="s">
        <v>1022</v>
      </c>
      <c r="F465" s="468">
        <v>2</v>
      </c>
      <c r="G465" s="468">
        <v>1304</v>
      </c>
      <c r="H465" s="468">
        <v>1.9938837920489296</v>
      </c>
      <c r="I465" s="468">
        <v>652</v>
      </c>
      <c r="J465" s="468">
        <v>1</v>
      </c>
      <c r="K465" s="468">
        <v>654</v>
      </c>
      <c r="L465" s="468">
        <v>1</v>
      </c>
      <c r="M465" s="468">
        <v>654</v>
      </c>
      <c r="N465" s="468">
        <v>1</v>
      </c>
      <c r="O465" s="468">
        <v>654</v>
      </c>
      <c r="P465" s="603">
        <v>1</v>
      </c>
      <c r="Q465" s="469">
        <v>654</v>
      </c>
    </row>
    <row r="466" spans="1:17" ht="14.4" customHeight="1" x14ac:dyDescent="0.3">
      <c r="A466" s="522" t="s">
        <v>1119</v>
      </c>
      <c r="B466" s="465" t="s">
        <v>925</v>
      </c>
      <c r="C466" s="465" t="s">
        <v>926</v>
      </c>
      <c r="D466" s="465" t="s">
        <v>1023</v>
      </c>
      <c r="E466" s="465" t="s">
        <v>1024</v>
      </c>
      <c r="F466" s="468">
        <v>2</v>
      </c>
      <c r="G466" s="468">
        <v>1304</v>
      </c>
      <c r="H466" s="468">
        <v>1.9938837920489296</v>
      </c>
      <c r="I466" s="468">
        <v>652</v>
      </c>
      <c r="J466" s="468">
        <v>1</v>
      </c>
      <c r="K466" s="468">
        <v>654</v>
      </c>
      <c r="L466" s="468">
        <v>1</v>
      </c>
      <c r="M466" s="468">
        <v>654</v>
      </c>
      <c r="N466" s="468">
        <v>1</v>
      </c>
      <c r="O466" s="468">
        <v>654</v>
      </c>
      <c r="P466" s="603">
        <v>1</v>
      </c>
      <c r="Q466" s="469">
        <v>654</v>
      </c>
    </row>
    <row r="467" spans="1:17" ht="14.4" customHeight="1" x14ac:dyDescent="0.3">
      <c r="A467" s="522" t="s">
        <v>1119</v>
      </c>
      <c r="B467" s="465" t="s">
        <v>925</v>
      </c>
      <c r="C467" s="465" t="s">
        <v>926</v>
      </c>
      <c r="D467" s="465" t="s">
        <v>1025</v>
      </c>
      <c r="E467" s="465" t="s">
        <v>1026</v>
      </c>
      <c r="F467" s="468">
        <v>438</v>
      </c>
      <c r="G467" s="468">
        <v>189216</v>
      </c>
      <c r="H467" s="468">
        <v>2.0137931034482759</v>
      </c>
      <c r="I467" s="468">
        <v>432</v>
      </c>
      <c r="J467" s="468">
        <v>216</v>
      </c>
      <c r="K467" s="468">
        <v>93960</v>
      </c>
      <c r="L467" s="468">
        <v>1</v>
      </c>
      <c r="M467" s="468">
        <v>435</v>
      </c>
      <c r="N467" s="468"/>
      <c r="O467" s="468"/>
      <c r="P467" s="603"/>
      <c r="Q467" s="469"/>
    </row>
    <row r="468" spans="1:17" ht="14.4" customHeight="1" x14ac:dyDescent="0.3">
      <c r="A468" s="522" t="s">
        <v>1119</v>
      </c>
      <c r="B468" s="465" t="s">
        <v>925</v>
      </c>
      <c r="C468" s="465" t="s">
        <v>926</v>
      </c>
      <c r="D468" s="465" t="s">
        <v>1027</v>
      </c>
      <c r="E468" s="465" t="s">
        <v>1028</v>
      </c>
      <c r="F468" s="468">
        <v>1</v>
      </c>
      <c r="G468" s="468">
        <v>692</v>
      </c>
      <c r="H468" s="468"/>
      <c r="I468" s="468">
        <v>692</v>
      </c>
      <c r="J468" s="468"/>
      <c r="K468" s="468"/>
      <c r="L468" s="468"/>
      <c r="M468" s="468"/>
      <c r="N468" s="468">
        <v>1</v>
      </c>
      <c r="O468" s="468">
        <v>694</v>
      </c>
      <c r="P468" s="603"/>
      <c r="Q468" s="469">
        <v>694</v>
      </c>
    </row>
    <row r="469" spans="1:17" ht="14.4" customHeight="1" x14ac:dyDescent="0.3">
      <c r="A469" s="522" t="s">
        <v>1119</v>
      </c>
      <c r="B469" s="465" t="s">
        <v>925</v>
      </c>
      <c r="C469" s="465" t="s">
        <v>926</v>
      </c>
      <c r="D469" s="465" t="s">
        <v>1029</v>
      </c>
      <c r="E469" s="465" t="s">
        <v>1030</v>
      </c>
      <c r="F469" s="468">
        <v>2</v>
      </c>
      <c r="G469" s="468">
        <v>1352</v>
      </c>
      <c r="H469" s="468"/>
      <c r="I469" s="468">
        <v>676</v>
      </c>
      <c r="J469" s="468"/>
      <c r="K469" s="468"/>
      <c r="L469" s="468"/>
      <c r="M469" s="468"/>
      <c r="N469" s="468"/>
      <c r="O469" s="468"/>
      <c r="P469" s="603"/>
      <c r="Q469" s="469"/>
    </row>
    <row r="470" spans="1:17" ht="14.4" customHeight="1" x14ac:dyDescent="0.3">
      <c r="A470" s="522" t="s">
        <v>1119</v>
      </c>
      <c r="B470" s="465" t="s">
        <v>925</v>
      </c>
      <c r="C470" s="465" t="s">
        <v>926</v>
      </c>
      <c r="D470" s="465" t="s">
        <v>1031</v>
      </c>
      <c r="E470" s="465" t="s">
        <v>1032</v>
      </c>
      <c r="F470" s="468">
        <v>5</v>
      </c>
      <c r="G470" s="468">
        <v>2375</v>
      </c>
      <c r="H470" s="468">
        <v>1.2447589098532494</v>
      </c>
      <c r="I470" s="468">
        <v>475</v>
      </c>
      <c r="J470" s="468">
        <v>4</v>
      </c>
      <c r="K470" s="468">
        <v>1908</v>
      </c>
      <c r="L470" s="468">
        <v>1</v>
      </c>
      <c r="M470" s="468">
        <v>477</v>
      </c>
      <c r="N470" s="468">
        <v>4</v>
      </c>
      <c r="O470" s="468">
        <v>1908</v>
      </c>
      <c r="P470" s="603">
        <v>1</v>
      </c>
      <c r="Q470" s="469">
        <v>477</v>
      </c>
    </row>
    <row r="471" spans="1:17" ht="14.4" customHeight="1" x14ac:dyDescent="0.3">
      <c r="A471" s="522" t="s">
        <v>1119</v>
      </c>
      <c r="B471" s="465" t="s">
        <v>925</v>
      </c>
      <c r="C471" s="465" t="s">
        <v>926</v>
      </c>
      <c r="D471" s="465" t="s">
        <v>1033</v>
      </c>
      <c r="E471" s="465" t="s">
        <v>1034</v>
      </c>
      <c r="F471" s="468"/>
      <c r="G471" s="468"/>
      <c r="H471" s="468"/>
      <c r="I471" s="468"/>
      <c r="J471" s="468"/>
      <c r="K471" s="468"/>
      <c r="L471" s="468"/>
      <c r="M471" s="468"/>
      <c r="N471" s="468">
        <v>1</v>
      </c>
      <c r="O471" s="468">
        <v>291</v>
      </c>
      <c r="P471" s="603"/>
      <c r="Q471" s="469">
        <v>291</v>
      </c>
    </row>
    <row r="472" spans="1:17" ht="14.4" customHeight="1" x14ac:dyDescent="0.3">
      <c r="A472" s="522" t="s">
        <v>1119</v>
      </c>
      <c r="B472" s="465" t="s">
        <v>925</v>
      </c>
      <c r="C472" s="465" t="s">
        <v>926</v>
      </c>
      <c r="D472" s="465" t="s">
        <v>1035</v>
      </c>
      <c r="E472" s="465" t="s">
        <v>1036</v>
      </c>
      <c r="F472" s="468">
        <v>1</v>
      </c>
      <c r="G472" s="468">
        <v>812</v>
      </c>
      <c r="H472" s="468"/>
      <c r="I472" s="468">
        <v>812</v>
      </c>
      <c r="J472" s="468"/>
      <c r="K472" s="468"/>
      <c r="L472" s="468"/>
      <c r="M472" s="468"/>
      <c r="N472" s="468"/>
      <c r="O472" s="468"/>
      <c r="P472" s="603"/>
      <c r="Q472" s="469"/>
    </row>
    <row r="473" spans="1:17" ht="14.4" customHeight="1" x14ac:dyDescent="0.3">
      <c r="A473" s="522" t="s">
        <v>1119</v>
      </c>
      <c r="B473" s="465" t="s">
        <v>925</v>
      </c>
      <c r="C473" s="465" t="s">
        <v>926</v>
      </c>
      <c r="D473" s="465" t="s">
        <v>1037</v>
      </c>
      <c r="E473" s="465" t="s">
        <v>1038</v>
      </c>
      <c r="F473" s="468">
        <v>438</v>
      </c>
      <c r="G473" s="468">
        <v>441504</v>
      </c>
      <c r="H473" s="468">
        <v>2.0124437637599311</v>
      </c>
      <c r="I473" s="468">
        <v>1008</v>
      </c>
      <c r="J473" s="468">
        <v>217</v>
      </c>
      <c r="K473" s="468">
        <v>219387</v>
      </c>
      <c r="L473" s="468">
        <v>1</v>
      </c>
      <c r="M473" s="468">
        <v>1011</v>
      </c>
      <c r="N473" s="468"/>
      <c r="O473" s="468"/>
      <c r="P473" s="603"/>
      <c r="Q473" s="469"/>
    </row>
    <row r="474" spans="1:17" ht="14.4" customHeight="1" x14ac:dyDescent="0.3">
      <c r="A474" s="522" t="s">
        <v>1119</v>
      </c>
      <c r="B474" s="465" t="s">
        <v>925</v>
      </c>
      <c r="C474" s="465" t="s">
        <v>926</v>
      </c>
      <c r="D474" s="465" t="s">
        <v>1047</v>
      </c>
      <c r="E474" s="465" t="s">
        <v>1048</v>
      </c>
      <c r="F474" s="468"/>
      <c r="G474" s="468"/>
      <c r="H474" s="468"/>
      <c r="I474" s="468"/>
      <c r="J474" s="468"/>
      <c r="K474" s="468"/>
      <c r="L474" s="468"/>
      <c r="M474" s="468"/>
      <c r="N474" s="468">
        <v>1</v>
      </c>
      <c r="O474" s="468">
        <v>187</v>
      </c>
      <c r="P474" s="603"/>
      <c r="Q474" s="469">
        <v>187</v>
      </c>
    </row>
    <row r="475" spans="1:17" ht="14.4" customHeight="1" x14ac:dyDescent="0.3">
      <c r="A475" s="522" t="s">
        <v>1119</v>
      </c>
      <c r="B475" s="465" t="s">
        <v>925</v>
      </c>
      <c r="C475" s="465" t="s">
        <v>926</v>
      </c>
      <c r="D475" s="465" t="s">
        <v>1053</v>
      </c>
      <c r="E475" s="465" t="s">
        <v>1054</v>
      </c>
      <c r="F475" s="468">
        <v>2</v>
      </c>
      <c r="G475" s="468">
        <v>2794</v>
      </c>
      <c r="H475" s="468">
        <v>1.9971408148677627</v>
      </c>
      <c r="I475" s="468">
        <v>1397</v>
      </c>
      <c r="J475" s="468">
        <v>1</v>
      </c>
      <c r="K475" s="468">
        <v>1399</v>
      </c>
      <c r="L475" s="468">
        <v>1</v>
      </c>
      <c r="M475" s="468">
        <v>1399</v>
      </c>
      <c r="N475" s="468">
        <v>1</v>
      </c>
      <c r="O475" s="468">
        <v>1399</v>
      </c>
      <c r="P475" s="603">
        <v>1</v>
      </c>
      <c r="Q475" s="469">
        <v>1399</v>
      </c>
    </row>
    <row r="476" spans="1:17" ht="14.4" customHeight="1" x14ac:dyDescent="0.3">
      <c r="A476" s="522" t="s">
        <v>1119</v>
      </c>
      <c r="B476" s="465" t="s">
        <v>925</v>
      </c>
      <c r="C476" s="465" t="s">
        <v>926</v>
      </c>
      <c r="D476" s="465" t="s">
        <v>1055</v>
      </c>
      <c r="E476" s="465" t="s">
        <v>1056</v>
      </c>
      <c r="F476" s="468">
        <v>3</v>
      </c>
      <c r="G476" s="468">
        <v>3054</v>
      </c>
      <c r="H476" s="468"/>
      <c r="I476" s="468">
        <v>1018</v>
      </c>
      <c r="J476" s="468"/>
      <c r="K476" s="468"/>
      <c r="L476" s="468"/>
      <c r="M476" s="468"/>
      <c r="N476" s="468">
        <v>7</v>
      </c>
      <c r="O476" s="468">
        <v>7154</v>
      </c>
      <c r="P476" s="603"/>
      <c r="Q476" s="469">
        <v>1022</v>
      </c>
    </row>
    <row r="477" spans="1:17" ht="14.4" customHeight="1" x14ac:dyDescent="0.3">
      <c r="A477" s="522" t="s">
        <v>1119</v>
      </c>
      <c r="B477" s="465" t="s">
        <v>925</v>
      </c>
      <c r="C477" s="465" t="s">
        <v>926</v>
      </c>
      <c r="D477" s="465" t="s">
        <v>1059</v>
      </c>
      <c r="E477" s="465" t="s">
        <v>1060</v>
      </c>
      <c r="F477" s="468">
        <v>1</v>
      </c>
      <c r="G477" s="468">
        <v>812</v>
      </c>
      <c r="H477" s="468"/>
      <c r="I477" s="468">
        <v>812</v>
      </c>
      <c r="J477" s="468"/>
      <c r="K477" s="468"/>
      <c r="L477" s="468"/>
      <c r="M477" s="468"/>
      <c r="N477" s="468"/>
      <c r="O477" s="468"/>
      <c r="P477" s="603"/>
      <c r="Q477" s="469"/>
    </row>
    <row r="478" spans="1:17" ht="14.4" customHeight="1" x14ac:dyDescent="0.3">
      <c r="A478" s="522" t="s">
        <v>1119</v>
      </c>
      <c r="B478" s="465" t="s">
        <v>925</v>
      </c>
      <c r="C478" s="465" t="s">
        <v>926</v>
      </c>
      <c r="D478" s="465" t="s">
        <v>1063</v>
      </c>
      <c r="E478" s="465" t="s">
        <v>1064</v>
      </c>
      <c r="F478" s="468">
        <v>1</v>
      </c>
      <c r="G478" s="468">
        <v>258</v>
      </c>
      <c r="H478" s="468"/>
      <c r="I478" s="468">
        <v>258</v>
      </c>
      <c r="J478" s="468"/>
      <c r="K478" s="468"/>
      <c r="L478" s="468"/>
      <c r="M478" s="468"/>
      <c r="N478" s="468">
        <v>1</v>
      </c>
      <c r="O478" s="468">
        <v>260</v>
      </c>
      <c r="P478" s="603"/>
      <c r="Q478" s="469">
        <v>260</v>
      </c>
    </row>
    <row r="479" spans="1:17" ht="14.4" customHeight="1" x14ac:dyDescent="0.3">
      <c r="A479" s="522" t="s">
        <v>1119</v>
      </c>
      <c r="B479" s="465" t="s">
        <v>925</v>
      </c>
      <c r="C479" s="465" t="s">
        <v>926</v>
      </c>
      <c r="D479" s="465" t="s">
        <v>1074</v>
      </c>
      <c r="E479" s="465" t="s">
        <v>1075</v>
      </c>
      <c r="F479" s="468"/>
      <c r="G479" s="468"/>
      <c r="H479" s="468"/>
      <c r="I479" s="468"/>
      <c r="J479" s="468"/>
      <c r="K479" s="468"/>
      <c r="L479" s="468"/>
      <c r="M479" s="468"/>
      <c r="N479" s="468">
        <v>22</v>
      </c>
      <c r="O479" s="468">
        <v>168696</v>
      </c>
      <c r="P479" s="603"/>
      <c r="Q479" s="469">
        <v>7668</v>
      </c>
    </row>
    <row r="480" spans="1:17" ht="14.4" customHeight="1" x14ac:dyDescent="0.3">
      <c r="A480" s="522" t="s">
        <v>1119</v>
      </c>
      <c r="B480" s="465" t="s">
        <v>925</v>
      </c>
      <c r="C480" s="465" t="s">
        <v>926</v>
      </c>
      <c r="D480" s="465" t="s">
        <v>1076</v>
      </c>
      <c r="E480" s="465" t="s">
        <v>1077</v>
      </c>
      <c r="F480" s="468"/>
      <c r="G480" s="468"/>
      <c r="H480" s="468"/>
      <c r="I480" s="468"/>
      <c r="J480" s="468"/>
      <c r="K480" s="468"/>
      <c r="L480" s="468"/>
      <c r="M480" s="468"/>
      <c r="N480" s="468">
        <v>15</v>
      </c>
      <c r="O480" s="468">
        <v>235380</v>
      </c>
      <c r="P480" s="603"/>
      <c r="Q480" s="469">
        <v>15692</v>
      </c>
    </row>
    <row r="481" spans="1:17" ht="14.4" customHeight="1" x14ac:dyDescent="0.3">
      <c r="A481" s="522" t="s">
        <v>1120</v>
      </c>
      <c r="B481" s="465" t="s">
        <v>925</v>
      </c>
      <c r="C481" s="465" t="s">
        <v>926</v>
      </c>
      <c r="D481" s="465" t="s">
        <v>927</v>
      </c>
      <c r="E481" s="465" t="s">
        <v>928</v>
      </c>
      <c r="F481" s="468">
        <v>1</v>
      </c>
      <c r="G481" s="468">
        <v>1184</v>
      </c>
      <c r="H481" s="468"/>
      <c r="I481" s="468">
        <v>1184</v>
      </c>
      <c r="J481" s="468"/>
      <c r="K481" s="468"/>
      <c r="L481" s="468"/>
      <c r="M481" s="468"/>
      <c r="N481" s="468"/>
      <c r="O481" s="468"/>
      <c r="P481" s="603"/>
      <c r="Q481" s="469"/>
    </row>
    <row r="482" spans="1:17" ht="14.4" customHeight="1" x14ac:dyDescent="0.3">
      <c r="A482" s="522" t="s">
        <v>1120</v>
      </c>
      <c r="B482" s="465" t="s">
        <v>925</v>
      </c>
      <c r="C482" s="465" t="s">
        <v>926</v>
      </c>
      <c r="D482" s="465" t="s">
        <v>947</v>
      </c>
      <c r="E482" s="465" t="s">
        <v>948</v>
      </c>
      <c r="F482" s="468"/>
      <c r="G482" s="468"/>
      <c r="H482" s="468"/>
      <c r="I482" s="468"/>
      <c r="J482" s="468">
        <v>2</v>
      </c>
      <c r="K482" s="468">
        <v>336</v>
      </c>
      <c r="L482" s="468">
        <v>1</v>
      </c>
      <c r="M482" s="468">
        <v>168</v>
      </c>
      <c r="N482" s="468">
        <v>2</v>
      </c>
      <c r="O482" s="468">
        <v>336</v>
      </c>
      <c r="P482" s="603">
        <v>1</v>
      </c>
      <c r="Q482" s="469">
        <v>168</v>
      </c>
    </row>
    <row r="483" spans="1:17" ht="14.4" customHeight="1" x14ac:dyDescent="0.3">
      <c r="A483" s="522" t="s">
        <v>1120</v>
      </c>
      <c r="B483" s="465" t="s">
        <v>925</v>
      </c>
      <c r="C483" s="465" t="s">
        <v>926</v>
      </c>
      <c r="D483" s="465" t="s">
        <v>949</v>
      </c>
      <c r="E483" s="465" t="s">
        <v>950</v>
      </c>
      <c r="F483" s="468"/>
      <c r="G483" s="468"/>
      <c r="H483" s="468"/>
      <c r="I483" s="468"/>
      <c r="J483" s="468">
        <v>2</v>
      </c>
      <c r="K483" s="468">
        <v>348</v>
      </c>
      <c r="L483" s="468">
        <v>1</v>
      </c>
      <c r="M483" s="468">
        <v>174</v>
      </c>
      <c r="N483" s="468">
        <v>2</v>
      </c>
      <c r="O483" s="468">
        <v>348</v>
      </c>
      <c r="P483" s="603">
        <v>1</v>
      </c>
      <c r="Q483" s="469">
        <v>174</v>
      </c>
    </row>
    <row r="484" spans="1:17" ht="14.4" customHeight="1" x14ac:dyDescent="0.3">
      <c r="A484" s="522" t="s">
        <v>1120</v>
      </c>
      <c r="B484" s="465" t="s">
        <v>925</v>
      </c>
      <c r="C484" s="465" t="s">
        <v>926</v>
      </c>
      <c r="D484" s="465" t="s">
        <v>989</v>
      </c>
      <c r="E484" s="465" t="s">
        <v>990</v>
      </c>
      <c r="F484" s="468"/>
      <c r="G484" s="468"/>
      <c r="H484" s="468"/>
      <c r="I484" s="468"/>
      <c r="J484" s="468"/>
      <c r="K484" s="468"/>
      <c r="L484" s="468"/>
      <c r="M484" s="468"/>
      <c r="N484" s="468">
        <v>1</v>
      </c>
      <c r="O484" s="468">
        <v>17</v>
      </c>
      <c r="P484" s="603"/>
      <c r="Q484" s="469">
        <v>17</v>
      </c>
    </row>
    <row r="485" spans="1:17" ht="14.4" customHeight="1" x14ac:dyDescent="0.3">
      <c r="A485" s="522" t="s">
        <v>1120</v>
      </c>
      <c r="B485" s="465" t="s">
        <v>925</v>
      </c>
      <c r="C485" s="465" t="s">
        <v>926</v>
      </c>
      <c r="D485" s="465" t="s">
        <v>993</v>
      </c>
      <c r="E485" s="465" t="s">
        <v>994</v>
      </c>
      <c r="F485" s="468"/>
      <c r="G485" s="468"/>
      <c r="H485" s="468"/>
      <c r="I485" s="468"/>
      <c r="J485" s="468">
        <v>6</v>
      </c>
      <c r="K485" s="468">
        <v>2100</v>
      </c>
      <c r="L485" s="468">
        <v>1</v>
      </c>
      <c r="M485" s="468">
        <v>350</v>
      </c>
      <c r="N485" s="468">
        <v>6</v>
      </c>
      <c r="O485" s="468">
        <v>2100</v>
      </c>
      <c r="P485" s="603">
        <v>1</v>
      </c>
      <c r="Q485" s="469">
        <v>350</v>
      </c>
    </row>
    <row r="486" spans="1:17" ht="14.4" customHeight="1" x14ac:dyDescent="0.3">
      <c r="A486" s="522" t="s">
        <v>1120</v>
      </c>
      <c r="B486" s="465" t="s">
        <v>925</v>
      </c>
      <c r="C486" s="465" t="s">
        <v>926</v>
      </c>
      <c r="D486" s="465" t="s">
        <v>1005</v>
      </c>
      <c r="E486" s="465" t="s">
        <v>1006</v>
      </c>
      <c r="F486" s="468"/>
      <c r="G486" s="468"/>
      <c r="H486" s="468"/>
      <c r="I486" s="468"/>
      <c r="J486" s="468">
        <v>2</v>
      </c>
      <c r="K486" s="468">
        <v>80</v>
      </c>
      <c r="L486" s="468">
        <v>1</v>
      </c>
      <c r="M486" s="468">
        <v>40</v>
      </c>
      <c r="N486" s="468">
        <v>2</v>
      </c>
      <c r="O486" s="468">
        <v>80</v>
      </c>
      <c r="P486" s="603">
        <v>1</v>
      </c>
      <c r="Q486" s="469">
        <v>40</v>
      </c>
    </row>
    <row r="487" spans="1:17" ht="14.4" customHeight="1" x14ac:dyDescent="0.3">
      <c r="A487" s="522" t="s">
        <v>1120</v>
      </c>
      <c r="B487" s="465" t="s">
        <v>925</v>
      </c>
      <c r="C487" s="465" t="s">
        <v>926</v>
      </c>
      <c r="D487" s="465" t="s">
        <v>1009</v>
      </c>
      <c r="E487" s="465" t="s">
        <v>1010</v>
      </c>
      <c r="F487" s="468"/>
      <c r="G487" s="468"/>
      <c r="H487" s="468"/>
      <c r="I487" s="468"/>
      <c r="J487" s="468">
        <v>2</v>
      </c>
      <c r="K487" s="468">
        <v>342</v>
      </c>
      <c r="L487" s="468">
        <v>1</v>
      </c>
      <c r="M487" s="468">
        <v>171</v>
      </c>
      <c r="N487" s="468">
        <v>2</v>
      </c>
      <c r="O487" s="468">
        <v>342</v>
      </c>
      <c r="P487" s="603">
        <v>1</v>
      </c>
      <c r="Q487" s="469">
        <v>171</v>
      </c>
    </row>
    <row r="488" spans="1:17" ht="14.4" customHeight="1" x14ac:dyDescent="0.3">
      <c r="A488" s="522" t="s">
        <v>1120</v>
      </c>
      <c r="B488" s="465" t="s">
        <v>925</v>
      </c>
      <c r="C488" s="465" t="s">
        <v>926</v>
      </c>
      <c r="D488" s="465" t="s">
        <v>1015</v>
      </c>
      <c r="E488" s="465" t="s">
        <v>1016</v>
      </c>
      <c r="F488" s="468"/>
      <c r="G488" s="468"/>
      <c r="H488" s="468"/>
      <c r="I488" s="468"/>
      <c r="J488" s="468"/>
      <c r="K488" s="468"/>
      <c r="L488" s="468"/>
      <c r="M488" s="468"/>
      <c r="N488" s="468">
        <v>1</v>
      </c>
      <c r="O488" s="468">
        <v>350</v>
      </c>
      <c r="P488" s="603"/>
      <c r="Q488" s="469">
        <v>350</v>
      </c>
    </row>
    <row r="489" spans="1:17" ht="14.4" customHeight="1" x14ac:dyDescent="0.3">
      <c r="A489" s="522" t="s">
        <v>1120</v>
      </c>
      <c r="B489" s="465" t="s">
        <v>925</v>
      </c>
      <c r="C489" s="465" t="s">
        <v>926</v>
      </c>
      <c r="D489" s="465" t="s">
        <v>1017</v>
      </c>
      <c r="E489" s="465" t="s">
        <v>1018</v>
      </c>
      <c r="F489" s="468"/>
      <c r="G489" s="468"/>
      <c r="H489" s="468"/>
      <c r="I489" s="468"/>
      <c r="J489" s="468">
        <v>2</v>
      </c>
      <c r="K489" s="468">
        <v>348</v>
      </c>
      <c r="L489" s="468">
        <v>1</v>
      </c>
      <c r="M489" s="468">
        <v>174</v>
      </c>
      <c r="N489" s="468">
        <v>2</v>
      </c>
      <c r="O489" s="468">
        <v>348</v>
      </c>
      <c r="P489" s="603">
        <v>1</v>
      </c>
      <c r="Q489" s="469">
        <v>174</v>
      </c>
    </row>
    <row r="490" spans="1:17" ht="14.4" customHeight="1" thickBot="1" x14ac:dyDescent="0.35">
      <c r="A490" s="528" t="s">
        <v>1120</v>
      </c>
      <c r="B490" s="529" t="s">
        <v>925</v>
      </c>
      <c r="C490" s="529" t="s">
        <v>926</v>
      </c>
      <c r="D490" s="529" t="s">
        <v>1039</v>
      </c>
      <c r="E490" s="529" t="s">
        <v>1040</v>
      </c>
      <c r="F490" s="532"/>
      <c r="G490" s="532"/>
      <c r="H490" s="532"/>
      <c r="I490" s="532"/>
      <c r="J490" s="532">
        <v>2</v>
      </c>
      <c r="K490" s="532">
        <v>336</v>
      </c>
      <c r="L490" s="532">
        <v>1</v>
      </c>
      <c r="M490" s="532">
        <v>168</v>
      </c>
      <c r="N490" s="532">
        <v>2</v>
      </c>
      <c r="O490" s="532">
        <v>336</v>
      </c>
      <c r="P490" s="604">
        <v>1</v>
      </c>
      <c r="Q490" s="533">
        <v>168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8" bestFit="1" customWidth="1"/>
    <col min="2" max="2" width="9.5546875" style="118" hidden="1" customWidth="1" outlineLevel="1"/>
    <col min="3" max="3" width="9.5546875" style="118" customWidth="1" collapsed="1"/>
    <col min="4" max="4" width="2.21875" style="118" customWidth="1"/>
    <col min="5" max="8" width="9.5546875" style="118" customWidth="1"/>
    <col min="9" max="10" width="9.77734375" style="118" hidden="1" customWidth="1" outlineLevel="1"/>
    <col min="11" max="11" width="8.88671875" style="118" collapsed="1"/>
    <col min="12" max="16384" width="8.88671875" style="118"/>
  </cols>
  <sheetData>
    <row r="1" spans="1:10" ht="18.600000000000001" customHeight="1" thickBot="1" x14ac:dyDescent="0.4">
      <c r="A1" s="346" t="s">
        <v>130</v>
      </c>
      <c r="B1" s="346"/>
      <c r="C1" s="346"/>
      <c r="D1" s="346"/>
      <c r="E1" s="346"/>
      <c r="F1" s="346"/>
      <c r="G1" s="346"/>
      <c r="H1" s="346"/>
      <c r="I1" s="346"/>
      <c r="J1" s="346"/>
    </row>
    <row r="2" spans="1:10" ht="14.4" customHeight="1" thickBot="1" x14ac:dyDescent="0.35">
      <c r="A2" s="224" t="s">
        <v>282</v>
      </c>
      <c r="B2" s="100"/>
      <c r="C2" s="100"/>
      <c r="D2" s="100"/>
      <c r="E2" s="100"/>
      <c r="F2" s="100"/>
    </row>
    <row r="3" spans="1:10" ht="14.4" customHeight="1" x14ac:dyDescent="0.3">
      <c r="A3" s="337"/>
      <c r="B3" s="96">
        <v>2015</v>
      </c>
      <c r="C3" s="40">
        <v>2016</v>
      </c>
      <c r="D3" s="7"/>
      <c r="E3" s="341">
        <v>2017</v>
      </c>
      <c r="F3" s="342"/>
      <c r="G3" s="342"/>
      <c r="H3" s="343"/>
      <c r="I3" s="344">
        <v>2017</v>
      </c>
      <c r="J3" s="345"/>
    </row>
    <row r="4" spans="1:10" ht="14.4" customHeight="1" thickBot="1" x14ac:dyDescent="0.35">
      <c r="A4" s="338"/>
      <c r="B4" s="339" t="s">
        <v>73</v>
      </c>
      <c r="C4" s="340"/>
      <c r="D4" s="7"/>
      <c r="E4" s="117" t="s">
        <v>73</v>
      </c>
      <c r="F4" s="98" t="s">
        <v>74</v>
      </c>
      <c r="G4" s="98" t="s">
        <v>68</v>
      </c>
      <c r="H4" s="99" t="s">
        <v>75</v>
      </c>
      <c r="I4" s="322" t="s">
        <v>273</v>
      </c>
      <c r="J4" s="323" t="s">
        <v>274</v>
      </c>
    </row>
    <row r="5" spans="1:10" ht="14.4" customHeight="1" x14ac:dyDescent="0.3">
      <c r="A5" s="101" t="str">
        <f>HYPERLINK("#'Léky Žádanky'!A1","Léky (Kč)")</f>
        <v>Léky (Kč)</v>
      </c>
      <c r="B5" s="27">
        <v>2.84002</v>
      </c>
      <c r="C5" s="29">
        <v>0.14129</v>
      </c>
      <c r="D5" s="8"/>
      <c r="E5" s="106">
        <v>3.08413</v>
      </c>
      <c r="F5" s="28">
        <v>3.3333333333333335</v>
      </c>
      <c r="G5" s="105">
        <f>E5-F5</f>
        <v>-0.24920333333333344</v>
      </c>
      <c r="H5" s="111">
        <f>IF(F5&lt;0.00000001,"",E5/F5)</f>
        <v>0.92523899999999992</v>
      </c>
    </row>
    <row r="6" spans="1:10" ht="14.4" customHeight="1" x14ac:dyDescent="0.3">
      <c r="A6" s="101" t="str">
        <f>HYPERLINK("#'Materiál Žádanky'!A1","Materiál - SZM (Kč)")</f>
        <v>Materiál - SZM (Kč)</v>
      </c>
      <c r="B6" s="10">
        <v>3688.5624400000097</v>
      </c>
      <c r="C6" s="31">
        <v>3680.2339400000001</v>
      </c>
      <c r="D6" s="8"/>
      <c r="E6" s="107">
        <v>3824.1006500000003</v>
      </c>
      <c r="F6" s="30">
        <v>4269.5559849376168</v>
      </c>
      <c r="G6" s="108">
        <f>E6-F6</f>
        <v>-445.4553349376165</v>
      </c>
      <c r="H6" s="112">
        <f>IF(F6&lt;0.00000001,"",E6/F6)</f>
        <v>0.89566705846951788</v>
      </c>
    </row>
    <row r="7" spans="1:10" ht="14.4" customHeight="1" x14ac:dyDescent="0.3">
      <c r="A7" s="101" t="str">
        <f>HYPERLINK("#'Osobní náklady'!A1","Osobní náklady (Kč) *")</f>
        <v>Osobní náklady (Kč) *</v>
      </c>
      <c r="B7" s="10">
        <v>2381.3181400000003</v>
      </c>
      <c r="C7" s="31">
        <v>2474.2319299999999</v>
      </c>
      <c r="D7" s="8"/>
      <c r="E7" s="107">
        <v>3001.2524699999999</v>
      </c>
      <c r="F7" s="30">
        <v>2792.1666666666665</v>
      </c>
      <c r="G7" s="108">
        <f>E7-F7</f>
        <v>209.08580333333339</v>
      </c>
      <c r="H7" s="112">
        <f>IF(F7&lt;0.00000001,"",E7/F7)</f>
        <v>1.0748829952844268</v>
      </c>
    </row>
    <row r="8" spans="1:10" ht="14.4" customHeight="1" thickBot="1" x14ac:dyDescent="0.35">
      <c r="A8" s="1" t="s">
        <v>76</v>
      </c>
      <c r="B8" s="11">
        <v>300.20713999999998</v>
      </c>
      <c r="C8" s="33">
        <v>670.47409000000061</v>
      </c>
      <c r="D8" s="8"/>
      <c r="E8" s="109">
        <v>466.71180999999979</v>
      </c>
      <c r="F8" s="32">
        <v>673.17756514621669</v>
      </c>
      <c r="G8" s="110">
        <f>E8-F8</f>
        <v>-206.46575514621691</v>
      </c>
      <c r="H8" s="113">
        <f>IF(F8&lt;0.00000001,"",E8/F8)</f>
        <v>0.69329673798417246</v>
      </c>
    </row>
    <row r="9" spans="1:10" ht="14.4" customHeight="1" thickBot="1" x14ac:dyDescent="0.35">
      <c r="A9" s="2" t="s">
        <v>77</v>
      </c>
      <c r="B9" s="3">
        <v>6372.9277400000101</v>
      </c>
      <c r="C9" s="35">
        <v>6825.0812500000002</v>
      </c>
      <c r="D9" s="8"/>
      <c r="E9" s="3">
        <v>7295.1490600000006</v>
      </c>
      <c r="F9" s="34">
        <v>7738.2335500838335</v>
      </c>
      <c r="G9" s="34">
        <f>E9-F9</f>
        <v>-443.08449008383286</v>
      </c>
      <c r="H9" s="114">
        <f>IF(F9&lt;0.00000001,"",E9/F9)</f>
        <v>0.94274087397129125</v>
      </c>
    </row>
    <row r="10" spans="1:10" ht="14.4" customHeight="1" thickBot="1" x14ac:dyDescent="0.35">
      <c r="A10" s="12"/>
      <c r="B10" s="12"/>
      <c r="C10" s="97"/>
      <c r="D10" s="8"/>
      <c r="E10" s="12"/>
      <c r="F10" s="13"/>
    </row>
    <row r="11" spans="1:10" ht="14.4" customHeight="1" x14ac:dyDescent="0.3">
      <c r="A11" s="121" t="str">
        <f>HYPERLINK("#'ZV Vykáz.-A'!A1","Ambulance *")</f>
        <v>Ambulance *</v>
      </c>
      <c r="B11" s="9">
        <f>IF(ISERROR(VLOOKUP("Celkem:",'ZV Vykáz.-A'!A:H,2,0)),0,VLOOKUP("Celkem:",'ZV Vykáz.-A'!A:H,2,0)/1000)</f>
        <v>8828.4330000000009</v>
      </c>
      <c r="C11" s="29">
        <f>IF(ISERROR(VLOOKUP("Celkem:",'ZV Vykáz.-A'!A:H,5,0)),0,VLOOKUP("Celkem:",'ZV Vykáz.-A'!A:H,5,0)/1000)</f>
        <v>4340.0209999999997</v>
      </c>
      <c r="D11" s="8"/>
      <c r="E11" s="106">
        <f>IF(ISERROR(VLOOKUP("Celkem:",'ZV Vykáz.-A'!A:H,8,0)),0,VLOOKUP("Celkem:",'ZV Vykáz.-A'!A:H,8,0)/1000)</f>
        <v>10435.909</v>
      </c>
      <c r="F11" s="28">
        <f>C11</f>
        <v>4340.0209999999997</v>
      </c>
      <c r="G11" s="105">
        <f>E11-F11</f>
        <v>6095.8879999999999</v>
      </c>
      <c r="H11" s="111">
        <f>IF(F11&lt;0.00000001,"",E11/F11)</f>
        <v>2.4045756921452686</v>
      </c>
      <c r="I11" s="105">
        <f>E11-B11</f>
        <v>1607.4759999999987</v>
      </c>
      <c r="J11" s="111">
        <f>IF(B11&lt;0.00000001,"",E11/B11)</f>
        <v>1.1820794245139539</v>
      </c>
    </row>
    <row r="12" spans="1:10" ht="14.4" customHeight="1" thickBot="1" x14ac:dyDescent="0.35">
      <c r="A12" s="12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C12</f>
        <v>0</v>
      </c>
      <c r="G12" s="110">
        <f>E12-F12</f>
        <v>0</v>
      </c>
      <c r="H12" s="113" t="str">
        <f>IF(F12&lt;0.00000001,"",E12/F12)</f>
        <v/>
      </c>
      <c r="I12" s="110">
        <f>E12-B12</f>
        <v>0</v>
      </c>
      <c r="J12" s="113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8828.4330000000009</v>
      </c>
      <c r="C13" s="37">
        <f>SUM(C11:C12)</f>
        <v>4340.0209999999997</v>
      </c>
      <c r="D13" s="8"/>
      <c r="E13" s="5">
        <f>SUM(E11:E12)</f>
        <v>10435.909</v>
      </c>
      <c r="F13" s="36">
        <f>SUM(F11:F12)</f>
        <v>4340.0209999999997</v>
      </c>
      <c r="G13" s="36">
        <f>E13-F13</f>
        <v>6095.8879999999999</v>
      </c>
      <c r="H13" s="115">
        <f>IF(F13&lt;0.00000001,"",E13/F13)</f>
        <v>2.4045756921452686</v>
      </c>
      <c r="I13" s="36">
        <f>SUM(I11:I12)</f>
        <v>1607.4759999999987</v>
      </c>
      <c r="J13" s="115">
        <f>IF(B13&lt;0.00000001,"",E13/B13)</f>
        <v>1.1820794245139539</v>
      </c>
    </row>
    <row r="14" spans="1:10" ht="14.4" customHeight="1" thickBot="1" x14ac:dyDescent="0.35">
      <c r="A14" s="12"/>
      <c r="B14" s="12"/>
      <c r="C14" s="97"/>
      <c r="D14" s="8"/>
      <c r="E14" s="12"/>
      <c r="F14" s="13"/>
    </row>
    <row r="15" spans="1:10" ht="14.4" customHeight="1" thickBot="1" x14ac:dyDescent="0.35">
      <c r="A15" s="123" t="str">
        <f>HYPERLINK("#'HI Graf'!A1","Hospodářský index (Výnosy / Náklady) *")</f>
        <v>Hospodářský index (Výnosy / Náklady) *</v>
      </c>
      <c r="B15" s="6">
        <f>IF(B9=0,"",B13/B9)</f>
        <v>1.3853025422817655</v>
      </c>
      <c r="C15" s="39">
        <f>IF(C9=0,"",C13/C9)</f>
        <v>0.63589294266643337</v>
      </c>
      <c r="D15" s="8"/>
      <c r="E15" s="6">
        <f>IF(E9=0,"",E13/E9)</f>
        <v>1.4305271782890752</v>
      </c>
      <c r="F15" s="38">
        <f>IF(F9=0,"",F13/F9)</f>
        <v>0.56085422750686831</v>
      </c>
      <c r="G15" s="38">
        <f>IF(ISERROR(F15-E15),"",E15-F15)</f>
        <v>0.86967295078220686</v>
      </c>
      <c r="H15" s="116">
        <f>IF(ISERROR(F15-E15),"",IF(F15&lt;0.00000001,"",E15/F15))</f>
        <v>2.5506220834745457</v>
      </c>
    </row>
    <row r="17" spans="1:8" ht="14.4" customHeight="1" x14ac:dyDescent="0.3">
      <c r="A17" s="102" t="s">
        <v>149</v>
      </c>
    </row>
    <row r="18" spans="1:8" ht="14.4" customHeight="1" x14ac:dyDescent="0.3">
      <c r="A18" s="279" t="s">
        <v>185</v>
      </c>
      <c r="B18" s="280"/>
      <c r="C18" s="280"/>
      <c r="D18" s="280"/>
      <c r="E18" s="280"/>
      <c r="F18" s="280"/>
      <c r="G18" s="280"/>
      <c r="H18" s="280"/>
    </row>
    <row r="19" spans="1:8" x14ac:dyDescent="0.3">
      <c r="A19" s="278" t="s">
        <v>184</v>
      </c>
      <c r="B19" s="280"/>
      <c r="C19" s="280"/>
      <c r="D19" s="280"/>
      <c r="E19" s="280"/>
      <c r="F19" s="280"/>
      <c r="G19" s="280"/>
      <c r="H19" s="280"/>
    </row>
    <row r="20" spans="1:8" ht="14.4" customHeight="1" x14ac:dyDescent="0.3">
      <c r="A20" s="103" t="s">
        <v>233</v>
      </c>
    </row>
    <row r="21" spans="1:8" ht="14.4" customHeight="1" x14ac:dyDescent="0.3">
      <c r="A21" s="103" t="s">
        <v>150</v>
      </c>
    </row>
    <row r="22" spans="1:8" ht="14.4" customHeight="1" x14ac:dyDescent="0.3">
      <c r="A22" s="104" t="s">
        <v>272</v>
      </c>
    </row>
    <row r="23" spans="1:8" ht="14.4" customHeight="1" x14ac:dyDescent="0.3">
      <c r="A23" s="104" t="s">
        <v>151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3" priority="8" operator="greaterThan">
      <formula>0</formula>
    </cfRule>
  </conditionalFormatting>
  <conditionalFormatting sqref="G11:G13 G15">
    <cfRule type="cellIs" dxfId="62" priority="7" operator="lessThan">
      <formula>0</formula>
    </cfRule>
  </conditionalFormatting>
  <conditionalFormatting sqref="H5:H9">
    <cfRule type="cellIs" dxfId="61" priority="6" operator="greaterThan">
      <formula>1</formula>
    </cfRule>
  </conditionalFormatting>
  <conditionalFormatting sqref="H11:H13 H15">
    <cfRule type="cellIs" dxfId="60" priority="5" operator="lessThan">
      <formula>1</formula>
    </cfRule>
  </conditionalFormatting>
  <conditionalFormatting sqref="I11:I13">
    <cfRule type="cellIs" dxfId="59" priority="4" operator="lessThan">
      <formula>0</formula>
    </cfRule>
  </conditionalFormatting>
  <conditionalFormatting sqref="J11:J13">
    <cfRule type="cellIs" dxfId="5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8"/>
    <col min="2" max="13" width="8.88671875" style="118" customWidth="1"/>
    <col min="14" max="16384" width="8.88671875" style="118"/>
  </cols>
  <sheetData>
    <row r="1" spans="1:13" ht="18.600000000000001" customHeight="1" thickBot="1" x14ac:dyDescent="0.4">
      <c r="A1" s="335" t="s">
        <v>104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</row>
    <row r="2" spans="1:13" ht="14.4" customHeight="1" x14ac:dyDescent="0.3">
      <c r="A2" s="224" t="s">
        <v>282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4" customHeight="1" x14ac:dyDescent="0.3">
      <c r="A3" s="187"/>
      <c r="B3" s="188" t="s">
        <v>82</v>
      </c>
      <c r="C3" s="189" t="s">
        <v>83</v>
      </c>
      <c r="D3" s="189" t="s">
        <v>84</v>
      </c>
      <c r="E3" s="188" t="s">
        <v>85</v>
      </c>
      <c r="F3" s="189" t="s">
        <v>86</v>
      </c>
      <c r="G3" s="189" t="s">
        <v>87</v>
      </c>
      <c r="H3" s="189" t="s">
        <v>88</v>
      </c>
      <c r="I3" s="189" t="s">
        <v>89</v>
      </c>
      <c r="J3" s="189" t="s">
        <v>90</v>
      </c>
      <c r="K3" s="189" t="s">
        <v>91</v>
      </c>
      <c r="L3" s="189" t="s">
        <v>92</v>
      </c>
      <c r="M3" s="189" t="s">
        <v>93</v>
      </c>
    </row>
    <row r="4" spans="1:13" ht="14.4" customHeight="1" x14ac:dyDescent="0.3">
      <c r="A4" s="187" t="s">
        <v>81</v>
      </c>
      <c r="B4" s="190">
        <f>(B10+B8)/B6</f>
        <v>1.7223096954048482</v>
      </c>
      <c r="C4" s="190">
        <f t="shared" ref="C4:M4" si="0">(C10+C8)/C6</f>
        <v>1.4305271782890754</v>
      </c>
      <c r="D4" s="190">
        <f t="shared" si="0"/>
        <v>1.4305271782890754</v>
      </c>
      <c r="E4" s="190">
        <f t="shared" si="0"/>
        <v>1.4305271782890754</v>
      </c>
      <c r="F4" s="190">
        <f t="shared" si="0"/>
        <v>1.4305271782890754</v>
      </c>
      <c r="G4" s="190">
        <f t="shared" si="0"/>
        <v>1.4305271782890754</v>
      </c>
      <c r="H4" s="190">
        <f t="shared" si="0"/>
        <v>1.4305271782890754</v>
      </c>
      <c r="I4" s="190">
        <f t="shared" si="0"/>
        <v>1.4305271782890754</v>
      </c>
      <c r="J4" s="190">
        <f t="shared" si="0"/>
        <v>1.4305271782890754</v>
      </c>
      <c r="K4" s="190">
        <f t="shared" si="0"/>
        <v>1.4305271782890754</v>
      </c>
      <c r="L4" s="190">
        <f t="shared" si="0"/>
        <v>1.4305271782890754</v>
      </c>
      <c r="M4" s="190">
        <f t="shared" si="0"/>
        <v>1.4305271782890754</v>
      </c>
    </row>
    <row r="5" spans="1:13" ht="14.4" customHeight="1" x14ac:dyDescent="0.3">
      <c r="A5" s="191" t="s">
        <v>53</v>
      </c>
      <c r="B5" s="190">
        <f>IF(ISERROR(VLOOKUP($A5,'Man Tab'!$A:$Q,COLUMN()+2,0)),0,VLOOKUP($A5,'Man Tab'!$A:$Q,COLUMN()+2,0))</f>
        <v>3518.5704500000002</v>
      </c>
      <c r="C5" s="190">
        <f>IF(ISERROR(VLOOKUP($A5,'Man Tab'!$A:$Q,COLUMN()+2,0)),0,VLOOKUP($A5,'Man Tab'!$A:$Q,COLUMN()+2,0))</f>
        <v>3776.57861</v>
      </c>
      <c r="D5" s="190">
        <f>IF(ISERROR(VLOOKUP($A5,'Man Tab'!$A:$Q,COLUMN()+2,0)),0,VLOOKUP($A5,'Man Tab'!$A:$Q,COLUMN()+2,0))</f>
        <v>0</v>
      </c>
      <c r="E5" s="190">
        <f>IF(ISERROR(VLOOKUP($A5,'Man Tab'!$A:$Q,COLUMN()+2,0)),0,VLOOKUP($A5,'Man Tab'!$A:$Q,COLUMN()+2,0))</f>
        <v>0</v>
      </c>
      <c r="F5" s="190">
        <f>IF(ISERROR(VLOOKUP($A5,'Man Tab'!$A:$Q,COLUMN()+2,0)),0,VLOOKUP($A5,'Man Tab'!$A:$Q,COLUMN()+2,0))</f>
        <v>0</v>
      </c>
      <c r="G5" s="190">
        <f>IF(ISERROR(VLOOKUP($A5,'Man Tab'!$A:$Q,COLUMN()+2,0)),0,VLOOKUP($A5,'Man Tab'!$A:$Q,COLUMN()+2,0))</f>
        <v>0</v>
      </c>
      <c r="H5" s="190">
        <f>IF(ISERROR(VLOOKUP($A5,'Man Tab'!$A:$Q,COLUMN()+2,0)),0,VLOOKUP($A5,'Man Tab'!$A:$Q,COLUMN()+2,0))</f>
        <v>0</v>
      </c>
      <c r="I5" s="190">
        <f>IF(ISERROR(VLOOKUP($A5,'Man Tab'!$A:$Q,COLUMN()+2,0)),0,VLOOKUP($A5,'Man Tab'!$A:$Q,COLUMN()+2,0))</f>
        <v>0</v>
      </c>
      <c r="J5" s="190">
        <f>IF(ISERROR(VLOOKUP($A5,'Man Tab'!$A:$Q,COLUMN()+2,0)),0,VLOOKUP($A5,'Man Tab'!$A:$Q,COLUMN()+2,0))</f>
        <v>0</v>
      </c>
      <c r="K5" s="190">
        <f>IF(ISERROR(VLOOKUP($A5,'Man Tab'!$A:$Q,COLUMN()+2,0)),0,VLOOKUP($A5,'Man Tab'!$A:$Q,COLUMN()+2,0))</f>
        <v>0</v>
      </c>
      <c r="L5" s="190">
        <f>IF(ISERROR(VLOOKUP($A5,'Man Tab'!$A:$Q,COLUMN()+2,0)),0,VLOOKUP($A5,'Man Tab'!$A:$Q,COLUMN()+2,0))</f>
        <v>0</v>
      </c>
      <c r="M5" s="190">
        <f>IF(ISERROR(VLOOKUP($A5,'Man Tab'!$A:$Q,COLUMN()+2,0)),0,VLOOKUP($A5,'Man Tab'!$A:$Q,COLUMN()+2,0))</f>
        <v>0</v>
      </c>
    </row>
    <row r="6" spans="1:13" ht="14.4" customHeight="1" x14ac:dyDescent="0.3">
      <c r="A6" s="191" t="s">
        <v>77</v>
      </c>
      <c r="B6" s="192">
        <f>B5</f>
        <v>3518.5704500000002</v>
      </c>
      <c r="C6" s="192">
        <f t="shared" ref="C6:M6" si="1">C5+B6</f>
        <v>7295.1490599999997</v>
      </c>
      <c r="D6" s="192">
        <f t="shared" si="1"/>
        <v>7295.1490599999997</v>
      </c>
      <c r="E6" s="192">
        <f t="shared" si="1"/>
        <v>7295.1490599999997</v>
      </c>
      <c r="F6" s="192">
        <f t="shared" si="1"/>
        <v>7295.1490599999997</v>
      </c>
      <c r="G6" s="192">
        <f t="shared" si="1"/>
        <v>7295.1490599999997</v>
      </c>
      <c r="H6" s="192">
        <f t="shared" si="1"/>
        <v>7295.1490599999997</v>
      </c>
      <c r="I6" s="192">
        <f t="shared" si="1"/>
        <v>7295.1490599999997</v>
      </c>
      <c r="J6" s="192">
        <f t="shared" si="1"/>
        <v>7295.1490599999997</v>
      </c>
      <c r="K6" s="192">
        <f t="shared" si="1"/>
        <v>7295.1490599999997</v>
      </c>
      <c r="L6" s="192">
        <f t="shared" si="1"/>
        <v>7295.1490599999997</v>
      </c>
      <c r="M6" s="192">
        <f t="shared" si="1"/>
        <v>7295.1490599999997</v>
      </c>
    </row>
    <row r="7" spans="1:13" ht="14.4" customHeight="1" x14ac:dyDescent="0.3">
      <c r="A7" s="191" t="s">
        <v>102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4.4" customHeight="1" x14ac:dyDescent="0.3">
      <c r="A8" s="191" t="s">
        <v>78</v>
      </c>
      <c r="B8" s="192">
        <f>B7*30</f>
        <v>0</v>
      </c>
      <c r="C8" s="192">
        <f t="shared" ref="C8:M8" si="2">C7*30</f>
        <v>0</v>
      </c>
      <c r="D8" s="192">
        <f t="shared" si="2"/>
        <v>0</v>
      </c>
      <c r="E8" s="192">
        <f t="shared" si="2"/>
        <v>0</v>
      </c>
      <c r="F8" s="192">
        <f t="shared" si="2"/>
        <v>0</v>
      </c>
      <c r="G8" s="192">
        <f t="shared" si="2"/>
        <v>0</v>
      </c>
      <c r="H8" s="192">
        <f t="shared" si="2"/>
        <v>0</v>
      </c>
      <c r="I8" s="192">
        <f t="shared" si="2"/>
        <v>0</v>
      </c>
      <c r="J8" s="192">
        <f t="shared" si="2"/>
        <v>0</v>
      </c>
      <c r="K8" s="192">
        <f t="shared" si="2"/>
        <v>0</v>
      </c>
      <c r="L8" s="192">
        <f t="shared" si="2"/>
        <v>0</v>
      </c>
      <c r="M8" s="192">
        <f t="shared" si="2"/>
        <v>0</v>
      </c>
    </row>
    <row r="9" spans="1:13" ht="14.4" customHeight="1" x14ac:dyDescent="0.3">
      <c r="A9" s="191" t="s">
        <v>103</v>
      </c>
      <c r="B9" s="191">
        <v>6060068</v>
      </c>
      <c r="C9" s="191">
        <v>4375841</v>
      </c>
      <c r="D9" s="191">
        <v>0</v>
      </c>
      <c r="E9" s="191">
        <v>0</v>
      </c>
      <c r="F9" s="191">
        <v>0</v>
      </c>
      <c r="G9" s="191">
        <v>0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</row>
    <row r="10" spans="1:13" ht="14.4" customHeight="1" x14ac:dyDescent="0.3">
      <c r="A10" s="191" t="s">
        <v>79</v>
      </c>
      <c r="B10" s="192">
        <f>B9/1000</f>
        <v>6060.0680000000002</v>
      </c>
      <c r="C10" s="192">
        <f t="shared" ref="C10:M10" si="3">C9/1000+B10</f>
        <v>10435.909</v>
      </c>
      <c r="D10" s="192">
        <f t="shared" si="3"/>
        <v>10435.909</v>
      </c>
      <c r="E10" s="192">
        <f t="shared" si="3"/>
        <v>10435.909</v>
      </c>
      <c r="F10" s="192">
        <f t="shared" si="3"/>
        <v>10435.909</v>
      </c>
      <c r="G10" s="192">
        <f t="shared" si="3"/>
        <v>10435.909</v>
      </c>
      <c r="H10" s="192">
        <f t="shared" si="3"/>
        <v>10435.909</v>
      </c>
      <c r="I10" s="192">
        <f t="shared" si="3"/>
        <v>10435.909</v>
      </c>
      <c r="J10" s="192">
        <f t="shared" si="3"/>
        <v>10435.909</v>
      </c>
      <c r="K10" s="192">
        <f t="shared" si="3"/>
        <v>10435.909</v>
      </c>
      <c r="L10" s="192">
        <f t="shared" si="3"/>
        <v>10435.909</v>
      </c>
      <c r="M10" s="192">
        <f t="shared" si="3"/>
        <v>10435.909</v>
      </c>
    </row>
    <row r="11" spans="1:13" ht="14.4" customHeight="1" x14ac:dyDescent="0.3">
      <c r="A11" s="187"/>
      <c r="B11" s="187" t="s">
        <v>94</v>
      </c>
      <c r="C11" s="187">
        <f ca="1">IF(MONTH(TODAY())=1,12,MONTH(TODAY())-1)</f>
        <v>3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4.4" customHeight="1" x14ac:dyDescent="0.3">
      <c r="A12" s="187">
        <v>0</v>
      </c>
      <c r="B12" s="190">
        <f>IF(ISERROR(HI!F15),#REF!,HI!F15)</f>
        <v>0.56085422750686831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4.4" customHeight="1" x14ac:dyDescent="0.3">
      <c r="A13" s="187">
        <v>1</v>
      </c>
      <c r="B13" s="190">
        <f>IF(ISERROR(HI!F15),#REF!,HI!F15)</f>
        <v>0.56085422750686831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8" bestFit="1" customWidth="1"/>
    <col min="2" max="2" width="12.77734375" style="118" bestFit="1" customWidth="1"/>
    <col min="3" max="3" width="13.6640625" style="118" bestFit="1" customWidth="1"/>
    <col min="4" max="15" width="7.77734375" style="118" bestFit="1" customWidth="1"/>
    <col min="16" max="16" width="8.88671875" style="118" customWidth="1"/>
    <col min="17" max="17" width="6.6640625" style="118" bestFit="1" customWidth="1"/>
    <col min="18" max="16384" width="8.88671875" style="118"/>
  </cols>
  <sheetData>
    <row r="1" spans="1:17" s="193" customFormat="1" ht="18.600000000000001" customHeight="1" thickBot="1" x14ac:dyDescent="0.4">
      <c r="A1" s="347" t="s">
        <v>284</v>
      </c>
      <c r="B1" s="347"/>
      <c r="C1" s="347"/>
      <c r="D1" s="347"/>
      <c r="E1" s="347"/>
      <c r="F1" s="347"/>
      <c r="G1" s="347"/>
      <c r="H1" s="335"/>
      <c r="I1" s="335"/>
      <c r="J1" s="335"/>
      <c r="K1" s="335"/>
      <c r="L1" s="335"/>
      <c r="M1" s="335"/>
      <c r="N1" s="335"/>
      <c r="O1" s="335"/>
      <c r="P1" s="335"/>
      <c r="Q1" s="335"/>
    </row>
    <row r="2" spans="1:17" s="193" customFormat="1" ht="14.4" customHeight="1" thickBot="1" x14ac:dyDescent="0.3">
      <c r="A2" s="224" t="s">
        <v>282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4.4" customHeight="1" x14ac:dyDescent="0.3">
      <c r="A3" s="68"/>
      <c r="B3" s="348" t="s">
        <v>29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126"/>
      <c r="Q3" s="128"/>
    </row>
    <row r="4" spans="1:17" ht="14.4" customHeight="1" x14ac:dyDescent="0.3">
      <c r="A4" s="69"/>
      <c r="B4" s="20">
        <v>2017</v>
      </c>
      <c r="C4" s="127" t="s">
        <v>30</v>
      </c>
      <c r="D4" s="316" t="s">
        <v>248</v>
      </c>
      <c r="E4" s="316" t="s">
        <v>249</v>
      </c>
      <c r="F4" s="316" t="s">
        <v>250</v>
      </c>
      <c r="G4" s="316" t="s">
        <v>251</v>
      </c>
      <c r="H4" s="316" t="s">
        <v>252</v>
      </c>
      <c r="I4" s="316" t="s">
        <v>253</v>
      </c>
      <c r="J4" s="316" t="s">
        <v>254</v>
      </c>
      <c r="K4" s="316" t="s">
        <v>255</v>
      </c>
      <c r="L4" s="316" t="s">
        <v>256</v>
      </c>
      <c r="M4" s="316" t="s">
        <v>257</v>
      </c>
      <c r="N4" s="316" t="s">
        <v>258</v>
      </c>
      <c r="O4" s="316" t="s">
        <v>259</v>
      </c>
      <c r="P4" s="350" t="s">
        <v>3</v>
      </c>
      <c r="Q4" s="351"/>
    </row>
    <row r="5" spans="1:17" ht="14.4" customHeight="1" thickBot="1" x14ac:dyDescent="0.3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283</v>
      </c>
    </row>
    <row r="7" spans="1:17" ht="14.4" customHeight="1" x14ac:dyDescent="0.3">
      <c r="A7" s="15" t="s">
        <v>35</v>
      </c>
      <c r="B7" s="46">
        <v>20</v>
      </c>
      <c r="C7" s="47">
        <v>1.6666666666659999</v>
      </c>
      <c r="D7" s="47">
        <v>2.78146</v>
      </c>
      <c r="E7" s="47">
        <v>0.30266999999999999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3.08413</v>
      </c>
      <c r="Q7" s="85">
        <v>0.92523900000000003</v>
      </c>
    </row>
    <row r="8" spans="1:17" ht="14.4" customHeight="1" x14ac:dyDescent="0.3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283</v>
      </c>
    </row>
    <row r="9" spans="1:17" ht="14.4" customHeight="1" x14ac:dyDescent="0.3">
      <c r="A9" s="15" t="s">
        <v>37</v>
      </c>
      <c r="B9" s="46">
        <v>25617.335909625701</v>
      </c>
      <c r="C9" s="47">
        <v>2134.7779924688102</v>
      </c>
      <c r="D9" s="47">
        <v>1707.7538999999999</v>
      </c>
      <c r="E9" s="47">
        <v>2116.3467500000002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3824.1006499999999</v>
      </c>
      <c r="Q9" s="85">
        <v>0.89566705846899997</v>
      </c>
    </row>
    <row r="10" spans="1:17" ht="14.4" customHeight="1" x14ac:dyDescent="0.3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283</v>
      </c>
    </row>
    <row r="11" spans="1:17" ht="14.4" customHeight="1" x14ac:dyDescent="0.3">
      <c r="A11" s="15" t="s">
        <v>39</v>
      </c>
      <c r="B11" s="46">
        <v>245.41938250148601</v>
      </c>
      <c r="C11" s="47">
        <v>20.451615208457</v>
      </c>
      <c r="D11" s="47">
        <v>18.775580000000001</v>
      </c>
      <c r="E11" s="47">
        <v>13.511620000000001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32.287199999999999</v>
      </c>
      <c r="Q11" s="85">
        <v>0.78935574698800004</v>
      </c>
    </row>
    <row r="12" spans="1:17" ht="14.4" customHeight="1" x14ac:dyDescent="0.3">
      <c r="A12" s="15" t="s">
        <v>40</v>
      </c>
      <c r="B12" s="46">
        <v>1.105833859661</v>
      </c>
      <c r="C12" s="47">
        <v>9.2152821637999996E-2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85">
        <v>0</v>
      </c>
    </row>
    <row r="13" spans="1:17" ht="14.4" customHeight="1" x14ac:dyDescent="0.3">
      <c r="A13" s="15" t="s">
        <v>41</v>
      </c>
      <c r="B13" s="46">
        <v>21</v>
      </c>
      <c r="C13" s="47">
        <v>1.75</v>
      </c>
      <c r="D13" s="47">
        <v>0</v>
      </c>
      <c r="E13" s="47">
        <v>1.1978899999999999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1.1978899999999999</v>
      </c>
      <c r="Q13" s="85">
        <v>0.34225428571400002</v>
      </c>
    </row>
    <row r="14" spans="1:17" ht="14.4" customHeight="1" x14ac:dyDescent="0.3">
      <c r="A14" s="15" t="s">
        <v>42</v>
      </c>
      <c r="B14" s="46">
        <v>569.13995731379305</v>
      </c>
      <c r="C14" s="47">
        <v>47.428329776148999</v>
      </c>
      <c r="D14" s="47">
        <v>72.215000000000003</v>
      </c>
      <c r="E14" s="47">
        <v>57.609000000000002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129.82400000000001</v>
      </c>
      <c r="Q14" s="85">
        <v>1.3686334793220001</v>
      </c>
    </row>
    <row r="15" spans="1:17" ht="14.4" customHeight="1" x14ac:dyDescent="0.3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283</v>
      </c>
    </row>
    <row r="16" spans="1:17" ht="14.4" customHeight="1" x14ac:dyDescent="0.3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283</v>
      </c>
    </row>
    <row r="17" spans="1:17" ht="14.4" customHeight="1" x14ac:dyDescent="0.3">
      <c r="A17" s="15" t="s">
        <v>45</v>
      </c>
      <c r="B17" s="46">
        <v>233.632646565529</v>
      </c>
      <c r="C17" s="47">
        <v>19.469387213794001</v>
      </c>
      <c r="D17" s="47">
        <v>1.8339000000000001</v>
      </c>
      <c r="E17" s="47">
        <v>37.931840000000001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39.765740000000001</v>
      </c>
      <c r="Q17" s="85">
        <v>1.021237586045</v>
      </c>
    </row>
    <row r="18" spans="1:17" ht="14.4" customHeight="1" x14ac:dyDescent="0.3">
      <c r="A18" s="15" t="s">
        <v>46</v>
      </c>
      <c r="B18" s="46">
        <v>0</v>
      </c>
      <c r="C18" s="47">
        <v>0</v>
      </c>
      <c r="D18" s="47">
        <v>1.2869999999999999</v>
      </c>
      <c r="E18" s="47">
        <v>5.0430000000000001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6.33</v>
      </c>
      <c r="Q18" s="85" t="s">
        <v>283</v>
      </c>
    </row>
    <row r="19" spans="1:17" ht="14.4" customHeight="1" x14ac:dyDescent="0.3">
      <c r="A19" s="15" t="s">
        <v>47</v>
      </c>
      <c r="B19" s="46">
        <v>1437.5446645393799</v>
      </c>
      <c r="C19" s="47">
        <v>119.795388711615</v>
      </c>
      <c r="D19" s="47">
        <v>27.97757</v>
      </c>
      <c r="E19" s="47">
        <v>29.060600000000001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57.038170000000001</v>
      </c>
      <c r="Q19" s="85">
        <v>0.23806496482600001</v>
      </c>
    </row>
    <row r="20" spans="1:17" ht="14.4" customHeight="1" x14ac:dyDescent="0.3">
      <c r="A20" s="15" t="s">
        <v>48</v>
      </c>
      <c r="B20" s="46">
        <v>16753</v>
      </c>
      <c r="C20" s="47">
        <v>1396.0833333333301</v>
      </c>
      <c r="D20" s="47">
        <v>1587.28793</v>
      </c>
      <c r="E20" s="47">
        <v>1413.9645399999999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3001.2524699999999</v>
      </c>
      <c r="Q20" s="85">
        <v>1.074882995284</v>
      </c>
    </row>
    <row r="21" spans="1:17" ht="14.4" customHeight="1" x14ac:dyDescent="0.3">
      <c r="A21" s="16" t="s">
        <v>49</v>
      </c>
      <c r="B21" s="46">
        <v>1508</v>
      </c>
      <c r="C21" s="47">
        <v>125.666666666667</v>
      </c>
      <c r="D21" s="47">
        <v>98.373000000000005</v>
      </c>
      <c r="E21" s="47">
        <v>97.311000000000007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195.684</v>
      </c>
      <c r="Q21" s="85">
        <v>0.77858355437600002</v>
      </c>
    </row>
    <row r="22" spans="1:17" ht="14.4" customHeight="1" x14ac:dyDescent="0.3">
      <c r="A22" s="15" t="s">
        <v>50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85" t="s">
        <v>283</v>
      </c>
    </row>
    <row r="23" spans="1:17" ht="14.4" customHeight="1" x14ac:dyDescent="0.3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 t="s">
        <v>283</v>
      </c>
    </row>
    <row r="24" spans="1:17" ht="14.4" customHeight="1" x14ac:dyDescent="0.3">
      <c r="A24" s="16" t="s">
        <v>52</v>
      </c>
      <c r="B24" s="46">
        <v>23.222906097405001</v>
      </c>
      <c r="C24" s="47">
        <v>1.935242174783</v>
      </c>
      <c r="D24" s="47">
        <v>0.28510999999999997</v>
      </c>
      <c r="E24" s="47">
        <v>4.2996999999999996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4.5848100000010001</v>
      </c>
      <c r="Q24" s="85">
        <v>1.18455717319</v>
      </c>
    </row>
    <row r="25" spans="1:17" ht="14.4" customHeight="1" x14ac:dyDescent="0.3">
      <c r="A25" s="17" t="s">
        <v>53</v>
      </c>
      <c r="B25" s="49">
        <v>46429.401300502999</v>
      </c>
      <c r="C25" s="50">
        <v>3869.1167750419199</v>
      </c>
      <c r="D25" s="50">
        <v>3518.5704500000002</v>
      </c>
      <c r="E25" s="50">
        <v>3776.57861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7295.1490599999997</v>
      </c>
      <c r="Q25" s="86">
        <v>0.94274087397100004</v>
      </c>
    </row>
    <row r="26" spans="1:17" ht="14.4" customHeight="1" x14ac:dyDescent="0.3">
      <c r="A26" s="15" t="s">
        <v>54</v>
      </c>
      <c r="B26" s="46">
        <v>0</v>
      </c>
      <c r="C26" s="47">
        <v>0</v>
      </c>
      <c r="D26" s="47">
        <v>216.79586</v>
      </c>
      <c r="E26" s="47">
        <v>193.98972000000001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410.78557999999998</v>
      </c>
      <c r="Q26" s="85" t="s">
        <v>283</v>
      </c>
    </row>
    <row r="27" spans="1:17" ht="14.4" customHeight="1" x14ac:dyDescent="0.3">
      <c r="A27" s="18" t="s">
        <v>55</v>
      </c>
      <c r="B27" s="49">
        <v>46429.401300502999</v>
      </c>
      <c r="C27" s="50">
        <v>3869.1167750419199</v>
      </c>
      <c r="D27" s="50">
        <v>3735.3663099999999</v>
      </c>
      <c r="E27" s="50">
        <v>3970.5683300000001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7705.9346400000004</v>
      </c>
      <c r="Q27" s="86">
        <v>0.99582606160999998</v>
      </c>
    </row>
    <row r="28" spans="1:17" ht="14.4" customHeight="1" x14ac:dyDescent="0.3">
      <c r="A28" s="16" t="s">
        <v>56</v>
      </c>
      <c r="B28" s="46">
        <v>1711</v>
      </c>
      <c r="C28" s="47">
        <v>142.583333333333</v>
      </c>
      <c r="D28" s="47">
        <v>128.56111999999999</v>
      </c>
      <c r="E28" s="47">
        <v>127.47852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256.03964000000002</v>
      </c>
      <c r="Q28" s="85">
        <v>0.89785963763800003</v>
      </c>
    </row>
    <row r="29" spans="1:17" ht="14.4" customHeight="1" x14ac:dyDescent="0.3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283</v>
      </c>
    </row>
    <row r="30" spans="1:17" ht="14.4" customHeight="1" x14ac:dyDescent="0.3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10</v>
      </c>
    </row>
    <row r="31" spans="1:17" ht="14.4" customHeight="1" thickBot="1" x14ac:dyDescent="0.3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283</v>
      </c>
    </row>
    <row r="32" spans="1:17" ht="14.4" customHeight="1" x14ac:dyDescent="0.3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ht="14.4" customHeight="1" x14ac:dyDescent="0.3">
      <c r="A33" s="102" t="s">
        <v>149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ht="14.4" customHeight="1" x14ac:dyDescent="0.3">
      <c r="A34" s="124" t="s">
        <v>260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ht="14.4" customHeight="1" x14ac:dyDescent="0.3">
      <c r="A35" s="125" t="s">
        <v>60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8" customWidth="1"/>
    <col min="2" max="11" width="10" style="118" customWidth="1"/>
    <col min="12" max="16384" width="8.88671875" style="118"/>
  </cols>
  <sheetData>
    <row r="1" spans="1:11" s="55" customFormat="1" ht="18.600000000000001" customHeight="1" thickBot="1" x14ac:dyDescent="0.4">
      <c r="A1" s="347" t="s">
        <v>61</v>
      </c>
      <c r="B1" s="347"/>
      <c r="C1" s="347"/>
      <c r="D1" s="347"/>
      <c r="E1" s="347"/>
      <c r="F1" s="347"/>
      <c r="G1" s="347"/>
      <c r="H1" s="352"/>
      <c r="I1" s="352"/>
      <c r="J1" s="352"/>
      <c r="K1" s="352"/>
    </row>
    <row r="2" spans="1:11" s="55" customFormat="1" ht="14.4" customHeight="1" thickBot="1" x14ac:dyDescent="0.35">
      <c r="A2" s="224" t="s">
        <v>282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8"/>
      <c r="B3" s="348" t="s">
        <v>62</v>
      </c>
      <c r="C3" s="349"/>
      <c r="D3" s="349"/>
      <c r="E3" s="349"/>
      <c r="F3" s="355" t="s">
        <v>63</v>
      </c>
      <c r="G3" s="349"/>
      <c r="H3" s="349"/>
      <c r="I3" s="349"/>
      <c r="J3" s="349"/>
      <c r="K3" s="356"/>
    </row>
    <row r="4" spans="1:11" ht="14.4" customHeight="1" x14ac:dyDescent="0.3">
      <c r="A4" s="69"/>
      <c r="B4" s="353"/>
      <c r="C4" s="354"/>
      <c r="D4" s="354"/>
      <c r="E4" s="354"/>
      <c r="F4" s="357" t="s">
        <v>261</v>
      </c>
      <c r="G4" s="359" t="s">
        <v>64</v>
      </c>
      <c r="H4" s="129" t="s">
        <v>135</v>
      </c>
      <c r="I4" s="357" t="s">
        <v>65</v>
      </c>
      <c r="J4" s="359" t="s">
        <v>268</v>
      </c>
      <c r="K4" s="360" t="s">
        <v>262</v>
      </c>
    </row>
    <row r="5" spans="1:11" ht="42" thickBot="1" x14ac:dyDescent="0.35">
      <c r="A5" s="70"/>
      <c r="B5" s="24" t="s">
        <v>264</v>
      </c>
      <c r="C5" s="25" t="s">
        <v>265</v>
      </c>
      <c r="D5" s="26" t="s">
        <v>266</v>
      </c>
      <c r="E5" s="26" t="s">
        <v>267</v>
      </c>
      <c r="F5" s="358"/>
      <c r="G5" s="358"/>
      <c r="H5" s="25" t="s">
        <v>263</v>
      </c>
      <c r="I5" s="358"/>
      <c r="J5" s="358"/>
      <c r="K5" s="361"/>
    </row>
    <row r="6" spans="1:11" ht="14.4" customHeight="1" thickBot="1" x14ac:dyDescent="0.35">
      <c r="A6" s="437" t="s">
        <v>285</v>
      </c>
      <c r="B6" s="419">
        <v>42928.815460794402</v>
      </c>
      <c r="C6" s="419">
        <v>46044.490160000001</v>
      </c>
      <c r="D6" s="420">
        <v>3115.6746992056401</v>
      </c>
      <c r="E6" s="421">
        <v>1.0725777002170001</v>
      </c>
      <c r="F6" s="419">
        <v>46429.401300502999</v>
      </c>
      <c r="G6" s="420">
        <v>7738.2335500838399</v>
      </c>
      <c r="H6" s="422">
        <v>3776.57861</v>
      </c>
      <c r="I6" s="419">
        <v>7295.1490599999997</v>
      </c>
      <c r="J6" s="420">
        <v>-443.084490083834</v>
      </c>
      <c r="K6" s="423">
        <v>0.15712347899500001</v>
      </c>
    </row>
    <row r="7" spans="1:11" ht="14.4" customHeight="1" thickBot="1" x14ac:dyDescent="0.35">
      <c r="A7" s="438" t="s">
        <v>286</v>
      </c>
      <c r="B7" s="419">
        <v>25456.176710858599</v>
      </c>
      <c r="C7" s="419">
        <v>25641.956340000001</v>
      </c>
      <c r="D7" s="420">
        <v>185.77962914137601</v>
      </c>
      <c r="E7" s="421">
        <v>1.007298017736</v>
      </c>
      <c r="F7" s="419">
        <v>26474.0010833007</v>
      </c>
      <c r="G7" s="420">
        <v>4412.33351388345</v>
      </c>
      <c r="H7" s="422">
        <v>2188.9676300000001</v>
      </c>
      <c r="I7" s="419">
        <v>3990.4933000000001</v>
      </c>
      <c r="J7" s="420">
        <v>-421.84021388344797</v>
      </c>
      <c r="K7" s="423">
        <v>0.15073253519300001</v>
      </c>
    </row>
    <row r="8" spans="1:11" ht="14.4" customHeight="1" thickBot="1" x14ac:dyDescent="0.35">
      <c r="A8" s="439" t="s">
        <v>287</v>
      </c>
      <c r="B8" s="419">
        <v>24889.6781368269</v>
      </c>
      <c r="C8" s="419">
        <v>25080.797340000001</v>
      </c>
      <c r="D8" s="420">
        <v>191.119203173144</v>
      </c>
      <c r="E8" s="421">
        <v>1.0076786530590001</v>
      </c>
      <c r="F8" s="419">
        <v>25904.861125986899</v>
      </c>
      <c r="G8" s="420">
        <v>4317.4768543311502</v>
      </c>
      <c r="H8" s="422">
        <v>2131.3586300000002</v>
      </c>
      <c r="I8" s="419">
        <v>3860.6693</v>
      </c>
      <c r="J8" s="420">
        <v>-456.80755433115002</v>
      </c>
      <c r="K8" s="423">
        <v>0.14903261906000001</v>
      </c>
    </row>
    <row r="9" spans="1:11" ht="14.4" customHeight="1" thickBot="1" x14ac:dyDescent="0.35">
      <c r="A9" s="440" t="s">
        <v>288</v>
      </c>
      <c r="B9" s="424">
        <v>0</v>
      </c>
      <c r="C9" s="424">
        <v>6.4999999899999997E-4</v>
      </c>
      <c r="D9" s="425">
        <v>6.4999999899999997E-4</v>
      </c>
      <c r="E9" s="426" t="s">
        <v>283</v>
      </c>
      <c r="F9" s="424">
        <v>0</v>
      </c>
      <c r="G9" s="425">
        <v>0</v>
      </c>
      <c r="H9" s="427">
        <v>-2.9999999999999997E-4</v>
      </c>
      <c r="I9" s="424">
        <v>-5.6999999999999998E-4</v>
      </c>
      <c r="J9" s="425">
        <v>-5.6999999999999998E-4</v>
      </c>
      <c r="K9" s="428" t="s">
        <v>283</v>
      </c>
    </row>
    <row r="10" spans="1:11" ht="14.4" customHeight="1" thickBot="1" x14ac:dyDescent="0.35">
      <c r="A10" s="441" t="s">
        <v>289</v>
      </c>
      <c r="B10" s="419">
        <v>0</v>
      </c>
      <c r="C10" s="419">
        <v>6.4999999899999997E-4</v>
      </c>
      <c r="D10" s="420">
        <v>6.4999999899999997E-4</v>
      </c>
      <c r="E10" s="429" t="s">
        <v>283</v>
      </c>
      <c r="F10" s="419">
        <v>0</v>
      </c>
      <c r="G10" s="420">
        <v>0</v>
      </c>
      <c r="H10" s="422">
        <v>-2.9999999999999997E-4</v>
      </c>
      <c r="I10" s="419">
        <v>-5.6999999999999998E-4</v>
      </c>
      <c r="J10" s="420">
        <v>-5.6999999999999998E-4</v>
      </c>
      <c r="K10" s="430" t="s">
        <v>283</v>
      </c>
    </row>
    <row r="11" spans="1:11" ht="14.4" customHeight="1" thickBot="1" x14ac:dyDescent="0.35">
      <c r="A11" s="440" t="s">
        <v>290</v>
      </c>
      <c r="B11" s="424">
        <v>25.000002256986999</v>
      </c>
      <c r="C11" s="424">
        <v>17.137820000000001</v>
      </c>
      <c r="D11" s="425">
        <v>-7.8621822569870004</v>
      </c>
      <c r="E11" s="431">
        <v>0.68551273811199998</v>
      </c>
      <c r="F11" s="424">
        <v>20</v>
      </c>
      <c r="G11" s="425">
        <v>3.333333333333</v>
      </c>
      <c r="H11" s="427">
        <v>0.30266999999999999</v>
      </c>
      <c r="I11" s="424">
        <v>3.08413</v>
      </c>
      <c r="J11" s="425">
        <v>-0.24920333333299999</v>
      </c>
      <c r="K11" s="432">
        <v>0.1542065</v>
      </c>
    </row>
    <row r="12" spans="1:11" ht="14.4" customHeight="1" thickBot="1" x14ac:dyDescent="0.35">
      <c r="A12" s="441" t="s">
        <v>291</v>
      </c>
      <c r="B12" s="419">
        <v>22.000001986148</v>
      </c>
      <c r="C12" s="419">
        <v>14.07269</v>
      </c>
      <c r="D12" s="420">
        <v>-7.9273119861480001</v>
      </c>
      <c r="E12" s="421">
        <v>0.63966766952300003</v>
      </c>
      <c r="F12" s="419">
        <v>17</v>
      </c>
      <c r="G12" s="420">
        <v>2.833333333333</v>
      </c>
      <c r="H12" s="422">
        <v>0.30266999999999999</v>
      </c>
      <c r="I12" s="419">
        <v>2.3228900000000001</v>
      </c>
      <c r="J12" s="420">
        <v>-0.51044333333299996</v>
      </c>
      <c r="K12" s="423">
        <v>0.136640588235</v>
      </c>
    </row>
    <row r="13" spans="1:11" ht="14.4" customHeight="1" thickBot="1" x14ac:dyDescent="0.35">
      <c r="A13" s="441" t="s">
        <v>292</v>
      </c>
      <c r="B13" s="419">
        <v>2.0000001805580001</v>
      </c>
      <c r="C13" s="419">
        <v>3.0651299999999999</v>
      </c>
      <c r="D13" s="420">
        <v>1.0651298194409999</v>
      </c>
      <c r="E13" s="421">
        <v>1.5325648616400001</v>
      </c>
      <c r="F13" s="419">
        <v>3</v>
      </c>
      <c r="G13" s="420">
        <v>0.5</v>
      </c>
      <c r="H13" s="422">
        <v>0</v>
      </c>
      <c r="I13" s="419">
        <v>0.76124000000000003</v>
      </c>
      <c r="J13" s="420">
        <v>0.26124000000000003</v>
      </c>
      <c r="K13" s="423">
        <v>0.25374666666599999</v>
      </c>
    </row>
    <row r="14" spans="1:11" ht="14.4" customHeight="1" thickBot="1" x14ac:dyDescent="0.35">
      <c r="A14" s="441" t="s">
        <v>293</v>
      </c>
      <c r="B14" s="419">
        <v>1.0000000902790001</v>
      </c>
      <c r="C14" s="419">
        <v>0</v>
      </c>
      <c r="D14" s="420">
        <v>-1.0000000902790001</v>
      </c>
      <c r="E14" s="421">
        <v>0</v>
      </c>
      <c r="F14" s="419">
        <v>0</v>
      </c>
      <c r="G14" s="420">
        <v>0</v>
      </c>
      <c r="H14" s="422">
        <v>0</v>
      </c>
      <c r="I14" s="419">
        <v>0</v>
      </c>
      <c r="J14" s="420">
        <v>0</v>
      </c>
      <c r="K14" s="423">
        <v>2</v>
      </c>
    </row>
    <row r="15" spans="1:11" ht="14.4" customHeight="1" thickBot="1" x14ac:dyDescent="0.35">
      <c r="A15" s="440" t="s">
        <v>294</v>
      </c>
      <c r="B15" s="424">
        <v>24636.890056869099</v>
      </c>
      <c r="C15" s="424">
        <v>24833.002229999998</v>
      </c>
      <c r="D15" s="425">
        <v>196.11217313087801</v>
      </c>
      <c r="E15" s="431">
        <v>1.0079601026210001</v>
      </c>
      <c r="F15" s="424">
        <v>25617.335909625701</v>
      </c>
      <c r="G15" s="425">
        <v>4269.5559849376295</v>
      </c>
      <c r="H15" s="427">
        <v>2116.3467500000002</v>
      </c>
      <c r="I15" s="424">
        <v>3824.1006499999999</v>
      </c>
      <c r="J15" s="425">
        <v>-445.45533493762503</v>
      </c>
      <c r="K15" s="432">
        <v>0.14927784307799999</v>
      </c>
    </row>
    <row r="16" spans="1:11" ht="14.4" customHeight="1" thickBot="1" x14ac:dyDescent="0.35">
      <c r="A16" s="441" t="s">
        <v>295</v>
      </c>
      <c r="B16" s="419">
        <v>23984.002165263199</v>
      </c>
      <c r="C16" s="419">
        <v>24227.57789</v>
      </c>
      <c r="D16" s="420">
        <v>243.575724736849</v>
      </c>
      <c r="E16" s="421">
        <v>1.0101557581189999</v>
      </c>
      <c r="F16" s="419">
        <v>24921.619526031001</v>
      </c>
      <c r="G16" s="420">
        <v>4153.6032543384999</v>
      </c>
      <c r="H16" s="422">
        <v>2089.0252700000001</v>
      </c>
      <c r="I16" s="419">
        <v>3748.5603000000001</v>
      </c>
      <c r="J16" s="420">
        <v>-405.042954338502</v>
      </c>
      <c r="K16" s="423">
        <v>0.15041399280100001</v>
      </c>
    </row>
    <row r="17" spans="1:11" ht="14.4" customHeight="1" thickBot="1" x14ac:dyDescent="0.35">
      <c r="A17" s="441" t="s">
        <v>296</v>
      </c>
      <c r="B17" s="419">
        <v>356.88786488324098</v>
      </c>
      <c r="C17" s="419">
        <v>291.55894999999998</v>
      </c>
      <c r="D17" s="420">
        <v>-65.328914883240003</v>
      </c>
      <c r="E17" s="421">
        <v>0.81694834341099998</v>
      </c>
      <c r="F17" s="419">
        <v>360.23899829038203</v>
      </c>
      <c r="G17" s="420">
        <v>60.039833048397</v>
      </c>
      <c r="H17" s="422">
        <v>17.682030000000001</v>
      </c>
      <c r="I17" s="419">
        <v>48.465670000000003</v>
      </c>
      <c r="J17" s="420">
        <v>-11.574163048397001</v>
      </c>
      <c r="K17" s="423">
        <v>0.13453754376900001</v>
      </c>
    </row>
    <row r="18" spans="1:11" ht="14.4" customHeight="1" thickBot="1" x14ac:dyDescent="0.35">
      <c r="A18" s="441" t="s">
        <v>297</v>
      </c>
      <c r="B18" s="419">
        <v>20.000001805589001</v>
      </c>
      <c r="C18" s="419">
        <v>20.397939999999998</v>
      </c>
      <c r="D18" s="420">
        <v>0.39793819441</v>
      </c>
      <c r="E18" s="421">
        <v>1.0198969079239999</v>
      </c>
      <c r="F18" s="419">
        <v>20</v>
      </c>
      <c r="G18" s="420">
        <v>3.333333333333</v>
      </c>
      <c r="H18" s="422">
        <v>0.21</v>
      </c>
      <c r="I18" s="419">
        <v>3.25658</v>
      </c>
      <c r="J18" s="420">
        <v>-7.6753333332999996E-2</v>
      </c>
      <c r="K18" s="423">
        <v>0.162829</v>
      </c>
    </row>
    <row r="19" spans="1:11" ht="14.4" customHeight="1" thickBot="1" x14ac:dyDescent="0.35">
      <c r="A19" s="441" t="s">
        <v>298</v>
      </c>
      <c r="B19" s="419">
        <v>242.000021847635</v>
      </c>
      <c r="C19" s="419">
        <v>261.83645000000001</v>
      </c>
      <c r="D19" s="420">
        <v>19.836428152364</v>
      </c>
      <c r="E19" s="421">
        <v>1.0819687039729999</v>
      </c>
      <c r="F19" s="419">
        <v>280.47738530435998</v>
      </c>
      <c r="G19" s="420">
        <v>46.746230884059997</v>
      </c>
      <c r="H19" s="422">
        <v>7.1794500000000001</v>
      </c>
      <c r="I19" s="419">
        <v>19.138100000000001</v>
      </c>
      <c r="J19" s="420">
        <v>-27.608130884059999</v>
      </c>
      <c r="K19" s="423">
        <v>6.8234021717000007E-2</v>
      </c>
    </row>
    <row r="20" spans="1:11" ht="14.4" customHeight="1" thickBot="1" x14ac:dyDescent="0.35">
      <c r="A20" s="441" t="s">
        <v>299</v>
      </c>
      <c r="B20" s="419">
        <v>4.0000003611170003</v>
      </c>
      <c r="C20" s="419">
        <v>4.1550000000000002</v>
      </c>
      <c r="D20" s="420">
        <v>0.154999638882</v>
      </c>
      <c r="E20" s="421">
        <v>1.038749906222</v>
      </c>
      <c r="F20" s="419">
        <v>5</v>
      </c>
      <c r="G20" s="420">
        <v>0.83333333333299997</v>
      </c>
      <c r="H20" s="422">
        <v>0.18</v>
      </c>
      <c r="I20" s="419">
        <v>0.54</v>
      </c>
      <c r="J20" s="420">
        <v>-0.29333333333299999</v>
      </c>
      <c r="K20" s="423">
        <v>0.108</v>
      </c>
    </row>
    <row r="21" spans="1:11" ht="14.4" customHeight="1" thickBot="1" x14ac:dyDescent="0.35">
      <c r="A21" s="441" t="s">
        <v>300</v>
      </c>
      <c r="B21" s="419">
        <v>30.000002708383999</v>
      </c>
      <c r="C21" s="419">
        <v>27.475999999999999</v>
      </c>
      <c r="D21" s="420">
        <v>-2.5240027083840002</v>
      </c>
      <c r="E21" s="421">
        <v>0.91586658398200005</v>
      </c>
      <c r="F21" s="419">
        <v>30</v>
      </c>
      <c r="G21" s="420">
        <v>5</v>
      </c>
      <c r="H21" s="422">
        <v>2.0699999999999998</v>
      </c>
      <c r="I21" s="419">
        <v>4.1399999999999997</v>
      </c>
      <c r="J21" s="420">
        <v>-0.86</v>
      </c>
      <c r="K21" s="423">
        <v>0.13800000000000001</v>
      </c>
    </row>
    <row r="22" spans="1:11" ht="14.4" customHeight="1" thickBot="1" x14ac:dyDescent="0.35">
      <c r="A22" s="440" t="s">
        <v>301</v>
      </c>
      <c r="B22" s="424">
        <v>214.42748903478801</v>
      </c>
      <c r="C22" s="424">
        <v>211.14804000000001</v>
      </c>
      <c r="D22" s="425">
        <v>-3.279449034787</v>
      </c>
      <c r="E22" s="431">
        <v>0.98470602323599998</v>
      </c>
      <c r="F22" s="424">
        <v>245.41938250148601</v>
      </c>
      <c r="G22" s="425">
        <v>40.903230416913999</v>
      </c>
      <c r="H22" s="427">
        <v>13.511620000000001</v>
      </c>
      <c r="I22" s="424">
        <v>32.287199999999999</v>
      </c>
      <c r="J22" s="425">
        <v>-8.6160304169140005</v>
      </c>
      <c r="K22" s="432">
        <v>0.131559291164</v>
      </c>
    </row>
    <row r="23" spans="1:11" ht="14.4" customHeight="1" thickBot="1" x14ac:dyDescent="0.35">
      <c r="A23" s="441" t="s">
        <v>302</v>
      </c>
      <c r="B23" s="419">
        <v>3.2896308512929999</v>
      </c>
      <c r="C23" s="419">
        <v>1.1499999999999999</v>
      </c>
      <c r="D23" s="420">
        <v>-2.139630851293</v>
      </c>
      <c r="E23" s="421">
        <v>0.34958329733100002</v>
      </c>
      <c r="F23" s="419">
        <v>0</v>
      </c>
      <c r="G23" s="420">
        <v>0</v>
      </c>
      <c r="H23" s="422">
        <v>0</v>
      </c>
      <c r="I23" s="419">
        <v>0</v>
      </c>
      <c r="J23" s="420">
        <v>0</v>
      </c>
      <c r="K23" s="430" t="s">
        <v>283</v>
      </c>
    </row>
    <row r="24" spans="1:11" ht="14.4" customHeight="1" thickBot="1" x14ac:dyDescent="0.35">
      <c r="A24" s="441" t="s">
        <v>303</v>
      </c>
      <c r="B24" s="419">
        <v>15.000001354191999</v>
      </c>
      <c r="C24" s="419">
        <v>6.7479100000000001</v>
      </c>
      <c r="D24" s="420">
        <v>-8.2520913541920002</v>
      </c>
      <c r="E24" s="421">
        <v>0.44986062605299998</v>
      </c>
      <c r="F24" s="419">
        <v>10</v>
      </c>
      <c r="G24" s="420">
        <v>1.6666666666659999</v>
      </c>
      <c r="H24" s="422">
        <v>1.9130000000000001E-2</v>
      </c>
      <c r="I24" s="419">
        <v>1.9130000000000001E-2</v>
      </c>
      <c r="J24" s="420">
        <v>-1.6475366666660001</v>
      </c>
      <c r="K24" s="423">
        <v>1.913E-3</v>
      </c>
    </row>
    <row r="25" spans="1:11" ht="14.4" customHeight="1" thickBot="1" x14ac:dyDescent="0.35">
      <c r="A25" s="441" t="s">
        <v>304</v>
      </c>
      <c r="B25" s="419">
        <v>44.369313561501002</v>
      </c>
      <c r="C25" s="419">
        <v>51.632069999999999</v>
      </c>
      <c r="D25" s="420">
        <v>7.2627564384980001</v>
      </c>
      <c r="E25" s="421">
        <v>1.163688726633</v>
      </c>
      <c r="F25" s="419">
        <v>50.274436824429003</v>
      </c>
      <c r="G25" s="420">
        <v>8.3790728040710007</v>
      </c>
      <c r="H25" s="422">
        <v>4.1279199999999996</v>
      </c>
      <c r="I25" s="419">
        <v>10.680099999999999</v>
      </c>
      <c r="J25" s="420">
        <v>2.301027195928</v>
      </c>
      <c r="K25" s="423">
        <v>0.21243599480299999</v>
      </c>
    </row>
    <row r="26" spans="1:11" ht="14.4" customHeight="1" thickBot="1" x14ac:dyDescent="0.35">
      <c r="A26" s="441" t="s">
        <v>305</v>
      </c>
      <c r="B26" s="419">
        <v>80.784906811737997</v>
      </c>
      <c r="C26" s="419">
        <v>80.631889999999999</v>
      </c>
      <c r="D26" s="420">
        <v>-0.153016811738</v>
      </c>
      <c r="E26" s="421">
        <v>0.99810587376000004</v>
      </c>
      <c r="F26" s="419">
        <v>80</v>
      </c>
      <c r="G26" s="420">
        <v>13.333333333333</v>
      </c>
      <c r="H26" s="422">
        <v>3.7516500000000002</v>
      </c>
      <c r="I26" s="419">
        <v>12.67961</v>
      </c>
      <c r="J26" s="420">
        <v>-0.65372333333300003</v>
      </c>
      <c r="K26" s="423">
        <v>0.15849512499999999</v>
      </c>
    </row>
    <row r="27" spans="1:11" ht="14.4" customHeight="1" thickBot="1" x14ac:dyDescent="0.35">
      <c r="A27" s="441" t="s">
        <v>306</v>
      </c>
      <c r="B27" s="419">
        <v>3.2661332907479999</v>
      </c>
      <c r="C27" s="419">
        <v>3.0033599999999998</v>
      </c>
      <c r="D27" s="420">
        <v>-0.26277329074799999</v>
      </c>
      <c r="E27" s="421">
        <v>0.91954606032300001</v>
      </c>
      <c r="F27" s="419">
        <v>3.3692359299599999</v>
      </c>
      <c r="G27" s="420">
        <v>0.56153932165999998</v>
      </c>
      <c r="H27" s="422">
        <v>0</v>
      </c>
      <c r="I27" s="419">
        <v>0</v>
      </c>
      <c r="J27" s="420">
        <v>-0.56153932165999998</v>
      </c>
      <c r="K27" s="423">
        <v>0</v>
      </c>
    </row>
    <row r="28" spans="1:11" ht="14.4" customHeight="1" thickBot="1" x14ac:dyDescent="0.35">
      <c r="A28" s="441" t="s">
        <v>307</v>
      </c>
      <c r="B28" s="419">
        <v>0</v>
      </c>
      <c r="C28" s="419">
        <v>0.27224999999999999</v>
      </c>
      <c r="D28" s="420">
        <v>0.27224999999999999</v>
      </c>
      <c r="E28" s="429" t="s">
        <v>308</v>
      </c>
      <c r="F28" s="419">
        <v>0</v>
      </c>
      <c r="G28" s="420">
        <v>0</v>
      </c>
      <c r="H28" s="422">
        <v>0</v>
      </c>
      <c r="I28" s="419">
        <v>0.24413000000000001</v>
      </c>
      <c r="J28" s="420">
        <v>0.24413000000000001</v>
      </c>
      <c r="K28" s="430" t="s">
        <v>308</v>
      </c>
    </row>
    <row r="29" spans="1:11" ht="14.4" customHeight="1" thickBot="1" x14ac:dyDescent="0.35">
      <c r="A29" s="441" t="s">
        <v>309</v>
      </c>
      <c r="B29" s="419">
        <v>24.080980017058</v>
      </c>
      <c r="C29" s="419">
        <v>22.05415</v>
      </c>
      <c r="D29" s="420">
        <v>-2.0268300170579998</v>
      </c>
      <c r="E29" s="421">
        <v>0.91583274369900003</v>
      </c>
      <c r="F29" s="419">
        <v>25.733971708744999</v>
      </c>
      <c r="G29" s="420">
        <v>4.2889952847900004</v>
      </c>
      <c r="H29" s="422">
        <v>3.8640300000000001</v>
      </c>
      <c r="I29" s="419">
        <v>4.7666899999999996</v>
      </c>
      <c r="J29" s="420">
        <v>0.47769471520899998</v>
      </c>
      <c r="K29" s="423">
        <v>0.18522947230799999</v>
      </c>
    </row>
    <row r="30" spans="1:11" ht="14.4" customHeight="1" thickBot="1" x14ac:dyDescent="0.35">
      <c r="A30" s="441" t="s">
        <v>310</v>
      </c>
      <c r="B30" s="419">
        <v>43.636523148254</v>
      </c>
      <c r="C30" s="419">
        <v>45.656410000000001</v>
      </c>
      <c r="D30" s="420">
        <v>2.0198868517449999</v>
      </c>
      <c r="E30" s="421">
        <v>1.0462889044770001</v>
      </c>
      <c r="F30" s="419">
        <v>46.041738038349997</v>
      </c>
      <c r="G30" s="420">
        <v>7.6736230063909998</v>
      </c>
      <c r="H30" s="422">
        <v>1.7488900000000001</v>
      </c>
      <c r="I30" s="419">
        <v>3.8975399999999998</v>
      </c>
      <c r="J30" s="420">
        <v>-3.776083006391</v>
      </c>
      <c r="K30" s="423">
        <v>8.4652321264000005E-2</v>
      </c>
    </row>
    <row r="31" spans="1:11" ht="14.4" customHeight="1" thickBot="1" x14ac:dyDescent="0.35">
      <c r="A31" s="441" t="s">
        <v>311</v>
      </c>
      <c r="B31" s="419">
        <v>0</v>
      </c>
      <c r="C31" s="419">
        <v>0</v>
      </c>
      <c r="D31" s="420">
        <v>0</v>
      </c>
      <c r="E31" s="421">
        <v>1</v>
      </c>
      <c r="F31" s="419">
        <v>30</v>
      </c>
      <c r="G31" s="420">
        <v>5</v>
      </c>
      <c r="H31" s="422">
        <v>0</v>
      </c>
      <c r="I31" s="419">
        <v>0</v>
      </c>
      <c r="J31" s="420">
        <v>-5</v>
      </c>
      <c r="K31" s="423">
        <v>0</v>
      </c>
    </row>
    <row r="32" spans="1:11" ht="14.4" customHeight="1" thickBot="1" x14ac:dyDescent="0.35">
      <c r="A32" s="440" t="s">
        <v>312</v>
      </c>
      <c r="B32" s="424">
        <v>13.360588665956</v>
      </c>
      <c r="C32" s="424">
        <v>1.0400199999999999</v>
      </c>
      <c r="D32" s="425">
        <v>-12.320568665955999</v>
      </c>
      <c r="E32" s="431">
        <v>7.7842378505999996E-2</v>
      </c>
      <c r="F32" s="424">
        <v>1.105833859661</v>
      </c>
      <c r="G32" s="425">
        <v>0.18430564327599999</v>
      </c>
      <c r="H32" s="427">
        <v>0</v>
      </c>
      <c r="I32" s="424">
        <v>0</v>
      </c>
      <c r="J32" s="425">
        <v>-0.18430564327599999</v>
      </c>
      <c r="K32" s="432">
        <v>0</v>
      </c>
    </row>
    <row r="33" spans="1:11" ht="14.4" customHeight="1" thickBot="1" x14ac:dyDescent="0.35">
      <c r="A33" s="441" t="s">
        <v>313</v>
      </c>
      <c r="B33" s="419">
        <v>12.389151476203001</v>
      </c>
      <c r="C33" s="419">
        <v>0.72899999999999998</v>
      </c>
      <c r="D33" s="420">
        <v>-11.660151476203</v>
      </c>
      <c r="E33" s="421">
        <v>5.8841802152000001E-2</v>
      </c>
      <c r="F33" s="419">
        <v>0.78021856091399999</v>
      </c>
      <c r="G33" s="420">
        <v>0.13003642681899999</v>
      </c>
      <c r="H33" s="422">
        <v>0</v>
      </c>
      <c r="I33" s="419">
        <v>0</v>
      </c>
      <c r="J33" s="420">
        <v>-0.13003642681899999</v>
      </c>
      <c r="K33" s="423">
        <v>0</v>
      </c>
    </row>
    <row r="34" spans="1:11" ht="14.4" customHeight="1" thickBot="1" x14ac:dyDescent="0.35">
      <c r="A34" s="441" t="s">
        <v>314</v>
      </c>
      <c r="B34" s="419">
        <v>0.971437189752</v>
      </c>
      <c r="C34" s="419">
        <v>0.31102000000000002</v>
      </c>
      <c r="D34" s="420">
        <v>-0.66041718975200003</v>
      </c>
      <c r="E34" s="421">
        <v>0.32016480661899999</v>
      </c>
      <c r="F34" s="419">
        <v>0.32561529874700001</v>
      </c>
      <c r="G34" s="420">
        <v>5.4269216457000002E-2</v>
      </c>
      <c r="H34" s="422">
        <v>0</v>
      </c>
      <c r="I34" s="419">
        <v>0</v>
      </c>
      <c r="J34" s="420">
        <v>-5.4269216457000002E-2</v>
      </c>
      <c r="K34" s="423">
        <v>0</v>
      </c>
    </row>
    <row r="35" spans="1:11" ht="14.4" customHeight="1" thickBot="1" x14ac:dyDescent="0.35">
      <c r="A35" s="440" t="s">
        <v>315</v>
      </c>
      <c r="B35" s="424">
        <v>0</v>
      </c>
      <c r="C35" s="424">
        <v>18.468579999999999</v>
      </c>
      <c r="D35" s="425">
        <v>18.468579999999999</v>
      </c>
      <c r="E35" s="426" t="s">
        <v>283</v>
      </c>
      <c r="F35" s="424">
        <v>21</v>
      </c>
      <c r="G35" s="425">
        <v>3.5</v>
      </c>
      <c r="H35" s="427">
        <v>1.1978899999999999</v>
      </c>
      <c r="I35" s="424">
        <v>1.1978899999999999</v>
      </c>
      <c r="J35" s="425">
        <v>-2.3021099999999999</v>
      </c>
      <c r="K35" s="432">
        <v>5.7042380952000003E-2</v>
      </c>
    </row>
    <row r="36" spans="1:11" ht="14.4" customHeight="1" thickBot="1" x14ac:dyDescent="0.35">
      <c r="A36" s="441" t="s">
        <v>316</v>
      </c>
      <c r="B36" s="419">
        <v>0</v>
      </c>
      <c r="C36" s="419">
        <v>16.894369999999999</v>
      </c>
      <c r="D36" s="420">
        <v>16.894369999999999</v>
      </c>
      <c r="E36" s="429" t="s">
        <v>283</v>
      </c>
      <c r="F36" s="419">
        <v>19</v>
      </c>
      <c r="G36" s="420">
        <v>3.1666666666659999</v>
      </c>
      <c r="H36" s="422">
        <v>1.1978899999999999</v>
      </c>
      <c r="I36" s="419">
        <v>1.1978899999999999</v>
      </c>
      <c r="J36" s="420">
        <v>-1.968776666666</v>
      </c>
      <c r="K36" s="423">
        <v>6.3046842105000001E-2</v>
      </c>
    </row>
    <row r="37" spans="1:11" ht="14.4" customHeight="1" thickBot="1" x14ac:dyDescent="0.35">
      <c r="A37" s="441" t="s">
        <v>317</v>
      </c>
      <c r="B37" s="419">
        <v>0</v>
      </c>
      <c r="C37" s="419">
        <v>0.80344000000000004</v>
      </c>
      <c r="D37" s="420">
        <v>0.80344000000000004</v>
      </c>
      <c r="E37" s="429" t="s">
        <v>308</v>
      </c>
      <c r="F37" s="419">
        <v>1</v>
      </c>
      <c r="G37" s="420">
        <v>0.166666666666</v>
      </c>
      <c r="H37" s="422">
        <v>0</v>
      </c>
      <c r="I37" s="419">
        <v>0</v>
      </c>
      <c r="J37" s="420">
        <v>-0.166666666666</v>
      </c>
      <c r="K37" s="423">
        <v>0</v>
      </c>
    </row>
    <row r="38" spans="1:11" ht="14.4" customHeight="1" thickBot="1" x14ac:dyDescent="0.35">
      <c r="A38" s="441" t="s">
        <v>318</v>
      </c>
      <c r="B38" s="419">
        <v>0</v>
      </c>
      <c r="C38" s="419">
        <v>0.77076999999999996</v>
      </c>
      <c r="D38" s="420">
        <v>0.77076999999999996</v>
      </c>
      <c r="E38" s="429" t="s">
        <v>308</v>
      </c>
      <c r="F38" s="419">
        <v>1</v>
      </c>
      <c r="G38" s="420">
        <v>0.166666666666</v>
      </c>
      <c r="H38" s="422">
        <v>0</v>
      </c>
      <c r="I38" s="419">
        <v>0</v>
      </c>
      <c r="J38" s="420">
        <v>-0.166666666666</v>
      </c>
      <c r="K38" s="423">
        <v>0</v>
      </c>
    </row>
    <row r="39" spans="1:11" ht="14.4" customHeight="1" thickBot="1" x14ac:dyDescent="0.35">
      <c r="A39" s="439" t="s">
        <v>42</v>
      </c>
      <c r="B39" s="419">
        <v>566.498574031771</v>
      </c>
      <c r="C39" s="419">
        <v>561.15899999999999</v>
      </c>
      <c r="D39" s="420">
        <v>-5.3395740317699998</v>
      </c>
      <c r="E39" s="421">
        <v>0.99057442635000004</v>
      </c>
      <c r="F39" s="419">
        <v>569.13995731379305</v>
      </c>
      <c r="G39" s="420">
        <v>94.856659552297998</v>
      </c>
      <c r="H39" s="422">
        <v>57.609000000000002</v>
      </c>
      <c r="I39" s="419">
        <v>129.82400000000001</v>
      </c>
      <c r="J39" s="420">
        <v>34.967340447700998</v>
      </c>
      <c r="K39" s="423">
        <v>0.228105579887</v>
      </c>
    </row>
    <row r="40" spans="1:11" ht="14.4" customHeight="1" thickBot="1" x14ac:dyDescent="0.35">
      <c r="A40" s="440" t="s">
        <v>319</v>
      </c>
      <c r="B40" s="424">
        <v>566.498574031771</v>
      </c>
      <c r="C40" s="424">
        <v>561.15899999999999</v>
      </c>
      <c r="D40" s="425">
        <v>-5.3395740317699998</v>
      </c>
      <c r="E40" s="431">
        <v>0.99057442635000004</v>
      </c>
      <c r="F40" s="424">
        <v>569.13995731379305</v>
      </c>
      <c r="G40" s="425">
        <v>94.856659552297998</v>
      </c>
      <c r="H40" s="427">
        <v>57.609000000000002</v>
      </c>
      <c r="I40" s="424">
        <v>129.82400000000001</v>
      </c>
      <c r="J40" s="425">
        <v>34.967340447700998</v>
      </c>
      <c r="K40" s="432">
        <v>0.228105579887</v>
      </c>
    </row>
    <row r="41" spans="1:11" ht="14.4" customHeight="1" thickBot="1" x14ac:dyDescent="0.35">
      <c r="A41" s="441" t="s">
        <v>320</v>
      </c>
      <c r="B41" s="419">
        <v>210.32531282852301</v>
      </c>
      <c r="C41" s="419">
        <v>191.11099999999999</v>
      </c>
      <c r="D41" s="420">
        <v>-19.214312828522999</v>
      </c>
      <c r="E41" s="421">
        <v>0.90864479139400001</v>
      </c>
      <c r="F41" s="419">
        <v>196.99999999999901</v>
      </c>
      <c r="G41" s="420">
        <v>32.833333333333002</v>
      </c>
      <c r="H41" s="422">
        <v>15.782</v>
      </c>
      <c r="I41" s="419">
        <v>32.597999999999999</v>
      </c>
      <c r="J41" s="420">
        <v>-0.23533333333299999</v>
      </c>
      <c r="K41" s="423">
        <v>0.165472081218</v>
      </c>
    </row>
    <row r="42" spans="1:11" ht="14.4" customHeight="1" thickBot="1" x14ac:dyDescent="0.35">
      <c r="A42" s="441" t="s">
        <v>321</v>
      </c>
      <c r="B42" s="419">
        <v>65.849279558180001</v>
      </c>
      <c r="C42" s="419">
        <v>68.650000000000006</v>
      </c>
      <c r="D42" s="420">
        <v>2.8007204418190002</v>
      </c>
      <c r="E42" s="421">
        <v>1.04253228677</v>
      </c>
      <c r="F42" s="419">
        <v>74.139957313794</v>
      </c>
      <c r="G42" s="420">
        <v>12.356659552299</v>
      </c>
      <c r="H42" s="422">
        <v>5.6609999999999996</v>
      </c>
      <c r="I42" s="419">
        <v>12.949</v>
      </c>
      <c r="J42" s="420">
        <v>0.59234044770000005</v>
      </c>
      <c r="K42" s="423">
        <v>0.174656156668</v>
      </c>
    </row>
    <row r="43" spans="1:11" ht="14.4" customHeight="1" thickBot="1" x14ac:dyDescent="0.35">
      <c r="A43" s="441" t="s">
        <v>322</v>
      </c>
      <c r="B43" s="419">
        <v>290.32398164506702</v>
      </c>
      <c r="C43" s="419">
        <v>301.39800000000002</v>
      </c>
      <c r="D43" s="420">
        <v>11.074018354932999</v>
      </c>
      <c r="E43" s="421">
        <v>1.0381436569310001</v>
      </c>
      <c r="F43" s="419">
        <v>297.99999999999898</v>
      </c>
      <c r="G43" s="420">
        <v>49.666666666666003</v>
      </c>
      <c r="H43" s="422">
        <v>36.165999999999997</v>
      </c>
      <c r="I43" s="419">
        <v>84.277000000000001</v>
      </c>
      <c r="J43" s="420">
        <v>34.610333333333003</v>
      </c>
      <c r="K43" s="423">
        <v>0.28280872483199998</v>
      </c>
    </row>
    <row r="44" spans="1:11" ht="14.4" customHeight="1" thickBot="1" x14ac:dyDescent="0.35">
      <c r="A44" s="442" t="s">
        <v>323</v>
      </c>
      <c r="B44" s="424">
        <v>1093.5465399011</v>
      </c>
      <c r="C44" s="424">
        <v>1470.21245</v>
      </c>
      <c r="D44" s="425">
        <v>376.665910098903</v>
      </c>
      <c r="E44" s="431">
        <v>1.344444334424</v>
      </c>
      <c r="F44" s="424">
        <v>1671.1773111049099</v>
      </c>
      <c r="G44" s="425">
        <v>278.529551850818</v>
      </c>
      <c r="H44" s="427">
        <v>72.035439999999994</v>
      </c>
      <c r="I44" s="424">
        <v>103.13391</v>
      </c>
      <c r="J44" s="425">
        <v>-175.39564185081801</v>
      </c>
      <c r="K44" s="432">
        <v>6.1713325877E-2</v>
      </c>
    </row>
    <row r="45" spans="1:11" ht="14.4" customHeight="1" thickBot="1" x14ac:dyDescent="0.35">
      <c r="A45" s="439" t="s">
        <v>45</v>
      </c>
      <c r="B45" s="419">
        <v>101.030623300757</v>
      </c>
      <c r="C45" s="419">
        <v>231.55486999999999</v>
      </c>
      <c r="D45" s="420">
        <v>130.52424669924301</v>
      </c>
      <c r="E45" s="421">
        <v>2.2919275605239999</v>
      </c>
      <c r="F45" s="419">
        <v>233.632646565529</v>
      </c>
      <c r="G45" s="420">
        <v>38.938774427588001</v>
      </c>
      <c r="H45" s="422">
        <v>37.931840000000001</v>
      </c>
      <c r="I45" s="419">
        <v>39.765740000000001</v>
      </c>
      <c r="J45" s="420">
        <v>0.82696557241099999</v>
      </c>
      <c r="K45" s="423">
        <v>0.17020626434</v>
      </c>
    </row>
    <row r="46" spans="1:11" ht="14.4" customHeight="1" thickBot="1" x14ac:dyDescent="0.35">
      <c r="A46" s="443" t="s">
        <v>324</v>
      </c>
      <c r="B46" s="419">
        <v>101.030623300757</v>
      </c>
      <c r="C46" s="419">
        <v>231.55486999999999</v>
      </c>
      <c r="D46" s="420">
        <v>130.52424669924301</v>
      </c>
      <c r="E46" s="421">
        <v>2.2919275605239999</v>
      </c>
      <c r="F46" s="419">
        <v>233.632646565529</v>
      </c>
      <c r="G46" s="420">
        <v>38.938774427588001</v>
      </c>
      <c r="H46" s="422">
        <v>37.931840000000001</v>
      </c>
      <c r="I46" s="419">
        <v>39.765740000000001</v>
      </c>
      <c r="J46" s="420">
        <v>0.82696557241099999</v>
      </c>
      <c r="K46" s="423">
        <v>0.17020626434</v>
      </c>
    </row>
    <row r="47" spans="1:11" ht="14.4" customHeight="1" thickBot="1" x14ac:dyDescent="0.35">
      <c r="A47" s="441" t="s">
        <v>325</v>
      </c>
      <c r="B47" s="419">
        <v>29.790621207668</v>
      </c>
      <c r="C47" s="419">
        <v>160.01071999999999</v>
      </c>
      <c r="D47" s="420">
        <v>130.22009879233099</v>
      </c>
      <c r="E47" s="421">
        <v>5.3711776899370003</v>
      </c>
      <c r="F47" s="419">
        <v>166.94535095650701</v>
      </c>
      <c r="G47" s="420">
        <v>27.824225159417001</v>
      </c>
      <c r="H47" s="422">
        <v>21.012</v>
      </c>
      <c r="I47" s="419">
        <v>21.012</v>
      </c>
      <c r="J47" s="420">
        <v>-6.8122251594170002</v>
      </c>
      <c r="K47" s="423">
        <v>0.12586154618600001</v>
      </c>
    </row>
    <row r="48" spans="1:11" ht="14.4" customHeight="1" thickBot="1" x14ac:dyDescent="0.35">
      <c r="A48" s="441" t="s">
        <v>326</v>
      </c>
      <c r="B48" s="419">
        <v>0</v>
      </c>
      <c r="C48" s="419">
        <v>3.1219999999999999</v>
      </c>
      <c r="D48" s="420">
        <v>3.1219999999999999</v>
      </c>
      <c r="E48" s="429" t="s">
        <v>308</v>
      </c>
      <c r="F48" s="419">
        <v>0</v>
      </c>
      <c r="G48" s="420">
        <v>0</v>
      </c>
      <c r="H48" s="422">
        <v>0</v>
      </c>
      <c r="I48" s="419">
        <v>0</v>
      </c>
      <c r="J48" s="420">
        <v>0</v>
      </c>
      <c r="K48" s="430" t="s">
        <v>283</v>
      </c>
    </row>
    <row r="49" spans="1:11" ht="14.4" customHeight="1" thickBot="1" x14ac:dyDescent="0.35">
      <c r="A49" s="441" t="s">
        <v>327</v>
      </c>
      <c r="B49" s="419">
        <v>40.300675821658999</v>
      </c>
      <c r="C49" s="419">
        <v>35.750900000000001</v>
      </c>
      <c r="D49" s="420">
        <v>-4.5497758216589999</v>
      </c>
      <c r="E49" s="421">
        <v>0.88710423016700002</v>
      </c>
      <c r="F49" s="419">
        <v>32.196156766361</v>
      </c>
      <c r="G49" s="420">
        <v>5.3660261277260002</v>
      </c>
      <c r="H49" s="422">
        <v>7.0279999999999996</v>
      </c>
      <c r="I49" s="419">
        <v>7.0279999999999996</v>
      </c>
      <c r="J49" s="420">
        <v>1.661973872273</v>
      </c>
      <c r="K49" s="423">
        <v>0.218286923218</v>
      </c>
    </row>
    <row r="50" spans="1:11" ht="14.4" customHeight="1" thickBot="1" x14ac:dyDescent="0.35">
      <c r="A50" s="441" t="s">
        <v>328</v>
      </c>
      <c r="B50" s="419">
        <v>1.5308272271900001</v>
      </c>
      <c r="C50" s="419">
        <v>4.1992000000000003</v>
      </c>
      <c r="D50" s="420">
        <v>2.6683727728090001</v>
      </c>
      <c r="E50" s="421">
        <v>2.7430920520700002</v>
      </c>
      <c r="F50" s="419">
        <v>5.4911388426589998</v>
      </c>
      <c r="G50" s="420">
        <v>0.915189807109</v>
      </c>
      <c r="H50" s="422">
        <v>8.1513500000000008</v>
      </c>
      <c r="I50" s="419">
        <v>8.1513500000000008</v>
      </c>
      <c r="J50" s="420">
        <v>7.2361601928899999</v>
      </c>
      <c r="K50" s="423">
        <v>1.4844552712220001</v>
      </c>
    </row>
    <row r="51" spans="1:11" ht="14.4" customHeight="1" thickBot="1" x14ac:dyDescent="0.35">
      <c r="A51" s="441" t="s">
        <v>329</v>
      </c>
      <c r="B51" s="419">
        <v>29.408499044237999</v>
      </c>
      <c r="C51" s="419">
        <v>28.472049999999999</v>
      </c>
      <c r="D51" s="420">
        <v>-0.93644904423800002</v>
      </c>
      <c r="E51" s="421">
        <v>0.96815719690900004</v>
      </c>
      <c r="F51" s="419">
        <v>28.999999999999002</v>
      </c>
      <c r="G51" s="420">
        <v>4.833333333333</v>
      </c>
      <c r="H51" s="422">
        <v>1.7404900000000001</v>
      </c>
      <c r="I51" s="419">
        <v>3.5743900000000002</v>
      </c>
      <c r="J51" s="420">
        <v>-1.258943333333</v>
      </c>
      <c r="K51" s="423">
        <v>0.123254827586</v>
      </c>
    </row>
    <row r="52" spans="1:11" ht="14.4" customHeight="1" thickBot="1" x14ac:dyDescent="0.35">
      <c r="A52" s="444" t="s">
        <v>46</v>
      </c>
      <c r="B52" s="424">
        <v>0</v>
      </c>
      <c r="C52" s="424">
        <v>60.878999999999998</v>
      </c>
      <c r="D52" s="425">
        <v>60.878999999999998</v>
      </c>
      <c r="E52" s="426" t="s">
        <v>283</v>
      </c>
      <c r="F52" s="424">
        <v>0</v>
      </c>
      <c r="G52" s="425">
        <v>0</v>
      </c>
      <c r="H52" s="427">
        <v>5.0430000000000001</v>
      </c>
      <c r="I52" s="424">
        <v>6.33</v>
      </c>
      <c r="J52" s="425">
        <v>6.33</v>
      </c>
      <c r="K52" s="428" t="s">
        <v>283</v>
      </c>
    </row>
    <row r="53" spans="1:11" ht="14.4" customHeight="1" thickBot="1" x14ac:dyDescent="0.35">
      <c r="A53" s="440" t="s">
        <v>330</v>
      </c>
      <c r="B53" s="424">
        <v>0</v>
      </c>
      <c r="C53" s="424">
        <v>49.415999999999997</v>
      </c>
      <c r="D53" s="425">
        <v>49.415999999999997</v>
      </c>
      <c r="E53" s="426" t="s">
        <v>283</v>
      </c>
      <c r="F53" s="424">
        <v>0</v>
      </c>
      <c r="G53" s="425">
        <v>0</v>
      </c>
      <c r="H53" s="427">
        <v>5.0430000000000001</v>
      </c>
      <c r="I53" s="424">
        <v>6.33</v>
      </c>
      <c r="J53" s="425">
        <v>6.33</v>
      </c>
      <c r="K53" s="428" t="s">
        <v>283</v>
      </c>
    </row>
    <row r="54" spans="1:11" ht="14.4" customHeight="1" thickBot="1" x14ac:dyDescent="0.35">
      <c r="A54" s="441" t="s">
        <v>331</v>
      </c>
      <c r="B54" s="419">
        <v>0</v>
      </c>
      <c r="C54" s="419">
        <v>43.746000000000002</v>
      </c>
      <c r="D54" s="420">
        <v>43.746000000000002</v>
      </c>
      <c r="E54" s="429" t="s">
        <v>283</v>
      </c>
      <c r="F54" s="419">
        <v>0</v>
      </c>
      <c r="G54" s="420">
        <v>0</v>
      </c>
      <c r="H54" s="422">
        <v>2.9329999999999998</v>
      </c>
      <c r="I54" s="419">
        <v>4.22</v>
      </c>
      <c r="J54" s="420">
        <v>4.22</v>
      </c>
      <c r="K54" s="430" t="s">
        <v>283</v>
      </c>
    </row>
    <row r="55" spans="1:11" ht="14.4" customHeight="1" thickBot="1" x14ac:dyDescent="0.35">
      <c r="A55" s="441" t="s">
        <v>332</v>
      </c>
      <c r="B55" s="419">
        <v>0</v>
      </c>
      <c r="C55" s="419">
        <v>5.67</v>
      </c>
      <c r="D55" s="420">
        <v>5.67</v>
      </c>
      <c r="E55" s="429" t="s">
        <v>283</v>
      </c>
      <c r="F55" s="419">
        <v>0</v>
      </c>
      <c r="G55" s="420">
        <v>0</v>
      </c>
      <c r="H55" s="422">
        <v>2.11</v>
      </c>
      <c r="I55" s="419">
        <v>2.11</v>
      </c>
      <c r="J55" s="420">
        <v>2.11</v>
      </c>
      <c r="K55" s="430" t="s">
        <v>283</v>
      </c>
    </row>
    <row r="56" spans="1:11" ht="14.4" customHeight="1" thickBot="1" x14ac:dyDescent="0.35">
      <c r="A56" s="440" t="s">
        <v>333</v>
      </c>
      <c r="B56" s="424">
        <v>0</v>
      </c>
      <c r="C56" s="424">
        <v>11.462999999999999</v>
      </c>
      <c r="D56" s="425">
        <v>11.462999999999999</v>
      </c>
      <c r="E56" s="426" t="s">
        <v>283</v>
      </c>
      <c r="F56" s="424">
        <v>0</v>
      </c>
      <c r="G56" s="425">
        <v>0</v>
      </c>
      <c r="H56" s="427">
        <v>0</v>
      </c>
      <c r="I56" s="424">
        <v>0</v>
      </c>
      <c r="J56" s="425">
        <v>0</v>
      </c>
      <c r="K56" s="428" t="s">
        <v>283</v>
      </c>
    </row>
    <row r="57" spans="1:11" ht="14.4" customHeight="1" thickBot="1" x14ac:dyDescent="0.35">
      <c r="A57" s="441" t="s">
        <v>334</v>
      </c>
      <c r="B57" s="419">
        <v>0</v>
      </c>
      <c r="C57" s="419">
        <v>11.462999999999999</v>
      </c>
      <c r="D57" s="420">
        <v>11.462999999999999</v>
      </c>
      <c r="E57" s="429" t="s">
        <v>283</v>
      </c>
      <c r="F57" s="419">
        <v>0</v>
      </c>
      <c r="G57" s="420">
        <v>0</v>
      </c>
      <c r="H57" s="422">
        <v>0</v>
      </c>
      <c r="I57" s="419">
        <v>0</v>
      </c>
      <c r="J57" s="420">
        <v>0</v>
      </c>
      <c r="K57" s="430" t="s">
        <v>283</v>
      </c>
    </row>
    <row r="58" spans="1:11" ht="14.4" customHeight="1" thickBot="1" x14ac:dyDescent="0.35">
      <c r="A58" s="439" t="s">
        <v>47</v>
      </c>
      <c r="B58" s="419">
        <v>992.51591660034001</v>
      </c>
      <c r="C58" s="419">
        <v>1177.7785799999999</v>
      </c>
      <c r="D58" s="420">
        <v>185.26266339966</v>
      </c>
      <c r="E58" s="421">
        <v>1.18665963971</v>
      </c>
      <c r="F58" s="419">
        <v>1437.5446645393799</v>
      </c>
      <c r="G58" s="420">
        <v>239.59077742323001</v>
      </c>
      <c r="H58" s="422">
        <v>29.060600000000001</v>
      </c>
      <c r="I58" s="419">
        <v>57.038170000000001</v>
      </c>
      <c r="J58" s="420">
        <v>-182.55260742323</v>
      </c>
      <c r="K58" s="423">
        <v>3.9677494137000002E-2</v>
      </c>
    </row>
    <row r="59" spans="1:11" ht="14.4" customHeight="1" thickBot="1" x14ac:dyDescent="0.35">
      <c r="A59" s="440" t="s">
        <v>335</v>
      </c>
      <c r="B59" s="424">
        <v>0.261769071385</v>
      </c>
      <c r="C59" s="424">
        <v>0.40343000000000001</v>
      </c>
      <c r="D59" s="425">
        <v>0.14166092861400001</v>
      </c>
      <c r="E59" s="431">
        <v>1.541167556062</v>
      </c>
      <c r="F59" s="424">
        <v>0</v>
      </c>
      <c r="G59" s="425">
        <v>0</v>
      </c>
      <c r="H59" s="427">
        <v>0</v>
      </c>
      <c r="I59" s="424">
        <v>0</v>
      </c>
      <c r="J59" s="425">
        <v>0</v>
      </c>
      <c r="K59" s="432">
        <v>2</v>
      </c>
    </row>
    <row r="60" spans="1:11" ht="14.4" customHeight="1" thickBot="1" x14ac:dyDescent="0.35">
      <c r="A60" s="441" t="s">
        <v>336</v>
      </c>
      <c r="B60" s="419">
        <v>0.261769071385</v>
      </c>
      <c r="C60" s="419">
        <v>0.40343000000000001</v>
      </c>
      <c r="D60" s="420">
        <v>0.14166092861400001</v>
      </c>
      <c r="E60" s="421">
        <v>1.541167556062</v>
      </c>
      <c r="F60" s="419">
        <v>0</v>
      </c>
      <c r="G60" s="420">
        <v>0</v>
      </c>
      <c r="H60" s="422">
        <v>0</v>
      </c>
      <c r="I60" s="419">
        <v>0</v>
      </c>
      <c r="J60" s="420">
        <v>0</v>
      </c>
      <c r="K60" s="423">
        <v>2</v>
      </c>
    </row>
    <row r="61" spans="1:11" ht="14.4" customHeight="1" thickBot="1" x14ac:dyDescent="0.35">
      <c r="A61" s="440" t="s">
        <v>337</v>
      </c>
      <c r="B61" s="424">
        <v>24.436744980147001</v>
      </c>
      <c r="C61" s="424">
        <v>25.768439999999998</v>
      </c>
      <c r="D61" s="425">
        <v>1.3316950198519999</v>
      </c>
      <c r="E61" s="431">
        <v>1.054495597549</v>
      </c>
      <c r="F61" s="424">
        <v>25.984807377349998</v>
      </c>
      <c r="G61" s="425">
        <v>4.3308012295580003</v>
      </c>
      <c r="H61" s="427">
        <v>3.0748199999999999</v>
      </c>
      <c r="I61" s="424">
        <v>4.2132699999999996</v>
      </c>
      <c r="J61" s="425">
        <v>-0.11753122955799999</v>
      </c>
      <c r="K61" s="432">
        <v>0.16214359178400001</v>
      </c>
    </row>
    <row r="62" spans="1:11" ht="14.4" customHeight="1" thickBot="1" x14ac:dyDescent="0.35">
      <c r="A62" s="441" t="s">
        <v>338</v>
      </c>
      <c r="B62" s="419">
        <v>8.8806900038989998</v>
      </c>
      <c r="C62" s="419">
        <v>12.2593</v>
      </c>
      <c r="D62" s="420">
        <v>3.3786099960999998</v>
      </c>
      <c r="E62" s="421">
        <v>1.3804445369239999</v>
      </c>
      <c r="F62" s="419">
        <v>11.332258668326</v>
      </c>
      <c r="G62" s="420">
        <v>1.8887097780540001</v>
      </c>
      <c r="H62" s="422">
        <v>1.0689</v>
      </c>
      <c r="I62" s="419">
        <v>2.0737999999999999</v>
      </c>
      <c r="J62" s="420">
        <v>0.18509022194499999</v>
      </c>
      <c r="K62" s="423">
        <v>0.18299970559199999</v>
      </c>
    </row>
    <row r="63" spans="1:11" ht="14.4" customHeight="1" thickBot="1" x14ac:dyDescent="0.35">
      <c r="A63" s="441" t="s">
        <v>339</v>
      </c>
      <c r="B63" s="419">
        <v>15.556054976247999</v>
      </c>
      <c r="C63" s="419">
        <v>13.50914</v>
      </c>
      <c r="D63" s="420">
        <v>-2.0469149762479999</v>
      </c>
      <c r="E63" s="421">
        <v>0.86841683322800001</v>
      </c>
      <c r="F63" s="419">
        <v>14.652548709024</v>
      </c>
      <c r="G63" s="420">
        <v>2.442091451504</v>
      </c>
      <c r="H63" s="422">
        <v>2.0059200000000001</v>
      </c>
      <c r="I63" s="419">
        <v>2.1394700000000002</v>
      </c>
      <c r="J63" s="420">
        <v>-0.30262145150399999</v>
      </c>
      <c r="K63" s="423">
        <v>0.146013505396</v>
      </c>
    </row>
    <row r="64" spans="1:11" ht="14.4" customHeight="1" thickBot="1" x14ac:dyDescent="0.35">
      <c r="A64" s="440" t="s">
        <v>340</v>
      </c>
      <c r="B64" s="424">
        <v>3.9999936338570001</v>
      </c>
      <c r="C64" s="424">
        <v>3.78</v>
      </c>
      <c r="D64" s="425">
        <v>-0.21999363385699999</v>
      </c>
      <c r="E64" s="431">
        <v>0.94500150400299998</v>
      </c>
      <c r="F64" s="424">
        <v>34</v>
      </c>
      <c r="G64" s="425">
        <v>5.6666666666659999</v>
      </c>
      <c r="H64" s="427">
        <v>0</v>
      </c>
      <c r="I64" s="424">
        <v>0.94499999999999995</v>
      </c>
      <c r="J64" s="425">
        <v>-4.7216666666659997</v>
      </c>
      <c r="K64" s="432">
        <v>2.7794117646999999E-2</v>
      </c>
    </row>
    <row r="65" spans="1:11" ht="14.4" customHeight="1" thickBot="1" x14ac:dyDescent="0.35">
      <c r="A65" s="441" t="s">
        <v>341</v>
      </c>
      <c r="B65" s="419">
        <v>3.9999936338570001</v>
      </c>
      <c r="C65" s="419">
        <v>3.78</v>
      </c>
      <c r="D65" s="420">
        <v>-0.21999363385699999</v>
      </c>
      <c r="E65" s="421">
        <v>0.94500150400299998</v>
      </c>
      <c r="F65" s="419">
        <v>4</v>
      </c>
      <c r="G65" s="420">
        <v>0.66666666666600005</v>
      </c>
      <c r="H65" s="422">
        <v>0</v>
      </c>
      <c r="I65" s="419">
        <v>0.94499999999999995</v>
      </c>
      <c r="J65" s="420">
        <v>0.27833333333299998</v>
      </c>
      <c r="K65" s="423">
        <v>0.23624999999999999</v>
      </c>
    </row>
    <row r="66" spans="1:11" ht="14.4" customHeight="1" thickBot="1" x14ac:dyDescent="0.35">
      <c r="A66" s="441" t="s">
        <v>342</v>
      </c>
      <c r="B66" s="419">
        <v>0</v>
      </c>
      <c r="C66" s="419">
        <v>0</v>
      </c>
      <c r="D66" s="420">
        <v>0</v>
      </c>
      <c r="E66" s="421">
        <v>1</v>
      </c>
      <c r="F66" s="419">
        <v>30</v>
      </c>
      <c r="G66" s="420">
        <v>5</v>
      </c>
      <c r="H66" s="422">
        <v>0</v>
      </c>
      <c r="I66" s="419">
        <v>0</v>
      </c>
      <c r="J66" s="420">
        <v>-5</v>
      </c>
      <c r="K66" s="423">
        <v>0</v>
      </c>
    </row>
    <row r="67" spans="1:11" ht="14.4" customHeight="1" thickBot="1" x14ac:dyDescent="0.35">
      <c r="A67" s="440" t="s">
        <v>343</v>
      </c>
      <c r="B67" s="424">
        <v>216.908528920631</v>
      </c>
      <c r="C67" s="424">
        <v>213.11559</v>
      </c>
      <c r="D67" s="425">
        <v>-3.7929389206300002</v>
      </c>
      <c r="E67" s="431">
        <v>0.98251364785100004</v>
      </c>
      <c r="F67" s="424">
        <v>232.55469537465601</v>
      </c>
      <c r="G67" s="425">
        <v>38.759115895775999</v>
      </c>
      <c r="H67" s="427">
        <v>17.52478</v>
      </c>
      <c r="I67" s="424">
        <v>35.240139999999997</v>
      </c>
      <c r="J67" s="425">
        <v>-3.5189758957759998</v>
      </c>
      <c r="K67" s="432">
        <v>0.15153484621400001</v>
      </c>
    </row>
    <row r="68" spans="1:11" ht="14.4" customHeight="1" thickBot="1" x14ac:dyDescent="0.35">
      <c r="A68" s="441" t="s">
        <v>344</v>
      </c>
      <c r="B68" s="419">
        <v>158.88102387059399</v>
      </c>
      <c r="C68" s="419">
        <v>158.06532000000001</v>
      </c>
      <c r="D68" s="420">
        <v>-0.81570387059399996</v>
      </c>
      <c r="E68" s="421">
        <v>0.99486594527899996</v>
      </c>
      <c r="F68" s="419">
        <v>164</v>
      </c>
      <c r="G68" s="420">
        <v>27.333333333333002</v>
      </c>
      <c r="H68" s="422">
        <v>13.17032</v>
      </c>
      <c r="I68" s="419">
        <v>26.34064</v>
      </c>
      <c r="J68" s="420">
        <v>-0.99269333333300003</v>
      </c>
      <c r="K68" s="423">
        <v>0.16061365853599999</v>
      </c>
    </row>
    <row r="69" spans="1:11" ht="14.4" customHeight="1" thickBot="1" x14ac:dyDescent="0.35">
      <c r="A69" s="441" t="s">
        <v>345</v>
      </c>
      <c r="B69" s="419">
        <v>0.41070779633799998</v>
      </c>
      <c r="C69" s="419">
        <v>7.2999999999999995E-2</v>
      </c>
      <c r="D69" s="420">
        <v>-0.33770779633800002</v>
      </c>
      <c r="E69" s="421">
        <v>0.177741938796</v>
      </c>
      <c r="F69" s="419">
        <v>8.1973369759000006E-2</v>
      </c>
      <c r="G69" s="420">
        <v>1.3662228292999999E-2</v>
      </c>
      <c r="H69" s="422">
        <v>0</v>
      </c>
      <c r="I69" s="419">
        <v>0</v>
      </c>
      <c r="J69" s="420">
        <v>-1.3662228292999999E-2</v>
      </c>
      <c r="K69" s="423">
        <v>0</v>
      </c>
    </row>
    <row r="70" spans="1:11" ht="14.4" customHeight="1" thickBot="1" x14ac:dyDescent="0.35">
      <c r="A70" s="441" t="s">
        <v>346</v>
      </c>
      <c r="B70" s="419">
        <v>57.616797253698003</v>
      </c>
      <c r="C70" s="419">
        <v>54.977269999999997</v>
      </c>
      <c r="D70" s="420">
        <v>-2.6395272536980001</v>
      </c>
      <c r="E70" s="421">
        <v>0.95418823364799998</v>
      </c>
      <c r="F70" s="419">
        <v>68.472722004895999</v>
      </c>
      <c r="G70" s="420">
        <v>11.412120334149</v>
      </c>
      <c r="H70" s="422">
        <v>4.3544600000000004</v>
      </c>
      <c r="I70" s="419">
        <v>8.8994999999999997</v>
      </c>
      <c r="J70" s="420">
        <v>-2.5126203341490001</v>
      </c>
      <c r="K70" s="423">
        <v>0.12997146512300001</v>
      </c>
    </row>
    <row r="71" spans="1:11" ht="14.4" customHeight="1" thickBot="1" x14ac:dyDescent="0.35">
      <c r="A71" s="440" t="s">
        <v>347</v>
      </c>
      <c r="B71" s="424">
        <v>478.23032856327598</v>
      </c>
      <c r="C71" s="424">
        <v>656.20835</v>
      </c>
      <c r="D71" s="425">
        <v>177.97802143672399</v>
      </c>
      <c r="E71" s="431">
        <v>1.3721596285440001</v>
      </c>
      <c r="F71" s="424">
        <v>795.005161787372</v>
      </c>
      <c r="G71" s="425">
        <v>132.500860297895</v>
      </c>
      <c r="H71" s="427">
        <v>8.0890000000000004</v>
      </c>
      <c r="I71" s="424">
        <v>15.895759999999999</v>
      </c>
      <c r="J71" s="425">
        <v>-116.60510029789501</v>
      </c>
      <c r="K71" s="432">
        <v>1.9994536845000001E-2</v>
      </c>
    </row>
    <row r="72" spans="1:11" ht="14.4" customHeight="1" thickBot="1" x14ac:dyDescent="0.35">
      <c r="A72" s="441" t="s">
        <v>348</v>
      </c>
      <c r="B72" s="419">
        <v>0</v>
      </c>
      <c r="C72" s="419">
        <v>0</v>
      </c>
      <c r="D72" s="420">
        <v>0</v>
      </c>
      <c r="E72" s="429" t="s">
        <v>283</v>
      </c>
      <c r="F72" s="419">
        <v>14.594999999999001</v>
      </c>
      <c r="G72" s="420">
        <v>2.432499999999</v>
      </c>
      <c r="H72" s="422">
        <v>0</v>
      </c>
      <c r="I72" s="419">
        <v>0</v>
      </c>
      <c r="J72" s="420">
        <v>-2.432499999999</v>
      </c>
      <c r="K72" s="423">
        <v>0</v>
      </c>
    </row>
    <row r="73" spans="1:11" ht="14.4" customHeight="1" thickBot="1" x14ac:dyDescent="0.35">
      <c r="A73" s="441" t="s">
        <v>349</v>
      </c>
      <c r="B73" s="419">
        <v>217.33061381737301</v>
      </c>
      <c r="C73" s="419">
        <v>330.3553</v>
      </c>
      <c r="D73" s="420">
        <v>113.02468618262699</v>
      </c>
      <c r="E73" s="421">
        <v>1.5200587445889999</v>
      </c>
      <c r="F73" s="419">
        <v>387.19324498453199</v>
      </c>
      <c r="G73" s="420">
        <v>64.532207497421993</v>
      </c>
      <c r="H73" s="422">
        <v>8.0890000000000004</v>
      </c>
      <c r="I73" s="419">
        <v>8.6340000000000003</v>
      </c>
      <c r="J73" s="420">
        <v>-55.898207497422</v>
      </c>
      <c r="K73" s="423">
        <v>2.2298942741999998E-2</v>
      </c>
    </row>
    <row r="74" spans="1:11" ht="14.4" customHeight="1" thickBot="1" x14ac:dyDescent="0.35">
      <c r="A74" s="441" t="s">
        <v>350</v>
      </c>
      <c r="B74" s="419">
        <v>238.73396178027599</v>
      </c>
      <c r="C74" s="419">
        <v>292.99315000000001</v>
      </c>
      <c r="D74" s="420">
        <v>54.259188219724003</v>
      </c>
      <c r="E74" s="421">
        <v>1.2272788832179999</v>
      </c>
      <c r="F74" s="419">
        <v>343.16386713726899</v>
      </c>
      <c r="G74" s="420">
        <v>57.193977856210999</v>
      </c>
      <c r="H74" s="422">
        <v>0</v>
      </c>
      <c r="I74" s="419">
        <v>7.2617599999999998</v>
      </c>
      <c r="J74" s="420">
        <v>-49.932217856210997</v>
      </c>
      <c r="K74" s="423">
        <v>2.1161202257000002E-2</v>
      </c>
    </row>
    <row r="75" spans="1:11" ht="14.4" customHeight="1" thickBot="1" x14ac:dyDescent="0.35">
      <c r="A75" s="441" t="s">
        <v>351</v>
      </c>
      <c r="B75" s="419">
        <v>22.165752965626002</v>
      </c>
      <c r="C75" s="419">
        <v>32.859900000000003</v>
      </c>
      <c r="D75" s="420">
        <v>10.694147034373</v>
      </c>
      <c r="E75" s="421">
        <v>1.4824626102680001</v>
      </c>
      <c r="F75" s="419">
        <v>50.053049665570001</v>
      </c>
      <c r="G75" s="420">
        <v>8.342174944261</v>
      </c>
      <c r="H75" s="422">
        <v>0</v>
      </c>
      <c r="I75" s="419">
        <v>0</v>
      </c>
      <c r="J75" s="420">
        <v>-8.342174944261</v>
      </c>
      <c r="K75" s="423">
        <v>0</v>
      </c>
    </row>
    <row r="76" spans="1:11" ht="14.4" customHeight="1" thickBot="1" x14ac:dyDescent="0.35">
      <c r="A76" s="440" t="s">
        <v>352</v>
      </c>
      <c r="B76" s="424">
        <v>268.67855143104202</v>
      </c>
      <c r="C76" s="424">
        <v>278.50277</v>
      </c>
      <c r="D76" s="425">
        <v>9.8242185689570007</v>
      </c>
      <c r="E76" s="431">
        <v>1.0365649528650001</v>
      </c>
      <c r="F76" s="424">
        <v>350</v>
      </c>
      <c r="G76" s="425">
        <v>58.333333333333002</v>
      </c>
      <c r="H76" s="427">
        <v>0.372</v>
      </c>
      <c r="I76" s="424">
        <v>0.74399999999999999</v>
      </c>
      <c r="J76" s="425">
        <v>-57.589333333333002</v>
      </c>
      <c r="K76" s="432">
        <v>2.1257142850000001E-3</v>
      </c>
    </row>
    <row r="77" spans="1:11" ht="14.4" customHeight="1" thickBot="1" x14ac:dyDescent="0.35">
      <c r="A77" s="441" t="s">
        <v>353</v>
      </c>
      <c r="B77" s="419">
        <v>78.678853822788994</v>
      </c>
      <c r="C77" s="419">
        <v>83.875320000000002</v>
      </c>
      <c r="D77" s="420">
        <v>5.1964661772109997</v>
      </c>
      <c r="E77" s="421">
        <v>1.0660465414110001</v>
      </c>
      <c r="F77" s="419">
        <v>90</v>
      </c>
      <c r="G77" s="420">
        <v>15</v>
      </c>
      <c r="H77" s="422">
        <v>0.372</v>
      </c>
      <c r="I77" s="419">
        <v>0.74399999999999999</v>
      </c>
      <c r="J77" s="420">
        <v>-14.256</v>
      </c>
      <c r="K77" s="423">
        <v>8.2666666660000006E-3</v>
      </c>
    </row>
    <row r="78" spans="1:11" ht="14.4" customHeight="1" thickBot="1" x14ac:dyDescent="0.35">
      <c r="A78" s="441" t="s">
        <v>354</v>
      </c>
      <c r="B78" s="419">
        <v>189.999697608253</v>
      </c>
      <c r="C78" s="419">
        <v>194.03444999999999</v>
      </c>
      <c r="D78" s="420">
        <v>4.0347523917460002</v>
      </c>
      <c r="E78" s="421">
        <v>1.0212355727010001</v>
      </c>
      <c r="F78" s="419">
        <v>260</v>
      </c>
      <c r="G78" s="420">
        <v>43.333333333333002</v>
      </c>
      <c r="H78" s="422">
        <v>0</v>
      </c>
      <c r="I78" s="419">
        <v>0</v>
      </c>
      <c r="J78" s="420">
        <v>-43.333333333333002</v>
      </c>
      <c r="K78" s="423">
        <v>0</v>
      </c>
    </row>
    <row r="79" spans="1:11" ht="14.4" customHeight="1" thickBot="1" x14ac:dyDescent="0.35">
      <c r="A79" s="441" t="s">
        <v>355</v>
      </c>
      <c r="B79" s="419">
        <v>0</v>
      </c>
      <c r="C79" s="419">
        <v>0.59299999999999997</v>
      </c>
      <c r="D79" s="420">
        <v>0.59299999999999997</v>
      </c>
      <c r="E79" s="429" t="s">
        <v>308</v>
      </c>
      <c r="F79" s="419">
        <v>0</v>
      </c>
      <c r="G79" s="420">
        <v>0</v>
      </c>
      <c r="H79" s="422">
        <v>0</v>
      </c>
      <c r="I79" s="419">
        <v>0</v>
      </c>
      <c r="J79" s="420">
        <v>0</v>
      </c>
      <c r="K79" s="423">
        <v>2</v>
      </c>
    </row>
    <row r="80" spans="1:11" ht="14.4" customHeight="1" thickBot="1" x14ac:dyDescent="0.35">
      <c r="A80" s="438" t="s">
        <v>48</v>
      </c>
      <c r="B80" s="419">
        <v>15208.001372970501</v>
      </c>
      <c r="C80" s="419">
        <v>17567.5321</v>
      </c>
      <c r="D80" s="420">
        <v>2359.5307270294702</v>
      </c>
      <c r="E80" s="421">
        <v>1.155150612441</v>
      </c>
      <c r="F80" s="419">
        <v>16753</v>
      </c>
      <c r="G80" s="420">
        <v>2792.1666666666702</v>
      </c>
      <c r="H80" s="422">
        <v>1413.9645399999999</v>
      </c>
      <c r="I80" s="419">
        <v>3001.2524699999999</v>
      </c>
      <c r="J80" s="420">
        <v>209.085803333332</v>
      </c>
      <c r="K80" s="423">
        <v>0.17914716587999999</v>
      </c>
    </row>
    <row r="81" spans="1:11" ht="14.4" customHeight="1" thickBot="1" x14ac:dyDescent="0.35">
      <c r="A81" s="444" t="s">
        <v>356</v>
      </c>
      <c r="B81" s="424">
        <v>11232.001014019301</v>
      </c>
      <c r="C81" s="424">
        <v>12973.414000000001</v>
      </c>
      <c r="D81" s="425">
        <v>1741.4129859807399</v>
      </c>
      <c r="E81" s="431">
        <v>1.1550403159510001</v>
      </c>
      <c r="F81" s="424">
        <v>12334</v>
      </c>
      <c r="G81" s="425">
        <v>2055.6666666666702</v>
      </c>
      <c r="H81" s="427">
        <v>1041.123</v>
      </c>
      <c r="I81" s="424">
        <v>2212.279</v>
      </c>
      <c r="J81" s="425">
        <v>156.612333333332</v>
      </c>
      <c r="K81" s="432">
        <v>0.17936427760599999</v>
      </c>
    </row>
    <row r="82" spans="1:11" ht="14.4" customHeight="1" thickBot="1" x14ac:dyDescent="0.35">
      <c r="A82" s="440" t="s">
        <v>357</v>
      </c>
      <c r="B82" s="424">
        <v>11200.0010111303</v>
      </c>
      <c r="C82" s="424">
        <v>12924.623</v>
      </c>
      <c r="D82" s="425">
        <v>1724.6219888696801</v>
      </c>
      <c r="E82" s="431">
        <v>1.1539840922469999</v>
      </c>
      <c r="F82" s="424">
        <v>12275</v>
      </c>
      <c r="G82" s="425">
        <v>2045.8333333333301</v>
      </c>
      <c r="H82" s="427">
        <v>1035.5450000000001</v>
      </c>
      <c r="I82" s="424">
        <v>2191.2939999999999</v>
      </c>
      <c r="J82" s="425">
        <v>145.46066666666499</v>
      </c>
      <c r="K82" s="432">
        <v>0.17851682281</v>
      </c>
    </row>
    <row r="83" spans="1:11" ht="14.4" customHeight="1" thickBot="1" x14ac:dyDescent="0.35">
      <c r="A83" s="441" t="s">
        <v>358</v>
      </c>
      <c r="B83" s="419">
        <v>11200.0010111303</v>
      </c>
      <c r="C83" s="419">
        <v>12924.623</v>
      </c>
      <c r="D83" s="420">
        <v>1724.6219888696801</v>
      </c>
      <c r="E83" s="421">
        <v>1.1539840922469999</v>
      </c>
      <c r="F83" s="419">
        <v>12275</v>
      </c>
      <c r="G83" s="420">
        <v>2045.8333333333301</v>
      </c>
      <c r="H83" s="422">
        <v>1035.5450000000001</v>
      </c>
      <c r="I83" s="419">
        <v>2191.2939999999999</v>
      </c>
      <c r="J83" s="420">
        <v>145.46066666666499</v>
      </c>
      <c r="K83" s="423">
        <v>0.17851682281</v>
      </c>
    </row>
    <row r="84" spans="1:11" ht="14.4" customHeight="1" thickBot="1" x14ac:dyDescent="0.35">
      <c r="A84" s="440" t="s">
        <v>359</v>
      </c>
      <c r="B84" s="424">
        <v>0</v>
      </c>
      <c r="C84" s="424">
        <v>24.6</v>
      </c>
      <c r="D84" s="425">
        <v>24.6</v>
      </c>
      <c r="E84" s="426" t="s">
        <v>283</v>
      </c>
      <c r="F84" s="424">
        <v>25</v>
      </c>
      <c r="G84" s="425">
        <v>4.1666666666659999</v>
      </c>
      <c r="H84" s="427">
        <v>3.3</v>
      </c>
      <c r="I84" s="424">
        <v>15.4</v>
      </c>
      <c r="J84" s="425">
        <v>11.233333333333</v>
      </c>
      <c r="K84" s="432">
        <v>0.61599999999999999</v>
      </c>
    </row>
    <row r="85" spans="1:11" ht="14.4" customHeight="1" thickBot="1" x14ac:dyDescent="0.35">
      <c r="A85" s="441" t="s">
        <v>360</v>
      </c>
      <c r="B85" s="419">
        <v>0</v>
      </c>
      <c r="C85" s="419">
        <v>24.6</v>
      </c>
      <c r="D85" s="420">
        <v>24.6</v>
      </c>
      <c r="E85" s="429" t="s">
        <v>283</v>
      </c>
      <c r="F85" s="419">
        <v>25</v>
      </c>
      <c r="G85" s="420">
        <v>4.1666666666659999</v>
      </c>
      <c r="H85" s="422">
        <v>3.3</v>
      </c>
      <c r="I85" s="419">
        <v>15.4</v>
      </c>
      <c r="J85" s="420">
        <v>11.233333333333</v>
      </c>
      <c r="K85" s="423">
        <v>0.61599999999999999</v>
      </c>
    </row>
    <row r="86" spans="1:11" ht="14.4" customHeight="1" thickBot="1" x14ac:dyDescent="0.35">
      <c r="A86" s="440" t="s">
        <v>361</v>
      </c>
      <c r="B86" s="424">
        <v>32.000002888943001</v>
      </c>
      <c r="C86" s="424">
        <v>24.190999999999999</v>
      </c>
      <c r="D86" s="425">
        <v>-7.8090028889429997</v>
      </c>
      <c r="E86" s="431">
        <v>0.75596868175099996</v>
      </c>
      <c r="F86" s="424">
        <v>34</v>
      </c>
      <c r="G86" s="425">
        <v>5.6666666666659999</v>
      </c>
      <c r="H86" s="427">
        <v>2.278</v>
      </c>
      <c r="I86" s="424">
        <v>5.585</v>
      </c>
      <c r="J86" s="425">
        <v>-8.1666666666000004E-2</v>
      </c>
      <c r="K86" s="432">
        <v>0.16426470588200001</v>
      </c>
    </row>
    <row r="87" spans="1:11" ht="14.4" customHeight="1" thickBot="1" x14ac:dyDescent="0.35">
      <c r="A87" s="441" t="s">
        <v>362</v>
      </c>
      <c r="B87" s="419">
        <v>32.000002888943001</v>
      </c>
      <c r="C87" s="419">
        <v>24.190999999999999</v>
      </c>
      <c r="D87" s="420">
        <v>-7.8090028889429997</v>
      </c>
      <c r="E87" s="421">
        <v>0.75596868175099996</v>
      </c>
      <c r="F87" s="419">
        <v>34</v>
      </c>
      <c r="G87" s="420">
        <v>5.6666666666659999</v>
      </c>
      <c r="H87" s="422">
        <v>2.278</v>
      </c>
      <c r="I87" s="419">
        <v>5.585</v>
      </c>
      <c r="J87" s="420">
        <v>-8.1666666666000004E-2</v>
      </c>
      <c r="K87" s="423">
        <v>0.16426470588200001</v>
      </c>
    </row>
    <row r="88" spans="1:11" ht="14.4" customHeight="1" thickBot="1" x14ac:dyDescent="0.35">
      <c r="A88" s="439" t="s">
        <v>363</v>
      </c>
      <c r="B88" s="419">
        <v>3808.0003437843102</v>
      </c>
      <c r="C88" s="419">
        <v>4399.8833299999997</v>
      </c>
      <c r="D88" s="420">
        <v>591.88298621569095</v>
      </c>
      <c r="E88" s="421">
        <v>1.1554314424309999</v>
      </c>
      <c r="F88" s="419">
        <v>4172.99999999999</v>
      </c>
      <c r="G88" s="420">
        <v>695.49999999999898</v>
      </c>
      <c r="H88" s="422">
        <v>352.08569</v>
      </c>
      <c r="I88" s="419">
        <v>745.03683999999998</v>
      </c>
      <c r="J88" s="420">
        <v>49.536839999999998</v>
      </c>
      <c r="K88" s="423">
        <v>0.17853746465299999</v>
      </c>
    </row>
    <row r="89" spans="1:11" ht="14.4" customHeight="1" thickBot="1" x14ac:dyDescent="0.35">
      <c r="A89" s="440" t="s">
        <v>364</v>
      </c>
      <c r="B89" s="424">
        <v>1008.00009100173</v>
      </c>
      <c r="C89" s="424">
        <v>1164.6776600000001</v>
      </c>
      <c r="D89" s="425">
        <v>156.677568998271</v>
      </c>
      <c r="E89" s="431">
        <v>1.155434082195</v>
      </c>
      <c r="F89" s="424">
        <v>1105</v>
      </c>
      <c r="G89" s="425">
        <v>184.166666666666</v>
      </c>
      <c r="H89" s="427">
        <v>93.199430000000007</v>
      </c>
      <c r="I89" s="424">
        <v>197.21333000000001</v>
      </c>
      <c r="J89" s="425">
        <v>13.046663333333999</v>
      </c>
      <c r="K89" s="432">
        <v>0.17847360180899999</v>
      </c>
    </row>
    <row r="90" spans="1:11" ht="14.4" customHeight="1" thickBot="1" x14ac:dyDescent="0.35">
      <c r="A90" s="441" t="s">
        <v>365</v>
      </c>
      <c r="B90" s="419">
        <v>1008.00009100173</v>
      </c>
      <c r="C90" s="419">
        <v>1164.6776600000001</v>
      </c>
      <c r="D90" s="420">
        <v>156.677568998271</v>
      </c>
      <c r="E90" s="421">
        <v>1.155434082195</v>
      </c>
      <c r="F90" s="419">
        <v>1105</v>
      </c>
      <c r="G90" s="420">
        <v>184.166666666666</v>
      </c>
      <c r="H90" s="422">
        <v>93.199430000000007</v>
      </c>
      <c r="I90" s="419">
        <v>197.21333000000001</v>
      </c>
      <c r="J90" s="420">
        <v>13.046663333333999</v>
      </c>
      <c r="K90" s="423">
        <v>0.17847360180899999</v>
      </c>
    </row>
    <row r="91" spans="1:11" ht="14.4" customHeight="1" thickBot="1" x14ac:dyDescent="0.35">
      <c r="A91" s="440" t="s">
        <v>366</v>
      </c>
      <c r="B91" s="424">
        <v>2800.00025278258</v>
      </c>
      <c r="C91" s="424">
        <v>3235.2056699999998</v>
      </c>
      <c r="D91" s="425">
        <v>435.20541721742001</v>
      </c>
      <c r="E91" s="431">
        <v>1.1554304921159999</v>
      </c>
      <c r="F91" s="424">
        <v>3068</v>
      </c>
      <c r="G91" s="425">
        <v>511.33333333333297</v>
      </c>
      <c r="H91" s="427">
        <v>258.88625999999999</v>
      </c>
      <c r="I91" s="424">
        <v>547.82351000000006</v>
      </c>
      <c r="J91" s="425">
        <v>36.490176666666002</v>
      </c>
      <c r="K91" s="432">
        <v>0.17856046610099999</v>
      </c>
    </row>
    <row r="92" spans="1:11" ht="14.4" customHeight="1" thickBot="1" x14ac:dyDescent="0.35">
      <c r="A92" s="441" t="s">
        <v>367</v>
      </c>
      <c r="B92" s="419">
        <v>2800.00025278258</v>
      </c>
      <c r="C92" s="419">
        <v>3235.2056699999998</v>
      </c>
      <c r="D92" s="420">
        <v>435.20541721742001</v>
      </c>
      <c r="E92" s="421">
        <v>1.1554304921159999</v>
      </c>
      <c r="F92" s="419">
        <v>3068</v>
      </c>
      <c r="G92" s="420">
        <v>511.33333333333297</v>
      </c>
      <c r="H92" s="422">
        <v>258.88625999999999</v>
      </c>
      <c r="I92" s="419">
        <v>547.82351000000006</v>
      </c>
      <c r="J92" s="420">
        <v>36.490176666666002</v>
      </c>
      <c r="K92" s="423">
        <v>0.17856046610099999</v>
      </c>
    </row>
    <row r="93" spans="1:11" ht="14.4" customHeight="1" thickBot="1" x14ac:dyDescent="0.35">
      <c r="A93" s="439" t="s">
        <v>368</v>
      </c>
      <c r="B93" s="419">
        <v>168.000015166955</v>
      </c>
      <c r="C93" s="419">
        <v>194.23477</v>
      </c>
      <c r="D93" s="420">
        <v>26.234754833044999</v>
      </c>
      <c r="E93" s="421">
        <v>1.1561592408600001</v>
      </c>
      <c r="F93" s="419">
        <v>246</v>
      </c>
      <c r="G93" s="420">
        <v>41</v>
      </c>
      <c r="H93" s="422">
        <v>20.755849999999999</v>
      </c>
      <c r="I93" s="419">
        <v>43.936630000000001</v>
      </c>
      <c r="J93" s="420">
        <v>2.936629999999</v>
      </c>
      <c r="K93" s="423">
        <v>0.178604186991</v>
      </c>
    </row>
    <row r="94" spans="1:11" ht="14.4" customHeight="1" thickBot="1" x14ac:dyDescent="0.35">
      <c r="A94" s="440" t="s">
        <v>369</v>
      </c>
      <c r="B94" s="424">
        <v>168.000015166955</v>
      </c>
      <c r="C94" s="424">
        <v>194.23477</v>
      </c>
      <c r="D94" s="425">
        <v>26.234754833044999</v>
      </c>
      <c r="E94" s="431">
        <v>1.1561592408600001</v>
      </c>
      <c r="F94" s="424">
        <v>246</v>
      </c>
      <c r="G94" s="425">
        <v>41</v>
      </c>
      <c r="H94" s="427">
        <v>20.755849999999999</v>
      </c>
      <c r="I94" s="424">
        <v>43.936630000000001</v>
      </c>
      <c r="J94" s="425">
        <v>2.936629999999</v>
      </c>
      <c r="K94" s="432">
        <v>0.178604186991</v>
      </c>
    </row>
    <row r="95" spans="1:11" ht="14.4" customHeight="1" thickBot="1" x14ac:dyDescent="0.35">
      <c r="A95" s="441" t="s">
        <v>370</v>
      </c>
      <c r="B95" s="419">
        <v>168.000015166955</v>
      </c>
      <c r="C95" s="419">
        <v>194.23477</v>
      </c>
      <c r="D95" s="420">
        <v>26.234754833044999</v>
      </c>
      <c r="E95" s="421">
        <v>1.1561592408600001</v>
      </c>
      <c r="F95" s="419">
        <v>246</v>
      </c>
      <c r="G95" s="420">
        <v>41</v>
      </c>
      <c r="H95" s="422">
        <v>20.755849999999999</v>
      </c>
      <c r="I95" s="419">
        <v>43.936630000000001</v>
      </c>
      <c r="J95" s="420">
        <v>2.936629999999</v>
      </c>
      <c r="K95" s="423">
        <v>0.178604186991</v>
      </c>
    </row>
    <row r="96" spans="1:11" ht="14.4" customHeight="1" thickBot="1" x14ac:dyDescent="0.35">
      <c r="A96" s="438" t="s">
        <v>371</v>
      </c>
      <c r="B96" s="419">
        <v>0</v>
      </c>
      <c r="C96" s="419">
        <v>2.5000000000000001E-2</v>
      </c>
      <c r="D96" s="420">
        <v>2.5000000000000001E-2</v>
      </c>
      <c r="E96" s="429" t="s">
        <v>308</v>
      </c>
      <c r="F96" s="419">
        <v>0</v>
      </c>
      <c r="G96" s="420">
        <v>0</v>
      </c>
      <c r="H96" s="422">
        <v>0</v>
      </c>
      <c r="I96" s="419">
        <v>0</v>
      </c>
      <c r="J96" s="420">
        <v>0</v>
      </c>
      <c r="K96" s="423">
        <v>2</v>
      </c>
    </row>
    <row r="97" spans="1:11" ht="14.4" customHeight="1" thickBot="1" x14ac:dyDescent="0.35">
      <c r="A97" s="439" t="s">
        <v>372</v>
      </c>
      <c r="B97" s="419">
        <v>0</v>
      </c>
      <c r="C97" s="419">
        <v>2.5000000000000001E-2</v>
      </c>
      <c r="D97" s="420">
        <v>2.5000000000000001E-2</v>
      </c>
      <c r="E97" s="429" t="s">
        <v>308</v>
      </c>
      <c r="F97" s="419">
        <v>0</v>
      </c>
      <c r="G97" s="420">
        <v>0</v>
      </c>
      <c r="H97" s="422">
        <v>0</v>
      </c>
      <c r="I97" s="419">
        <v>0</v>
      </c>
      <c r="J97" s="420">
        <v>0</v>
      </c>
      <c r="K97" s="423">
        <v>2</v>
      </c>
    </row>
    <row r="98" spans="1:11" ht="14.4" customHeight="1" thickBot="1" x14ac:dyDescent="0.35">
      <c r="A98" s="440" t="s">
        <v>373</v>
      </c>
      <c r="B98" s="424">
        <v>0</v>
      </c>
      <c r="C98" s="424">
        <v>2.5000000000000001E-2</v>
      </c>
      <c r="D98" s="425">
        <v>2.5000000000000001E-2</v>
      </c>
      <c r="E98" s="426" t="s">
        <v>308</v>
      </c>
      <c r="F98" s="424">
        <v>0</v>
      </c>
      <c r="G98" s="425">
        <v>0</v>
      </c>
      <c r="H98" s="427">
        <v>0</v>
      </c>
      <c r="I98" s="424">
        <v>0</v>
      </c>
      <c r="J98" s="425">
        <v>0</v>
      </c>
      <c r="K98" s="432">
        <v>2</v>
      </c>
    </row>
    <row r="99" spans="1:11" ht="14.4" customHeight="1" thickBot="1" x14ac:dyDescent="0.35">
      <c r="A99" s="441" t="s">
        <v>374</v>
      </c>
      <c r="B99" s="419">
        <v>0</v>
      </c>
      <c r="C99" s="419">
        <v>2.5000000000000001E-2</v>
      </c>
      <c r="D99" s="420">
        <v>2.5000000000000001E-2</v>
      </c>
      <c r="E99" s="429" t="s">
        <v>308</v>
      </c>
      <c r="F99" s="419">
        <v>0</v>
      </c>
      <c r="G99" s="420">
        <v>0</v>
      </c>
      <c r="H99" s="422">
        <v>0</v>
      </c>
      <c r="I99" s="419">
        <v>0</v>
      </c>
      <c r="J99" s="420">
        <v>0</v>
      </c>
      <c r="K99" s="423">
        <v>2</v>
      </c>
    </row>
    <row r="100" spans="1:11" ht="14.4" customHeight="1" thickBot="1" x14ac:dyDescent="0.35">
      <c r="A100" s="438" t="s">
        <v>375</v>
      </c>
      <c r="B100" s="419">
        <v>26.088192961810002</v>
      </c>
      <c r="C100" s="419">
        <v>103.99415</v>
      </c>
      <c r="D100" s="420">
        <v>77.905957038189001</v>
      </c>
      <c r="E100" s="421">
        <v>3.9862534807309999</v>
      </c>
      <c r="F100" s="419">
        <v>23.222906097414</v>
      </c>
      <c r="G100" s="420">
        <v>3.8704843495689998</v>
      </c>
      <c r="H100" s="422">
        <v>4.3</v>
      </c>
      <c r="I100" s="419">
        <v>4.3</v>
      </c>
      <c r="J100" s="420">
        <v>0.42951565043000001</v>
      </c>
      <c r="K100" s="423">
        <v>0.18516201124699999</v>
      </c>
    </row>
    <row r="101" spans="1:11" ht="14.4" customHeight="1" thickBot="1" x14ac:dyDescent="0.35">
      <c r="A101" s="439" t="s">
        <v>376</v>
      </c>
      <c r="B101" s="419">
        <v>26.088192961810002</v>
      </c>
      <c r="C101" s="419">
        <v>103.99415</v>
      </c>
      <c r="D101" s="420">
        <v>77.905957038189001</v>
      </c>
      <c r="E101" s="421">
        <v>3.9862534807309999</v>
      </c>
      <c r="F101" s="419">
        <v>23.222906097414</v>
      </c>
      <c r="G101" s="420">
        <v>3.8704843495689998</v>
      </c>
      <c r="H101" s="422">
        <v>4.3</v>
      </c>
      <c r="I101" s="419">
        <v>4.3</v>
      </c>
      <c r="J101" s="420">
        <v>0.42951565043000001</v>
      </c>
      <c r="K101" s="423">
        <v>0.18516201124699999</v>
      </c>
    </row>
    <row r="102" spans="1:11" ht="14.4" customHeight="1" thickBot="1" x14ac:dyDescent="0.35">
      <c r="A102" s="440" t="s">
        <v>377</v>
      </c>
      <c r="B102" s="424">
        <v>0</v>
      </c>
      <c r="C102" s="424">
        <v>83.494150000000005</v>
      </c>
      <c r="D102" s="425">
        <v>83.494150000000005</v>
      </c>
      <c r="E102" s="426" t="s">
        <v>283</v>
      </c>
      <c r="F102" s="424">
        <v>0</v>
      </c>
      <c r="G102" s="425">
        <v>0</v>
      </c>
      <c r="H102" s="427">
        <v>4.3</v>
      </c>
      <c r="I102" s="424">
        <v>4.3</v>
      </c>
      <c r="J102" s="425">
        <v>4.3</v>
      </c>
      <c r="K102" s="428" t="s">
        <v>283</v>
      </c>
    </row>
    <row r="103" spans="1:11" ht="14.4" customHeight="1" thickBot="1" x14ac:dyDescent="0.35">
      <c r="A103" s="441" t="s">
        <v>378</v>
      </c>
      <c r="B103" s="419">
        <v>0</v>
      </c>
      <c r="C103" s="419">
        <v>3.03315</v>
      </c>
      <c r="D103" s="420">
        <v>3.03315</v>
      </c>
      <c r="E103" s="429" t="s">
        <v>283</v>
      </c>
      <c r="F103" s="419">
        <v>0</v>
      </c>
      <c r="G103" s="420">
        <v>0</v>
      </c>
      <c r="H103" s="422">
        <v>0</v>
      </c>
      <c r="I103" s="419">
        <v>0</v>
      </c>
      <c r="J103" s="420">
        <v>0</v>
      </c>
      <c r="K103" s="430" t="s">
        <v>283</v>
      </c>
    </row>
    <row r="104" spans="1:11" ht="14.4" customHeight="1" thickBot="1" x14ac:dyDescent="0.35">
      <c r="A104" s="441" t="s">
        <v>379</v>
      </c>
      <c r="B104" s="419">
        <v>0</v>
      </c>
      <c r="C104" s="419">
        <v>76.128</v>
      </c>
      <c r="D104" s="420">
        <v>76.128</v>
      </c>
      <c r="E104" s="429" t="s">
        <v>283</v>
      </c>
      <c r="F104" s="419">
        <v>0</v>
      </c>
      <c r="G104" s="420">
        <v>0</v>
      </c>
      <c r="H104" s="422">
        <v>4.3</v>
      </c>
      <c r="I104" s="419">
        <v>4.3</v>
      </c>
      <c r="J104" s="420">
        <v>4.3</v>
      </c>
      <c r="K104" s="430" t="s">
        <v>283</v>
      </c>
    </row>
    <row r="105" spans="1:11" ht="14.4" customHeight="1" thickBot="1" x14ac:dyDescent="0.35">
      <c r="A105" s="441" t="s">
        <v>380</v>
      </c>
      <c r="B105" s="419">
        <v>0</v>
      </c>
      <c r="C105" s="419">
        <v>4.3330000000000002</v>
      </c>
      <c r="D105" s="420">
        <v>4.3330000000000002</v>
      </c>
      <c r="E105" s="429" t="s">
        <v>308</v>
      </c>
      <c r="F105" s="419">
        <v>0</v>
      </c>
      <c r="G105" s="420">
        <v>0</v>
      </c>
      <c r="H105" s="422">
        <v>0</v>
      </c>
      <c r="I105" s="419">
        <v>0</v>
      </c>
      <c r="J105" s="420">
        <v>0</v>
      </c>
      <c r="K105" s="430" t="s">
        <v>283</v>
      </c>
    </row>
    <row r="106" spans="1:11" ht="14.4" customHeight="1" thickBot="1" x14ac:dyDescent="0.35">
      <c r="A106" s="440" t="s">
        <v>381</v>
      </c>
      <c r="B106" s="424">
        <v>26.088192961810002</v>
      </c>
      <c r="C106" s="424">
        <v>20.5</v>
      </c>
      <c r="D106" s="425">
        <v>-5.5881929618099999</v>
      </c>
      <c r="E106" s="431">
        <v>0.78579608905800002</v>
      </c>
      <c r="F106" s="424">
        <v>23.222906097414</v>
      </c>
      <c r="G106" s="425">
        <v>3.8704843495689998</v>
      </c>
      <c r="H106" s="427">
        <v>0</v>
      </c>
      <c r="I106" s="424">
        <v>0</v>
      </c>
      <c r="J106" s="425">
        <v>-3.8704843495689998</v>
      </c>
      <c r="K106" s="432">
        <v>0</v>
      </c>
    </row>
    <row r="107" spans="1:11" ht="14.4" customHeight="1" thickBot="1" x14ac:dyDescent="0.35">
      <c r="A107" s="441" t="s">
        <v>382</v>
      </c>
      <c r="B107" s="419">
        <v>26.088192961810002</v>
      </c>
      <c r="C107" s="419">
        <v>20.5</v>
      </c>
      <c r="D107" s="420">
        <v>-5.5881929618099999</v>
      </c>
      <c r="E107" s="421">
        <v>0.78579608905800002</v>
      </c>
      <c r="F107" s="419">
        <v>23.222906097414</v>
      </c>
      <c r="G107" s="420">
        <v>3.8704843495689998</v>
      </c>
      <c r="H107" s="422">
        <v>0</v>
      </c>
      <c r="I107" s="419">
        <v>0</v>
      </c>
      <c r="J107" s="420">
        <v>-3.8704843495689998</v>
      </c>
      <c r="K107" s="423">
        <v>0</v>
      </c>
    </row>
    <row r="108" spans="1:11" ht="14.4" customHeight="1" thickBot="1" x14ac:dyDescent="0.35">
      <c r="A108" s="438" t="s">
        <v>383</v>
      </c>
      <c r="B108" s="419">
        <v>1145.0026441023001</v>
      </c>
      <c r="C108" s="419">
        <v>1259.0612000000001</v>
      </c>
      <c r="D108" s="420">
        <v>114.058555897697</v>
      </c>
      <c r="E108" s="421">
        <v>1.0996142292640001</v>
      </c>
      <c r="F108" s="419">
        <v>1508</v>
      </c>
      <c r="G108" s="420">
        <v>251.333333333334</v>
      </c>
      <c r="H108" s="422">
        <v>97.311000000000007</v>
      </c>
      <c r="I108" s="419">
        <v>195.684</v>
      </c>
      <c r="J108" s="420">
        <v>-55.649333333332997</v>
      </c>
      <c r="K108" s="423">
        <v>0.129763925729</v>
      </c>
    </row>
    <row r="109" spans="1:11" ht="14.4" customHeight="1" thickBot="1" x14ac:dyDescent="0.35">
      <c r="A109" s="439" t="s">
        <v>384</v>
      </c>
      <c r="B109" s="419">
        <v>1145.0026441023001</v>
      </c>
      <c r="C109" s="419">
        <v>1152.32</v>
      </c>
      <c r="D109" s="420">
        <v>7.3173558976960003</v>
      </c>
      <c r="E109" s="421">
        <v>1.0063906890829999</v>
      </c>
      <c r="F109" s="419">
        <v>1508</v>
      </c>
      <c r="G109" s="420">
        <v>251.333333333334</v>
      </c>
      <c r="H109" s="422">
        <v>97.311000000000007</v>
      </c>
      <c r="I109" s="419">
        <v>195.684</v>
      </c>
      <c r="J109" s="420">
        <v>-55.649333333332997</v>
      </c>
      <c r="K109" s="423">
        <v>0.129763925729</v>
      </c>
    </row>
    <row r="110" spans="1:11" ht="14.4" customHeight="1" thickBot="1" x14ac:dyDescent="0.35">
      <c r="A110" s="440" t="s">
        <v>385</v>
      </c>
      <c r="B110" s="424">
        <v>1145.0026441023001</v>
      </c>
      <c r="C110" s="424">
        <v>1152.32</v>
      </c>
      <c r="D110" s="425">
        <v>7.3173558976960003</v>
      </c>
      <c r="E110" s="431">
        <v>1.0063906890829999</v>
      </c>
      <c r="F110" s="424">
        <v>1508</v>
      </c>
      <c r="G110" s="425">
        <v>251.333333333334</v>
      </c>
      <c r="H110" s="427">
        <v>97.311000000000007</v>
      </c>
      <c r="I110" s="424">
        <v>195.684</v>
      </c>
      <c r="J110" s="425">
        <v>-55.649333333332997</v>
      </c>
      <c r="K110" s="432">
        <v>0.129763925729</v>
      </c>
    </row>
    <row r="111" spans="1:11" ht="14.4" customHeight="1" thickBot="1" x14ac:dyDescent="0.35">
      <c r="A111" s="441" t="s">
        <v>386</v>
      </c>
      <c r="B111" s="419">
        <v>43.000099298164997</v>
      </c>
      <c r="C111" s="419">
        <v>43.055999999999997</v>
      </c>
      <c r="D111" s="420">
        <v>5.5900701833999998E-2</v>
      </c>
      <c r="E111" s="421">
        <v>1.001300013319</v>
      </c>
      <c r="F111" s="419">
        <v>43</v>
      </c>
      <c r="G111" s="420">
        <v>7.1666666666659999</v>
      </c>
      <c r="H111" s="422">
        <v>3.5880000000000001</v>
      </c>
      <c r="I111" s="419">
        <v>7.1760000000000002</v>
      </c>
      <c r="J111" s="420">
        <v>9.3333333330000001E-3</v>
      </c>
      <c r="K111" s="423">
        <v>0.16688372093000001</v>
      </c>
    </row>
    <row r="112" spans="1:11" ht="14.4" customHeight="1" thickBot="1" x14ac:dyDescent="0.35">
      <c r="A112" s="441" t="s">
        <v>387</v>
      </c>
      <c r="B112" s="419">
        <v>1005.00232080595</v>
      </c>
      <c r="C112" s="419">
        <v>1012.295</v>
      </c>
      <c r="D112" s="420">
        <v>7.2926791940479996</v>
      </c>
      <c r="E112" s="421">
        <v>1.007256380451</v>
      </c>
      <c r="F112" s="419">
        <v>1401</v>
      </c>
      <c r="G112" s="420">
        <v>233.5</v>
      </c>
      <c r="H112" s="422">
        <v>86.6</v>
      </c>
      <c r="I112" s="419">
        <v>173.30600000000001</v>
      </c>
      <c r="J112" s="420">
        <v>-60.194000000000003</v>
      </c>
      <c r="K112" s="423">
        <v>0.123701641684</v>
      </c>
    </row>
    <row r="113" spans="1:11" ht="14.4" customHeight="1" thickBot="1" x14ac:dyDescent="0.35">
      <c r="A113" s="441" t="s">
        <v>388</v>
      </c>
      <c r="B113" s="419">
        <v>48.000110844463002</v>
      </c>
      <c r="C113" s="419">
        <v>47.808</v>
      </c>
      <c r="D113" s="420">
        <v>-0.192110844463</v>
      </c>
      <c r="E113" s="421">
        <v>0.99599769998200005</v>
      </c>
      <c r="F113" s="419">
        <v>48</v>
      </c>
      <c r="G113" s="420">
        <v>8</v>
      </c>
      <c r="H113" s="422">
        <v>3.984</v>
      </c>
      <c r="I113" s="419">
        <v>7.968</v>
      </c>
      <c r="J113" s="420">
        <v>-3.2000000000000001E-2</v>
      </c>
      <c r="K113" s="423">
        <v>0.16600000000000001</v>
      </c>
    </row>
    <row r="114" spans="1:11" ht="14.4" customHeight="1" thickBot="1" x14ac:dyDescent="0.35">
      <c r="A114" s="441" t="s">
        <v>389</v>
      </c>
      <c r="B114" s="419">
        <v>8.0000184740770006</v>
      </c>
      <c r="C114" s="419">
        <v>7.9320000000000004</v>
      </c>
      <c r="D114" s="420">
        <v>-6.8018474076999999E-2</v>
      </c>
      <c r="E114" s="421">
        <v>0.99149771037400003</v>
      </c>
      <c r="F114" s="419">
        <v>8</v>
      </c>
      <c r="G114" s="420">
        <v>1.333333333333</v>
      </c>
      <c r="H114" s="422">
        <v>0.66100000000000003</v>
      </c>
      <c r="I114" s="419">
        <v>1.3220000000000001</v>
      </c>
      <c r="J114" s="420">
        <v>-1.1333333333E-2</v>
      </c>
      <c r="K114" s="423">
        <v>0.16525000000000001</v>
      </c>
    </row>
    <row r="115" spans="1:11" ht="14.4" customHeight="1" thickBot="1" x14ac:dyDescent="0.35">
      <c r="A115" s="441" t="s">
        <v>390</v>
      </c>
      <c r="B115" s="419">
        <v>41.000094679645002</v>
      </c>
      <c r="C115" s="419">
        <v>41.228999999999999</v>
      </c>
      <c r="D115" s="420">
        <v>0.22890532035399999</v>
      </c>
      <c r="E115" s="421">
        <v>1.005583043701</v>
      </c>
      <c r="F115" s="419">
        <v>8</v>
      </c>
      <c r="G115" s="420">
        <v>1.333333333333</v>
      </c>
      <c r="H115" s="422">
        <v>2.4780000000000002</v>
      </c>
      <c r="I115" s="419">
        <v>5.9119999999999999</v>
      </c>
      <c r="J115" s="420">
        <v>4.5786666666659999</v>
      </c>
      <c r="K115" s="423">
        <v>0.73899999999900001</v>
      </c>
    </row>
    <row r="116" spans="1:11" ht="14.4" customHeight="1" thickBot="1" x14ac:dyDescent="0.35">
      <c r="A116" s="439" t="s">
        <v>391</v>
      </c>
      <c r="B116" s="419">
        <v>0</v>
      </c>
      <c r="C116" s="419">
        <v>106.74120000000001</v>
      </c>
      <c r="D116" s="420">
        <v>106.74120000000001</v>
      </c>
      <c r="E116" s="429" t="s">
        <v>283</v>
      </c>
      <c r="F116" s="419">
        <v>0</v>
      </c>
      <c r="G116" s="420">
        <v>0</v>
      </c>
      <c r="H116" s="422">
        <v>0</v>
      </c>
      <c r="I116" s="419">
        <v>0</v>
      </c>
      <c r="J116" s="420">
        <v>0</v>
      </c>
      <c r="K116" s="430" t="s">
        <v>283</v>
      </c>
    </row>
    <row r="117" spans="1:11" ht="14.4" customHeight="1" thickBot="1" x14ac:dyDescent="0.35">
      <c r="A117" s="440" t="s">
        <v>392</v>
      </c>
      <c r="B117" s="424">
        <v>0</v>
      </c>
      <c r="C117" s="424">
        <v>66.776200000000003</v>
      </c>
      <c r="D117" s="425">
        <v>66.776200000000003</v>
      </c>
      <c r="E117" s="426" t="s">
        <v>283</v>
      </c>
      <c r="F117" s="424">
        <v>0</v>
      </c>
      <c r="G117" s="425">
        <v>0</v>
      </c>
      <c r="H117" s="427">
        <v>0</v>
      </c>
      <c r="I117" s="424">
        <v>0</v>
      </c>
      <c r="J117" s="425">
        <v>0</v>
      </c>
      <c r="K117" s="428" t="s">
        <v>283</v>
      </c>
    </row>
    <row r="118" spans="1:11" ht="14.4" customHeight="1" thickBot="1" x14ac:dyDescent="0.35">
      <c r="A118" s="441" t="s">
        <v>393</v>
      </c>
      <c r="B118" s="419">
        <v>0</v>
      </c>
      <c r="C118" s="419">
        <v>66.776200000000003</v>
      </c>
      <c r="D118" s="420">
        <v>66.776200000000003</v>
      </c>
      <c r="E118" s="429" t="s">
        <v>283</v>
      </c>
      <c r="F118" s="419">
        <v>0</v>
      </c>
      <c r="G118" s="420">
        <v>0</v>
      </c>
      <c r="H118" s="422">
        <v>0</v>
      </c>
      <c r="I118" s="419">
        <v>0</v>
      </c>
      <c r="J118" s="420">
        <v>0</v>
      </c>
      <c r="K118" s="430" t="s">
        <v>283</v>
      </c>
    </row>
    <row r="119" spans="1:11" ht="14.4" customHeight="1" thickBot="1" x14ac:dyDescent="0.35">
      <c r="A119" s="440" t="s">
        <v>394</v>
      </c>
      <c r="B119" s="424">
        <v>0</v>
      </c>
      <c r="C119" s="424">
        <v>3.06</v>
      </c>
      <c r="D119" s="425">
        <v>3.06</v>
      </c>
      <c r="E119" s="426" t="s">
        <v>308</v>
      </c>
      <c r="F119" s="424">
        <v>0</v>
      </c>
      <c r="G119" s="425">
        <v>0</v>
      </c>
      <c r="H119" s="427">
        <v>0</v>
      </c>
      <c r="I119" s="424">
        <v>0</v>
      </c>
      <c r="J119" s="425">
        <v>0</v>
      </c>
      <c r="K119" s="428" t="s">
        <v>283</v>
      </c>
    </row>
    <row r="120" spans="1:11" ht="14.4" customHeight="1" thickBot="1" x14ac:dyDescent="0.35">
      <c r="A120" s="441" t="s">
        <v>395</v>
      </c>
      <c r="B120" s="419">
        <v>0</v>
      </c>
      <c r="C120" s="419">
        <v>3.06</v>
      </c>
      <c r="D120" s="420">
        <v>3.06</v>
      </c>
      <c r="E120" s="429" t="s">
        <v>308</v>
      </c>
      <c r="F120" s="419">
        <v>0</v>
      </c>
      <c r="G120" s="420">
        <v>0</v>
      </c>
      <c r="H120" s="422">
        <v>0</v>
      </c>
      <c r="I120" s="419">
        <v>0</v>
      </c>
      <c r="J120" s="420">
        <v>0</v>
      </c>
      <c r="K120" s="430" t="s">
        <v>283</v>
      </c>
    </row>
    <row r="121" spans="1:11" ht="14.4" customHeight="1" thickBot="1" x14ac:dyDescent="0.35">
      <c r="A121" s="440" t="s">
        <v>396</v>
      </c>
      <c r="B121" s="424">
        <v>0</v>
      </c>
      <c r="C121" s="424">
        <v>36.905000000000001</v>
      </c>
      <c r="D121" s="425">
        <v>36.905000000000001</v>
      </c>
      <c r="E121" s="426" t="s">
        <v>283</v>
      </c>
      <c r="F121" s="424">
        <v>0</v>
      </c>
      <c r="G121" s="425">
        <v>0</v>
      </c>
      <c r="H121" s="427">
        <v>0</v>
      </c>
      <c r="I121" s="424">
        <v>0</v>
      </c>
      <c r="J121" s="425">
        <v>0</v>
      </c>
      <c r="K121" s="428" t="s">
        <v>283</v>
      </c>
    </row>
    <row r="122" spans="1:11" ht="14.4" customHeight="1" thickBot="1" x14ac:dyDescent="0.35">
      <c r="A122" s="441" t="s">
        <v>397</v>
      </c>
      <c r="B122" s="419">
        <v>0</v>
      </c>
      <c r="C122" s="419">
        <v>36.905000000000001</v>
      </c>
      <c r="D122" s="420">
        <v>36.905000000000001</v>
      </c>
      <c r="E122" s="429" t="s">
        <v>283</v>
      </c>
      <c r="F122" s="419">
        <v>0</v>
      </c>
      <c r="G122" s="420">
        <v>0</v>
      </c>
      <c r="H122" s="422">
        <v>0</v>
      </c>
      <c r="I122" s="419">
        <v>0</v>
      </c>
      <c r="J122" s="420">
        <v>0</v>
      </c>
      <c r="K122" s="430" t="s">
        <v>283</v>
      </c>
    </row>
    <row r="123" spans="1:11" ht="14.4" customHeight="1" thickBot="1" x14ac:dyDescent="0.35">
      <c r="A123" s="438" t="s">
        <v>398</v>
      </c>
      <c r="B123" s="419">
        <v>0</v>
      </c>
      <c r="C123" s="419">
        <v>1.70892</v>
      </c>
      <c r="D123" s="420">
        <v>1.70892</v>
      </c>
      <c r="E123" s="429" t="s">
        <v>283</v>
      </c>
      <c r="F123" s="419">
        <v>0</v>
      </c>
      <c r="G123" s="420">
        <v>0</v>
      </c>
      <c r="H123" s="422">
        <v>0</v>
      </c>
      <c r="I123" s="419">
        <v>0.28538000000000002</v>
      </c>
      <c r="J123" s="420">
        <v>0.28538000000000002</v>
      </c>
      <c r="K123" s="430" t="s">
        <v>283</v>
      </c>
    </row>
    <row r="124" spans="1:11" ht="14.4" customHeight="1" thickBot="1" x14ac:dyDescent="0.35">
      <c r="A124" s="439" t="s">
        <v>399</v>
      </c>
      <c r="B124" s="419">
        <v>0</v>
      </c>
      <c r="C124" s="419">
        <v>1.70892</v>
      </c>
      <c r="D124" s="420">
        <v>1.70892</v>
      </c>
      <c r="E124" s="429" t="s">
        <v>283</v>
      </c>
      <c r="F124" s="419">
        <v>0</v>
      </c>
      <c r="G124" s="420">
        <v>0</v>
      </c>
      <c r="H124" s="422">
        <v>0</v>
      </c>
      <c r="I124" s="419">
        <v>0.28538000000000002</v>
      </c>
      <c r="J124" s="420">
        <v>0.28538000000000002</v>
      </c>
      <c r="K124" s="430" t="s">
        <v>283</v>
      </c>
    </row>
    <row r="125" spans="1:11" ht="14.4" customHeight="1" thickBot="1" x14ac:dyDescent="0.35">
      <c r="A125" s="440" t="s">
        <v>400</v>
      </c>
      <c r="B125" s="424">
        <v>0</v>
      </c>
      <c r="C125" s="424">
        <v>1.70892</v>
      </c>
      <c r="D125" s="425">
        <v>1.70892</v>
      </c>
      <c r="E125" s="426" t="s">
        <v>283</v>
      </c>
      <c r="F125" s="424">
        <v>0</v>
      </c>
      <c r="G125" s="425">
        <v>0</v>
      </c>
      <c r="H125" s="427">
        <v>0</v>
      </c>
      <c r="I125" s="424">
        <v>0.28538000000000002</v>
      </c>
      <c r="J125" s="425">
        <v>0.28538000000000002</v>
      </c>
      <c r="K125" s="428" t="s">
        <v>283</v>
      </c>
    </row>
    <row r="126" spans="1:11" ht="14.4" customHeight="1" thickBot="1" x14ac:dyDescent="0.35">
      <c r="A126" s="441" t="s">
        <v>401</v>
      </c>
      <c r="B126" s="419">
        <v>0</v>
      </c>
      <c r="C126" s="419">
        <v>1.70892</v>
      </c>
      <c r="D126" s="420">
        <v>1.70892</v>
      </c>
      <c r="E126" s="429" t="s">
        <v>283</v>
      </c>
      <c r="F126" s="419">
        <v>0</v>
      </c>
      <c r="G126" s="420">
        <v>0</v>
      </c>
      <c r="H126" s="422">
        <v>0</v>
      </c>
      <c r="I126" s="419">
        <v>0.28538000000000002</v>
      </c>
      <c r="J126" s="420">
        <v>0.28538000000000002</v>
      </c>
      <c r="K126" s="430" t="s">
        <v>283</v>
      </c>
    </row>
    <row r="127" spans="1:11" ht="14.4" customHeight="1" thickBot="1" x14ac:dyDescent="0.35">
      <c r="A127" s="437" t="s">
        <v>402</v>
      </c>
      <c r="B127" s="419">
        <v>77708.347692042298</v>
      </c>
      <c r="C127" s="419">
        <v>92504.622959999993</v>
      </c>
      <c r="D127" s="420">
        <v>14796.275267957701</v>
      </c>
      <c r="E127" s="421">
        <v>1.190407796683</v>
      </c>
      <c r="F127" s="419">
        <v>83098.218341645799</v>
      </c>
      <c r="G127" s="420">
        <v>13849.703056941</v>
      </c>
      <c r="H127" s="422">
        <v>10694.77548</v>
      </c>
      <c r="I127" s="419">
        <v>15280.56251</v>
      </c>
      <c r="J127" s="420">
        <v>1430.8594530590301</v>
      </c>
      <c r="K127" s="423">
        <v>0.18388556114599999</v>
      </c>
    </row>
    <row r="128" spans="1:11" ht="14.4" customHeight="1" thickBot="1" x14ac:dyDescent="0.35">
      <c r="A128" s="438" t="s">
        <v>403</v>
      </c>
      <c r="B128" s="419">
        <v>77707.417412899202</v>
      </c>
      <c r="C128" s="419">
        <v>92494.199460000003</v>
      </c>
      <c r="D128" s="420">
        <v>14786.7820471008</v>
      </c>
      <c r="E128" s="421">
        <v>1.190287909949</v>
      </c>
      <c r="F128" s="419">
        <v>83098.216382373706</v>
      </c>
      <c r="G128" s="420">
        <v>13849.7027303956</v>
      </c>
      <c r="H128" s="422">
        <v>10694.77548</v>
      </c>
      <c r="I128" s="419">
        <v>15280.56251</v>
      </c>
      <c r="J128" s="420">
        <v>1430.85977960439</v>
      </c>
      <c r="K128" s="423">
        <v>0.18388556548099999</v>
      </c>
    </row>
    <row r="129" spans="1:11" ht="14.4" customHeight="1" thickBot="1" x14ac:dyDescent="0.35">
      <c r="A129" s="439" t="s">
        <v>404</v>
      </c>
      <c r="B129" s="419">
        <v>77707.417412899202</v>
      </c>
      <c r="C129" s="419">
        <v>92494.199460000003</v>
      </c>
      <c r="D129" s="420">
        <v>14786.7820471008</v>
      </c>
      <c r="E129" s="421">
        <v>1.190287909949</v>
      </c>
      <c r="F129" s="419">
        <v>83098.216382373706</v>
      </c>
      <c r="G129" s="420">
        <v>13849.7027303956</v>
      </c>
      <c r="H129" s="422">
        <v>10694.77548</v>
      </c>
      <c r="I129" s="419">
        <v>15280.56251</v>
      </c>
      <c r="J129" s="420">
        <v>1430.85977960439</v>
      </c>
      <c r="K129" s="423">
        <v>0.18388556548099999</v>
      </c>
    </row>
    <row r="130" spans="1:11" ht="14.4" customHeight="1" thickBot="1" x14ac:dyDescent="0.35">
      <c r="A130" s="440" t="s">
        <v>405</v>
      </c>
      <c r="B130" s="424">
        <v>2205.43066891846</v>
      </c>
      <c r="C130" s="424">
        <v>1709.4703999999999</v>
      </c>
      <c r="D130" s="425">
        <v>-495.96026891846401</v>
      </c>
      <c r="E130" s="431">
        <v>0.77511863061099995</v>
      </c>
      <c r="F130" s="424">
        <v>1711</v>
      </c>
      <c r="G130" s="425">
        <v>285.16666666666703</v>
      </c>
      <c r="H130" s="427">
        <v>127.47852</v>
      </c>
      <c r="I130" s="424">
        <v>256.03964000000002</v>
      </c>
      <c r="J130" s="425">
        <v>-29.127026666666001</v>
      </c>
      <c r="K130" s="432">
        <v>0.14964327293900001</v>
      </c>
    </row>
    <row r="131" spans="1:11" ht="14.4" customHeight="1" thickBot="1" x14ac:dyDescent="0.35">
      <c r="A131" s="441" t="s">
        <v>406</v>
      </c>
      <c r="B131" s="419">
        <v>2186.4779199971199</v>
      </c>
      <c r="C131" s="419">
        <v>1688.6869999999999</v>
      </c>
      <c r="D131" s="420">
        <v>-497.79091999712301</v>
      </c>
      <c r="E131" s="421">
        <v>0.77233206178500002</v>
      </c>
      <c r="F131" s="419">
        <v>1690</v>
      </c>
      <c r="G131" s="420">
        <v>281.66666666666703</v>
      </c>
      <c r="H131" s="422">
        <v>123.983</v>
      </c>
      <c r="I131" s="419">
        <v>247.083</v>
      </c>
      <c r="J131" s="420">
        <v>-34.583666666665998</v>
      </c>
      <c r="K131" s="423">
        <v>0.14620295857900001</v>
      </c>
    </row>
    <row r="132" spans="1:11" ht="14.4" customHeight="1" thickBot="1" x14ac:dyDescent="0.35">
      <c r="A132" s="441" t="s">
        <v>407</v>
      </c>
      <c r="B132" s="419">
        <v>17.162529369773001</v>
      </c>
      <c r="C132" s="419">
        <v>20.7834</v>
      </c>
      <c r="D132" s="420">
        <v>3.6208706302259999</v>
      </c>
      <c r="E132" s="421">
        <v>1.210975349391</v>
      </c>
      <c r="F132" s="419">
        <v>21</v>
      </c>
      <c r="G132" s="420">
        <v>3.5</v>
      </c>
      <c r="H132" s="422">
        <v>3.49552</v>
      </c>
      <c r="I132" s="419">
        <v>8.9566400000000002</v>
      </c>
      <c r="J132" s="420">
        <v>5.4566400000000002</v>
      </c>
      <c r="K132" s="423">
        <v>0.42650666666600001</v>
      </c>
    </row>
    <row r="133" spans="1:11" ht="14.4" customHeight="1" thickBot="1" x14ac:dyDescent="0.35">
      <c r="A133" s="441" t="s">
        <v>408</v>
      </c>
      <c r="B133" s="419">
        <v>1.7902195515670001</v>
      </c>
      <c r="C133" s="419">
        <v>0</v>
      </c>
      <c r="D133" s="420">
        <v>-1.7902195515670001</v>
      </c>
      <c r="E133" s="421">
        <v>0</v>
      </c>
      <c r="F133" s="419">
        <v>0</v>
      </c>
      <c r="G133" s="420">
        <v>0</v>
      </c>
      <c r="H133" s="422">
        <v>0</v>
      </c>
      <c r="I133" s="419">
        <v>0</v>
      </c>
      <c r="J133" s="420">
        <v>0</v>
      </c>
      <c r="K133" s="423">
        <v>2</v>
      </c>
    </row>
    <row r="134" spans="1:11" ht="14.4" customHeight="1" thickBot="1" x14ac:dyDescent="0.35">
      <c r="A134" s="440" t="s">
        <v>409</v>
      </c>
      <c r="B134" s="424">
        <v>43.000004311551997</v>
      </c>
      <c r="C134" s="424">
        <v>97.619010000000003</v>
      </c>
      <c r="D134" s="425">
        <v>54.619005688446997</v>
      </c>
      <c r="E134" s="431">
        <v>2.2702093072520002</v>
      </c>
      <c r="F134" s="424">
        <v>75.216382373708996</v>
      </c>
      <c r="G134" s="425">
        <v>12.536063728951</v>
      </c>
      <c r="H134" s="427">
        <v>12.944699999999999</v>
      </c>
      <c r="I134" s="424">
        <v>25.005669999999999</v>
      </c>
      <c r="J134" s="425">
        <v>12.469606271048001</v>
      </c>
      <c r="K134" s="432">
        <v>0.33244978302400002</v>
      </c>
    </row>
    <row r="135" spans="1:11" ht="14.4" customHeight="1" thickBot="1" x14ac:dyDescent="0.35">
      <c r="A135" s="441" t="s">
        <v>410</v>
      </c>
      <c r="B135" s="419">
        <v>43.000004311551997</v>
      </c>
      <c r="C135" s="419">
        <v>96.313310000000001</v>
      </c>
      <c r="D135" s="420">
        <v>53.313305688447002</v>
      </c>
      <c r="E135" s="421">
        <v>2.2398441940180001</v>
      </c>
      <c r="F135" s="419">
        <v>73.993105622960996</v>
      </c>
      <c r="G135" s="420">
        <v>12.332184270493</v>
      </c>
      <c r="H135" s="422">
        <v>6.4470000000000001</v>
      </c>
      <c r="I135" s="419">
        <v>18.50797</v>
      </c>
      <c r="J135" s="420">
        <v>6.1757857295059999</v>
      </c>
      <c r="K135" s="423">
        <v>0.250131006722</v>
      </c>
    </row>
    <row r="136" spans="1:11" ht="14.4" customHeight="1" thickBot="1" x14ac:dyDescent="0.35">
      <c r="A136" s="441" t="s">
        <v>411</v>
      </c>
      <c r="B136" s="419">
        <v>0</v>
      </c>
      <c r="C136" s="419">
        <v>1.3057000000000001</v>
      </c>
      <c r="D136" s="420">
        <v>1.3057000000000001</v>
      </c>
      <c r="E136" s="429" t="s">
        <v>283</v>
      </c>
      <c r="F136" s="419">
        <v>1.223276750748</v>
      </c>
      <c r="G136" s="420">
        <v>0.20387945845800001</v>
      </c>
      <c r="H136" s="422">
        <v>6.4977</v>
      </c>
      <c r="I136" s="419">
        <v>6.4977</v>
      </c>
      <c r="J136" s="420">
        <v>6.2938205415409998</v>
      </c>
      <c r="K136" s="423">
        <v>5.3117170713990003</v>
      </c>
    </row>
    <row r="137" spans="1:11" ht="14.4" customHeight="1" thickBot="1" x14ac:dyDescent="0.35">
      <c r="A137" s="440" t="s">
        <v>412</v>
      </c>
      <c r="B137" s="424">
        <v>78.979181417804</v>
      </c>
      <c r="C137" s="424">
        <v>62.216670000000001</v>
      </c>
      <c r="D137" s="425">
        <v>-16.762511417803999</v>
      </c>
      <c r="E137" s="431">
        <v>0.78776038043300001</v>
      </c>
      <c r="F137" s="424">
        <v>115</v>
      </c>
      <c r="G137" s="425">
        <v>19.166666666666</v>
      </c>
      <c r="H137" s="427">
        <v>2.6819500000000001</v>
      </c>
      <c r="I137" s="424">
        <v>16.549949999999999</v>
      </c>
      <c r="J137" s="425">
        <v>-2.616716666666</v>
      </c>
      <c r="K137" s="432">
        <v>0.143912608695</v>
      </c>
    </row>
    <row r="138" spans="1:11" ht="14.4" customHeight="1" thickBot="1" x14ac:dyDescent="0.35">
      <c r="A138" s="441" t="s">
        <v>413</v>
      </c>
      <c r="B138" s="419">
        <v>14.979175000610001</v>
      </c>
      <c r="C138" s="419">
        <v>4.9816099999999999</v>
      </c>
      <c r="D138" s="420">
        <v>-9.9975650006100008</v>
      </c>
      <c r="E138" s="421">
        <v>0.33256905001699999</v>
      </c>
      <c r="F138" s="419">
        <v>22</v>
      </c>
      <c r="G138" s="420">
        <v>3.6666666666659999</v>
      </c>
      <c r="H138" s="422">
        <v>0</v>
      </c>
      <c r="I138" s="419">
        <v>0</v>
      </c>
      <c r="J138" s="420">
        <v>-3.6666666666659999</v>
      </c>
      <c r="K138" s="423">
        <v>0</v>
      </c>
    </row>
    <row r="139" spans="1:11" ht="14.4" customHeight="1" thickBot="1" x14ac:dyDescent="0.35">
      <c r="A139" s="441" t="s">
        <v>414</v>
      </c>
      <c r="B139" s="419">
        <v>64.000006417194001</v>
      </c>
      <c r="C139" s="419">
        <v>57.235059999999997</v>
      </c>
      <c r="D139" s="420">
        <v>-6.7649464171940004</v>
      </c>
      <c r="E139" s="421">
        <v>0.894297722829</v>
      </c>
      <c r="F139" s="419">
        <v>93</v>
      </c>
      <c r="G139" s="420">
        <v>15.5</v>
      </c>
      <c r="H139" s="422">
        <v>2.6819500000000001</v>
      </c>
      <c r="I139" s="419">
        <v>16.549949999999999</v>
      </c>
      <c r="J139" s="420">
        <v>1.0499499999999999</v>
      </c>
      <c r="K139" s="423">
        <v>0.17795645161199999</v>
      </c>
    </row>
    <row r="140" spans="1:11" ht="14.4" customHeight="1" thickBot="1" x14ac:dyDescent="0.35">
      <c r="A140" s="440" t="s">
        <v>415</v>
      </c>
      <c r="B140" s="424">
        <v>75380.007558251396</v>
      </c>
      <c r="C140" s="424">
        <v>85456.095969999995</v>
      </c>
      <c r="D140" s="425">
        <v>10076.0884117486</v>
      </c>
      <c r="E140" s="431">
        <v>1.1336705678079999</v>
      </c>
      <c r="F140" s="424">
        <v>81197</v>
      </c>
      <c r="G140" s="425">
        <v>13532.833333333299</v>
      </c>
      <c r="H140" s="427">
        <v>10551.63984</v>
      </c>
      <c r="I140" s="424">
        <v>14982.74163</v>
      </c>
      <c r="J140" s="425">
        <v>1449.9082966666699</v>
      </c>
      <c r="K140" s="432">
        <v>0.18452333990100001</v>
      </c>
    </row>
    <row r="141" spans="1:11" ht="14.4" customHeight="1" thickBot="1" x14ac:dyDescent="0.35">
      <c r="A141" s="441" t="s">
        <v>416</v>
      </c>
      <c r="B141" s="419">
        <v>28009.002808424801</v>
      </c>
      <c r="C141" s="419">
        <v>29700.436320000001</v>
      </c>
      <c r="D141" s="420">
        <v>1691.4335115751801</v>
      </c>
      <c r="E141" s="421">
        <v>1.060388922916</v>
      </c>
      <c r="F141" s="419">
        <v>29591</v>
      </c>
      <c r="G141" s="420">
        <v>4931.8333333333303</v>
      </c>
      <c r="H141" s="422">
        <v>3710.6476899999998</v>
      </c>
      <c r="I141" s="419">
        <v>5213.9537499999997</v>
      </c>
      <c r="J141" s="420">
        <v>282.12041666666801</v>
      </c>
      <c r="K141" s="423">
        <v>0.176200660673</v>
      </c>
    </row>
    <row r="142" spans="1:11" ht="14.4" customHeight="1" thickBot="1" x14ac:dyDescent="0.35">
      <c r="A142" s="441" t="s">
        <v>417</v>
      </c>
      <c r="B142" s="419">
        <v>47371.004749826599</v>
      </c>
      <c r="C142" s="419">
        <v>55755.659650000001</v>
      </c>
      <c r="D142" s="420">
        <v>8384.6549001734493</v>
      </c>
      <c r="E142" s="421">
        <v>1.1769997268250001</v>
      </c>
      <c r="F142" s="419">
        <v>51606</v>
      </c>
      <c r="G142" s="420">
        <v>8601</v>
      </c>
      <c r="H142" s="422">
        <v>6840.99215</v>
      </c>
      <c r="I142" s="419">
        <v>9768.7878799999999</v>
      </c>
      <c r="J142" s="420">
        <v>1167.7878800000001</v>
      </c>
      <c r="K142" s="423">
        <v>0.18929558345899999</v>
      </c>
    </row>
    <row r="143" spans="1:11" ht="14.4" customHeight="1" thickBot="1" x14ac:dyDescent="0.35">
      <c r="A143" s="440" t="s">
        <v>418</v>
      </c>
      <c r="B143" s="424">
        <v>0</v>
      </c>
      <c r="C143" s="424">
        <v>5168.7974100000001</v>
      </c>
      <c r="D143" s="425">
        <v>5168.7974100000001</v>
      </c>
      <c r="E143" s="426" t="s">
        <v>283</v>
      </c>
      <c r="F143" s="424">
        <v>0</v>
      </c>
      <c r="G143" s="425">
        <v>0</v>
      </c>
      <c r="H143" s="427">
        <v>3.0470000000000001E-2</v>
      </c>
      <c r="I143" s="424">
        <v>0.22561999999999999</v>
      </c>
      <c r="J143" s="425">
        <v>0.22561999999999999</v>
      </c>
      <c r="K143" s="428" t="s">
        <v>283</v>
      </c>
    </row>
    <row r="144" spans="1:11" ht="14.4" customHeight="1" thickBot="1" x14ac:dyDescent="0.35">
      <c r="A144" s="441" t="s">
        <v>419</v>
      </c>
      <c r="B144" s="419">
        <v>0</v>
      </c>
      <c r="C144" s="419">
        <v>446.70663999999999</v>
      </c>
      <c r="D144" s="420">
        <v>446.70663999999999</v>
      </c>
      <c r="E144" s="429" t="s">
        <v>283</v>
      </c>
      <c r="F144" s="419">
        <v>0</v>
      </c>
      <c r="G144" s="420">
        <v>0</v>
      </c>
      <c r="H144" s="422">
        <v>0</v>
      </c>
      <c r="I144" s="419">
        <v>0</v>
      </c>
      <c r="J144" s="420">
        <v>0</v>
      </c>
      <c r="K144" s="430" t="s">
        <v>283</v>
      </c>
    </row>
    <row r="145" spans="1:11" ht="14.4" customHeight="1" thickBot="1" x14ac:dyDescent="0.35">
      <c r="A145" s="441" t="s">
        <v>420</v>
      </c>
      <c r="B145" s="419">
        <v>0</v>
      </c>
      <c r="C145" s="419">
        <v>4722.0907699999998</v>
      </c>
      <c r="D145" s="420">
        <v>4722.0907699999998</v>
      </c>
      <c r="E145" s="429" t="s">
        <v>283</v>
      </c>
      <c r="F145" s="419">
        <v>0</v>
      </c>
      <c r="G145" s="420">
        <v>0</v>
      </c>
      <c r="H145" s="422">
        <v>3.0470000000000001E-2</v>
      </c>
      <c r="I145" s="419">
        <v>0.22561999999999999</v>
      </c>
      <c r="J145" s="420">
        <v>0.22561999999999999</v>
      </c>
      <c r="K145" s="430" t="s">
        <v>283</v>
      </c>
    </row>
    <row r="146" spans="1:11" ht="14.4" customHeight="1" thickBot="1" x14ac:dyDescent="0.35">
      <c r="A146" s="438" t="s">
        <v>421</v>
      </c>
      <c r="B146" s="419">
        <v>0.93027914313399995</v>
      </c>
      <c r="C146" s="419">
        <v>10.423500000000001</v>
      </c>
      <c r="D146" s="420">
        <v>9.4932208568649994</v>
      </c>
      <c r="E146" s="421">
        <v>11.204701381225</v>
      </c>
      <c r="F146" s="419">
        <v>1.9592721200000001E-3</v>
      </c>
      <c r="G146" s="420">
        <v>3.2654535300000002E-4</v>
      </c>
      <c r="H146" s="422">
        <v>0</v>
      </c>
      <c r="I146" s="419">
        <v>0</v>
      </c>
      <c r="J146" s="420">
        <v>-3.2654535300000002E-4</v>
      </c>
      <c r="K146" s="423">
        <v>0</v>
      </c>
    </row>
    <row r="147" spans="1:11" ht="14.4" customHeight="1" thickBot="1" x14ac:dyDescent="0.35">
      <c r="A147" s="444" t="s">
        <v>422</v>
      </c>
      <c r="B147" s="424">
        <v>0.93027914313399995</v>
      </c>
      <c r="C147" s="424">
        <v>10.423500000000001</v>
      </c>
      <c r="D147" s="425">
        <v>9.4932208568649994</v>
      </c>
      <c r="E147" s="431">
        <v>11.204701381225</v>
      </c>
      <c r="F147" s="424">
        <v>1.9592721200000001E-3</v>
      </c>
      <c r="G147" s="425">
        <v>3.2654535300000002E-4</v>
      </c>
      <c r="H147" s="427">
        <v>0</v>
      </c>
      <c r="I147" s="424">
        <v>0</v>
      </c>
      <c r="J147" s="425">
        <v>-3.2654535300000002E-4</v>
      </c>
      <c r="K147" s="432">
        <v>0</v>
      </c>
    </row>
    <row r="148" spans="1:11" ht="14.4" customHeight="1" thickBot="1" x14ac:dyDescent="0.35">
      <c r="A148" s="440" t="s">
        <v>423</v>
      </c>
      <c r="B148" s="424">
        <v>0</v>
      </c>
      <c r="C148" s="424">
        <v>2.0000000000000002E-5</v>
      </c>
      <c r="D148" s="425">
        <v>2.0000000000000002E-5</v>
      </c>
      <c r="E148" s="426" t="s">
        <v>283</v>
      </c>
      <c r="F148" s="424">
        <v>0</v>
      </c>
      <c r="G148" s="425">
        <v>0</v>
      </c>
      <c r="H148" s="427">
        <v>0</v>
      </c>
      <c r="I148" s="424">
        <v>0</v>
      </c>
      <c r="J148" s="425">
        <v>0</v>
      </c>
      <c r="K148" s="428" t="s">
        <v>283</v>
      </c>
    </row>
    <row r="149" spans="1:11" ht="14.4" customHeight="1" thickBot="1" x14ac:dyDescent="0.35">
      <c r="A149" s="441" t="s">
        <v>424</v>
      </c>
      <c r="B149" s="419">
        <v>0</v>
      </c>
      <c r="C149" s="419">
        <v>2.0000000000000002E-5</v>
      </c>
      <c r="D149" s="420">
        <v>2.0000000000000002E-5</v>
      </c>
      <c r="E149" s="429" t="s">
        <v>283</v>
      </c>
      <c r="F149" s="419">
        <v>0</v>
      </c>
      <c r="G149" s="420">
        <v>0</v>
      </c>
      <c r="H149" s="422">
        <v>0</v>
      </c>
      <c r="I149" s="419">
        <v>0</v>
      </c>
      <c r="J149" s="420">
        <v>0</v>
      </c>
      <c r="K149" s="430" t="s">
        <v>283</v>
      </c>
    </row>
    <row r="150" spans="1:11" ht="14.4" customHeight="1" thickBot="1" x14ac:dyDescent="0.35">
      <c r="A150" s="440" t="s">
        <v>425</v>
      </c>
      <c r="B150" s="424">
        <v>0.93027914313399995</v>
      </c>
      <c r="C150" s="424">
        <v>10.42348</v>
      </c>
      <c r="D150" s="425">
        <v>9.4932008568650001</v>
      </c>
      <c r="E150" s="431">
        <v>11.204679882301001</v>
      </c>
      <c r="F150" s="424">
        <v>1.9592721200000001E-3</v>
      </c>
      <c r="G150" s="425">
        <v>3.2654535300000002E-4</v>
      </c>
      <c r="H150" s="427">
        <v>0</v>
      </c>
      <c r="I150" s="424">
        <v>0</v>
      </c>
      <c r="J150" s="425">
        <v>-3.2654535300000002E-4</v>
      </c>
      <c r="K150" s="432">
        <v>0</v>
      </c>
    </row>
    <row r="151" spans="1:11" ht="14.4" customHeight="1" thickBot="1" x14ac:dyDescent="0.35">
      <c r="A151" s="441" t="s">
        <v>426</v>
      </c>
      <c r="B151" s="419">
        <v>0</v>
      </c>
      <c r="C151" s="419">
        <v>2E-3</v>
      </c>
      <c r="D151" s="420">
        <v>2E-3</v>
      </c>
      <c r="E151" s="429" t="s">
        <v>308</v>
      </c>
      <c r="F151" s="419">
        <v>1.9592721200000001E-3</v>
      </c>
      <c r="G151" s="420">
        <v>3.2654535300000002E-4</v>
      </c>
      <c r="H151" s="422">
        <v>0</v>
      </c>
      <c r="I151" s="419">
        <v>0</v>
      </c>
      <c r="J151" s="420">
        <v>-3.2654535300000002E-4</v>
      </c>
      <c r="K151" s="423">
        <v>0</v>
      </c>
    </row>
    <row r="152" spans="1:11" ht="14.4" customHeight="1" thickBot="1" x14ac:dyDescent="0.35">
      <c r="A152" s="441" t="s">
        <v>427</v>
      </c>
      <c r="B152" s="419">
        <v>0.93027914313399995</v>
      </c>
      <c r="C152" s="419">
        <v>10.421480000000001</v>
      </c>
      <c r="D152" s="420">
        <v>9.4912008568649995</v>
      </c>
      <c r="E152" s="421">
        <v>11.202529989965001</v>
      </c>
      <c r="F152" s="419">
        <v>0</v>
      </c>
      <c r="G152" s="420">
        <v>0</v>
      </c>
      <c r="H152" s="422">
        <v>0</v>
      </c>
      <c r="I152" s="419">
        <v>0</v>
      </c>
      <c r="J152" s="420">
        <v>0</v>
      </c>
      <c r="K152" s="430" t="s">
        <v>283</v>
      </c>
    </row>
    <row r="153" spans="1:11" ht="14.4" customHeight="1" thickBot="1" x14ac:dyDescent="0.35">
      <c r="A153" s="437" t="s">
        <v>428</v>
      </c>
      <c r="B153" s="419">
        <v>2490.7453181260198</v>
      </c>
      <c r="C153" s="419">
        <v>2611.3225499999999</v>
      </c>
      <c r="D153" s="420">
        <v>120.57723187398101</v>
      </c>
      <c r="E153" s="421">
        <v>1.0484101007819999</v>
      </c>
      <c r="F153" s="419">
        <v>0</v>
      </c>
      <c r="G153" s="420">
        <v>0</v>
      </c>
      <c r="H153" s="422">
        <v>193.98972000000001</v>
      </c>
      <c r="I153" s="419">
        <v>410.78557999999998</v>
      </c>
      <c r="J153" s="420">
        <v>410.78557999999998</v>
      </c>
      <c r="K153" s="430" t="s">
        <v>308</v>
      </c>
    </row>
    <row r="154" spans="1:11" ht="14.4" customHeight="1" thickBot="1" x14ac:dyDescent="0.35">
      <c r="A154" s="442" t="s">
        <v>429</v>
      </c>
      <c r="B154" s="424">
        <v>2490.7453181260198</v>
      </c>
      <c r="C154" s="424">
        <v>2611.3225499999999</v>
      </c>
      <c r="D154" s="425">
        <v>120.57723187398101</v>
      </c>
      <c r="E154" s="431">
        <v>1.0484101007819999</v>
      </c>
      <c r="F154" s="424">
        <v>0</v>
      </c>
      <c r="G154" s="425">
        <v>0</v>
      </c>
      <c r="H154" s="427">
        <v>193.98972000000001</v>
      </c>
      <c r="I154" s="424">
        <v>410.78557999999998</v>
      </c>
      <c r="J154" s="425">
        <v>410.78557999999998</v>
      </c>
      <c r="K154" s="428" t="s">
        <v>308</v>
      </c>
    </row>
    <row r="155" spans="1:11" ht="14.4" customHeight="1" thickBot="1" x14ac:dyDescent="0.35">
      <c r="A155" s="444" t="s">
        <v>54</v>
      </c>
      <c r="B155" s="424">
        <v>2490.7453181260198</v>
      </c>
      <c r="C155" s="424">
        <v>2611.3225499999999</v>
      </c>
      <c r="D155" s="425">
        <v>120.57723187398101</v>
      </c>
      <c r="E155" s="431">
        <v>1.0484101007819999</v>
      </c>
      <c r="F155" s="424">
        <v>0</v>
      </c>
      <c r="G155" s="425">
        <v>0</v>
      </c>
      <c r="H155" s="427">
        <v>193.98972000000001</v>
      </c>
      <c r="I155" s="424">
        <v>410.78557999999998</v>
      </c>
      <c r="J155" s="425">
        <v>410.78557999999998</v>
      </c>
      <c r="K155" s="428" t="s">
        <v>308</v>
      </c>
    </row>
    <row r="156" spans="1:11" ht="14.4" customHeight="1" thickBot="1" x14ac:dyDescent="0.35">
      <c r="A156" s="443" t="s">
        <v>430</v>
      </c>
      <c r="B156" s="419">
        <v>0</v>
      </c>
      <c r="C156" s="419">
        <v>0</v>
      </c>
      <c r="D156" s="420">
        <v>0</v>
      </c>
      <c r="E156" s="421">
        <v>1</v>
      </c>
      <c r="F156" s="419">
        <v>0</v>
      </c>
      <c r="G156" s="420">
        <v>0</v>
      </c>
      <c r="H156" s="422">
        <v>0</v>
      </c>
      <c r="I156" s="419">
        <v>5.3749999999999999E-2</v>
      </c>
      <c r="J156" s="420">
        <v>5.3749999999999999E-2</v>
      </c>
      <c r="K156" s="430" t="s">
        <v>308</v>
      </c>
    </row>
    <row r="157" spans="1:11" ht="14.4" customHeight="1" thickBot="1" x14ac:dyDescent="0.35">
      <c r="A157" s="441" t="s">
        <v>431</v>
      </c>
      <c r="B157" s="419">
        <v>0</v>
      </c>
      <c r="C157" s="419">
        <v>0</v>
      </c>
      <c r="D157" s="420">
        <v>0</v>
      </c>
      <c r="E157" s="421">
        <v>1</v>
      </c>
      <c r="F157" s="419">
        <v>0</v>
      </c>
      <c r="G157" s="420">
        <v>0</v>
      </c>
      <c r="H157" s="422">
        <v>0</v>
      </c>
      <c r="I157" s="419">
        <v>5.3749999999999999E-2</v>
      </c>
      <c r="J157" s="420">
        <v>5.3749999999999999E-2</v>
      </c>
      <c r="K157" s="430" t="s">
        <v>308</v>
      </c>
    </row>
    <row r="158" spans="1:11" ht="14.4" customHeight="1" thickBot="1" x14ac:dyDescent="0.35">
      <c r="A158" s="440" t="s">
        <v>432</v>
      </c>
      <c r="B158" s="424">
        <v>13.558828340583</v>
      </c>
      <c r="C158" s="424">
        <v>12.4</v>
      </c>
      <c r="D158" s="425">
        <v>-1.1588283405819999</v>
      </c>
      <c r="E158" s="431">
        <v>0.91453329804899997</v>
      </c>
      <c r="F158" s="424">
        <v>0</v>
      </c>
      <c r="G158" s="425">
        <v>0</v>
      </c>
      <c r="H158" s="427">
        <v>1.0249999999999999</v>
      </c>
      <c r="I158" s="424">
        <v>2.0499999999999998</v>
      </c>
      <c r="J158" s="425">
        <v>2.0499999999999998</v>
      </c>
      <c r="K158" s="428" t="s">
        <v>308</v>
      </c>
    </row>
    <row r="159" spans="1:11" ht="14.4" customHeight="1" thickBot="1" x14ac:dyDescent="0.35">
      <c r="A159" s="441" t="s">
        <v>433</v>
      </c>
      <c r="B159" s="419">
        <v>13.558828340583</v>
      </c>
      <c r="C159" s="419">
        <v>12.4</v>
      </c>
      <c r="D159" s="420">
        <v>-1.1588283405819999</v>
      </c>
      <c r="E159" s="421">
        <v>0.91453329804899997</v>
      </c>
      <c r="F159" s="419">
        <v>0</v>
      </c>
      <c r="G159" s="420">
        <v>0</v>
      </c>
      <c r="H159" s="422">
        <v>1.0249999999999999</v>
      </c>
      <c r="I159" s="419">
        <v>2.0499999999999998</v>
      </c>
      <c r="J159" s="420">
        <v>2.0499999999999998</v>
      </c>
      <c r="K159" s="430" t="s">
        <v>308</v>
      </c>
    </row>
    <row r="160" spans="1:11" ht="14.4" customHeight="1" thickBot="1" x14ac:dyDescent="0.35">
      <c r="A160" s="440" t="s">
        <v>434</v>
      </c>
      <c r="B160" s="424">
        <v>28.086615158152998</v>
      </c>
      <c r="C160" s="424">
        <v>48.448599999999999</v>
      </c>
      <c r="D160" s="425">
        <v>20.361984841845999</v>
      </c>
      <c r="E160" s="431">
        <v>1.724971119773</v>
      </c>
      <c r="F160" s="424">
        <v>0</v>
      </c>
      <c r="G160" s="425">
        <v>0</v>
      </c>
      <c r="H160" s="427">
        <v>1.0150999999999999</v>
      </c>
      <c r="I160" s="424">
        <v>3.3235999999999999</v>
      </c>
      <c r="J160" s="425">
        <v>3.3235999999999999</v>
      </c>
      <c r="K160" s="428" t="s">
        <v>308</v>
      </c>
    </row>
    <row r="161" spans="1:11" ht="14.4" customHeight="1" thickBot="1" x14ac:dyDescent="0.35">
      <c r="A161" s="441" t="s">
        <v>435</v>
      </c>
      <c r="B161" s="419">
        <v>0</v>
      </c>
      <c r="C161" s="419">
        <v>0</v>
      </c>
      <c r="D161" s="420">
        <v>0</v>
      </c>
      <c r="E161" s="421">
        <v>1</v>
      </c>
      <c r="F161" s="419">
        <v>0</v>
      </c>
      <c r="G161" s="420">
        <v>0</v>
      </c>
      <c r="H161" s="422">
        <v>0</v>
      </c>
      <c r="I161" s="419">
        <v>0.70399999999999996</v>
      </c>
      <c r="J161" s="420">
        <v>0.70399999999999996</v>
      </c>
      <c r="K161" s="430" t="s">
        <v>308</v>
      </c>
    </row>
    <row r="162" spans="1:11" ht="14.4" customHeight="1" thickBot="1" x14ac:dyDescent="0.35">
      <c r="A162" s="441" t="s">
        <v>436</v>
      </c>
      <c r="B162" s="419">
        <v>13.475026689409001</v>
      </c>
      <c r="C162" s="419">
        <v>35.494199999999999</v>
      </c>
      <c r="D162" s="420">
        <v>22.019173310589998</v>
      </c>
      <c r="E162" s="421">
        <v>2.6340727048720001</v>
      </c>
      <c r="F162" s="419">
        <v>0</v>
      </c>
      <c r="G162" s="420">
        <v>0</v>
      </c>
      <c r="H162" s="422">
        <v>0.72109999999999996</v>
      </c>
      <c r="I162" s="419">
        <v>1.2966</v>
      </c>
      <c r="J162" s="420">
        <v>1.2966</v>
      </c>
      <c r="K162" s="430" t="s">
        <v>308</v>
      </c>
    </row>
    <row r="163" spans="1:11" ht="14.4" customHeight="1" thickBot="1" x14ac:dyDescent="0.35">
      <c r="A163" s="441" t="s">
        <v>437</v>
      </c>
      <c r="B163" s="419">
        <v>14.611588468742999</v>
      </c>
      <c r="C163" s="419">
        <v>12.9544</v>
      </c>
      <c r="D163" s="420">
        <v>-1.6571884687430001</v>
      </c>
      <c r="E163" s="421">
        <v>0.88658396229199998</v>
      </c>
      <c r="F163" s="419">
        <v>0</v>
      </c>
      <c r="G163" s="420">
        <v>0</v>
      </c>
      <c r="H163" s="422">
        <v>0.29399999999999998</v>
      </c>
      <c r="I163" s="419">
        <v>1.323</v>
      </c>
      <c r="J163" s="420">
        <v>1.323</v>
      </c>
      <c r="K163" s="430" t="s">
        <v>308</v>
      </c>
    </row>
    <row r="164" spans="1:11" ht="14.4" customHeight="1" thickBot="1" x14ac:dyDescent="0.35">
      <c r="A164" s="440" t="s">
        <v>438</v>
      </c>
      <c r="B164" s="424">
        <v>51.225304571599999</v>
      </c>
      <c r="C164" s="424">
        <v>54.809060000000002</v>
      </c>
      <c r="D164" s="425">
        <v>3.5837554283999999</v>
      </c>
      <c r="E164" s="431">
        <v>1.0699606465660001</v>
      </c>
      <c r="F164" s="424">
        <v>0</v>
      </c>
      <c r="G164" s="425">
        <v>0</v>
      </c>
      <c r="H164" s="427">
        <v>4.7081999999999997</v>
      </c>
      <c r="I164" s="424">
        <v>9.2304200000000005</v>
      </c>
      <c r="J164" s="425">
        <v>9.2304200000000005</v>
      </c>
      <c r="K164" s="428" t="s">
        <v>308</v>
      </c>
    </row>
    <row r="165" spans="1:11" ht="14.4" customHeight="1" thickBot="1" x14ac:dyDescent="0.35">
      <c r="A165" s="441" t="s">
        <v>439</v>
      </c>
      <c r="B165" s="419">
        <v>51.225304571599999</v>
      </c>
      <c r="C165" s="419">
        <v>54.809060000000002</v>
      </c>
      <c r="D165" s="420">
        <v>3.5837554283999999</v>
      </c>
      <c r="E165" s="421">
        <v>1.0699606465660001</v>
      </c>
      <c r="F165" s="419">
        <v>0</v>
      </c>
      <c r="G165" s="420">
        <v>0</v>
      </c>
      <c r="H165" s="422">
        <v>4.7081999999999997</v>
      </c>
      <c r="I165" s="419">
        <v>9.2304200000000005</v>
      </c>
      <c r="J165" s="420">
        <v>9.2304200000000005</v>
      </c>
      <c r="K165" s="430" t="s">
        <v>308</v>
      </c>
    </row>
    <row r="166" spans="1:11" ht="14.4" customHeight="1" thickBot="1" x14ac:dyDescent="0.35">
      <c r="A166" s="440" t="s">
        <v>440</v>
      </c>
      <c r="B166" s="424">
        <v>719.97121144236496</v>
      </c>
      <c r="C166" s="424">
        <v>688.85969999999998</v>
      </c>
      <c r="D166" s="425">
        <v>-31.111511442364002</v>
      </c>
      <c r="E166" s="431">
        <v>0.956787839641</v>
      </c>
      <c r="F166" s="424">
        <v>0</v>
      </c>
      <c r="G166" s="425">
        <v>0</v>
      </c>
      <c r="H166" s="427">
        <v>60.224969999999999</v>
      </c>
      <c r="I166" s="424">
        <v>123.38579</v>
      </c>
      <c r="J166" s="425">
        <v>123.38579</v>
      </c>
      <c r="K166" s="428" t="s">
        <v>308</v>
      </c>
    </row>
    <row r="167" spans="1:11" ht="14.4" customHeight="1" thickBot="1" x14ac:dyDescent="0.35">
      <c r="A167" s="441" t="s">
        <v>441</v>
      </c>
      <c r="B167" s="419">
        <v>719.97121144236496</v>
      </c>
      <c r="C167" s="419">
        <v>688.85969999999998</v>
      </c>
      <c r="D167" s="420">
        <v>-31.111511442364002</v>
      </c>
      <c r="E167" s="421">
        <v>0.956787839641</v>
      </c>
      <c r="F167" s="419">
        <v>0</v>
      </c>
      <c r="G167" s="420">
        <v>0</v>
      </c>
      <c r="H167" s="422">
        <v>60.224969999999999</v>
      </c>
      <c r="I167" s="419">
        <v>123.38579</v>
      </c>
      <c r="J167" s="420">
        <v>123.38579</v>
      </c>
      <c r="K167" s="430" t="s">
        <v>308</v>
      </c>
    </row>
    <row r="168" spans="1:11" ht="14.4" customHeight="1" thickBot="1" x14ac:dyDescent="0.35">
      <c r="A168" s="440" t="s">
        <v>442</v>
      </c>
      <c r="B168" s="424">
        <v>0</v>
      </c>
      <c r="C168" s="424">
        <v>2.3140000000000001E-2</v>
      </c>
      <c r="D168" s="425">
        <v>2.3140000000000001E-2</v>
      </c>
      <c r="E168" s="426" t="s">
        <v>308</v>
      </c>
      <c r="F168" s="424">
        <v>0</v>
      </c>
      <c r="G168" s="425">
        <v>0</v>
      </c>
      <c r="H168" s="427">
        <v>0</v>
      </c>
      <c r="I168" s="424">
        <v>0</v>
      </c>
      <c r="J168" s="425">
        <v>0</v>
      </c>
      <c r="K168" s="432">
        <v>2</v>
      </c>
    </row>
    <row r="169" spans="1:11" ht="14.4" customHeight="1" thickBot="1" x14ac:dyDescent="0.35">
      <c r="A169" s="441" t="s">
        <v>443</v>
      </c>
      <c r="B169" s="419">
        <v>0</v>
      </c>
      <c r="C169" s="419">
        <v>2.3140000000000001E-2</v>
      </c>
      <c r="D169" s="420">
        <v>2.3140000000000001E-2</v>
      </c>
      <c r="E169" s="429" t="s">
        <v>308</v>
      </c>
      <c r="F169" s="419">
        <v>0</v>
      </c>
      <c r="G169" s="420">
        <v>0</v>
      </c>
      <c r="H169" s="422">
        <v>0</v>
      </c>
      <c r="I169" s="419">
        <v>0</v>
      </c>
      <c r="J169" s="420">
        <v>0</v>
      </c>
      <c r="K169" s="423">
        <v>2</v>
      </c>
    </row>
    <row r="170" spans="1:11" ht="14.4" customHeight="1" thickBot="1" x14ac:dyDescent="0.35">
      <c r="A170" s="440" t="s">
        <v>444</v>
      </c>
      <c r="B170" s="424">
        <v>1677.9033586133201</v>
      </c>
      <c r="C170" s="424">
        <v>1806.78205</v>
      </c>
      <c r="D170" s="425">
        <v>128.87869138668199</v>
      </c>
      <c r="E170" s="431">
        <v>1.0768093649279999</v>
      </c>
      <c r="F170" s="424">
        <v>0</v>
      </c>
      <c r="G170" s="425">
        <v>0</v>
      </c>
      <c r="H170" s="427">
        <v>127.01645000000001</v>
      </c>
      <c r="I170" s="424">
        <v>272.74202000000002</v>
      </c>
      <c r="J170" s="425">
        <v>272.74202000000002</v>
      </c>
      <c r="K170" s="428" t="s">
        <v>308</v>
      </c>
    </row>
    <row r="171" spans="1:11" ht="14.4" customHeight="1" thickBot="1" x14ac:dyDescent="0.35">
      <c r="A171" s="441" t="s">
        <v>445</v>
      </c>
      <c r="B171" s="419">
        <v>1677.9033586133201</v>
      </c>
      <c r="C171" s="419">
        <v>1806.78205</v>
      </c>
      <c r="D171" s="420">
        <v>128.87869138668199</v>
      </c>
      <c r="E171" s="421">
        <v>1.0768093649279999</v>
      </c>
      <c r="F171" s="419">
        <v>0</v>
      </c>
      <c r="G171" s="420">
        <v>0</v>
      </c>
      <c r="H171" s="422">
        <v>127.01645000000001</v>
      </c>
      <c r="I171" s="419">
        <v>272.74202000000002</v>
      </c>
      <c r="J171" s="420">
        <v>272.74202000000002</v>
      </c>
      <c r="K171" s="430" t="s">
        <v>308</v>
      </c>
    </row>
    <row r="172" spans="1:11" ht="14.4" customHeight="1" thickBot="1" x14ac:dyDescent="0.35">
      <c r="A172" s="445" t="s">
        <v>446</v>
      </c>
      <c r="B172" s="424">
        <v>0</v>
      </c>
      <c r="C172" s="424">
        <v>1.23895</v>
      </c>
      <c r="D172" s="425">
        <v>1.23895</v>
      </c>
      <c r="E172" s="426" t="s">
        <v>308</v>
      </c>
      <c r="F172" s="424">
        <v>0</v>
      </c>
      <c r="G172" s="425">
        <v>0</v>
      </c>
      <c r="H172" s="427">
        <v>0.14784</v>
      </c>
      <c r="I172" s="424">
        <v>0.14784</v>
      </c>
      <c r="J172" s="425">
        <v>0.14784</v>
      </c>
      <c r="K172" s="428" t="s">
        <v>308</v>
      </c>
    </row>
    <row r="173" spans="1:11" ht="14.4" customHeight="1" thickBot="1" x14ac:dyDescent="0.35">
      <c r="A173" s="442" t="s">
        <v>447</v>
      </c>
      <c r="B173" s="424">
        <v>0</v>
      </c>
      <c r="C173" s="424">
        <v>1.23895</v>
      </c>
      <c r="D173" s="425">
        <v>1.23895</v>
      </c>
      <c r="E173" s="426" t="s">
        <v>308</v>
      </c>
      <c r="F173" s="424">
        <v>0</v>
      </c>
      <c r="G173" s="425">
        <v>0</v>
      </c>
      <c r="H173" s="427">
        <v>0.14784</v>
      </c>
      <c r="I173" s="424">
        <v>0.14784</v>
      </c>
      <c r="J173" s="425">
        <v>0.14784</v>
      </c>
      <c r="K173" s="428" t="s">
        <v>308</v>
      </c>
    </row>
    <row r="174" spans="1:11" ht="14.4" customHeight="1" thickBot="1" x14ac:dyDescent="0.35">
      <c r="A174" s="444" t="s">
        <v>448</v>
      </c>
      <c r="B174" s="424">
        <v>0</v>
      </c>
      <c r="C174" s="424">
        <v>1.23895</v>
      </c>
      <c r="D174" s="425">
        <v>1.23895</v>
      </c>
      <c r="E174" s="426" t="s">
        <v>308</v>
      </c>
      <c r="F174" s="424">
        <v>0</v>
      </c>
      <c r="G174" s="425">
        <v>0</v>
      </c>
      <c r="H174" s="427">
        <v>0.14784</v>
      </c>
      <c r="I174" s="424">
        <v>0.14784</v>
      </c>
      <c r="J174" s="425">
        <v>0.14784</v>
      </c>
      <c r="K174" s="428" t="s">
        <v>308</v>
      </c>
    </row>
    <row r="175" spans="1:11" ht="14.4" customHeight="1" thickBot="1" x14ac:dyDescent="0.35">
      <c r="A175" s="440" t="s">
        <v>449</v>
      </c>
      <c r="B175" s="424">
        <v>0</v>
      </c>
      <c r="C175" s="424">
        <v>1.23895</v>
      </c>
      <c r="D175" s="425">
        <v>1.23895</v>
      </c>
      <c r="E175" s="426" t="s">
        <v>308</v>
      </c>
      <c r="F175" s="424">
        <v>0</v>
      </c>
      <c r="G175" s="425">
        <v>0</v>
      </c>
      <c r="H175" s="427">
        <v>0.14784</v>
      </c>
      <c r="I175" s="424">
        <v>0.14784</v>
      </c>
      <c r="J175" s="425">
        <v>0.14784</v>
      </c>
      <c r="K175" s="428" t="s">
        <v>308</v>
      </c>
    </row>
    <row r="176" spans="1:11" ht="14.4" customHeight="1" thickBot="1" x14ac:dyDescent="0.35">
      <c r="A176" s="441" t="s">
        <v>450</v>
      </c>
      <c r="B176" s="419">
        <v>0</v>
      </c>
      <c r="C176" s="419">
        <v>1.23895</v>
      </c>
      <c r="D176" s="420">
        <v>1.23895</v>
      </c>
      <c r="E176" s="429" t="s">
        <v>308</v>
      </c>
      <c r="F176" s="419">
        <v>0</v>
      </c>
      <c r="G176" s="420">
        <v>0</v>
      </c>
      <c r="H176" s="422">
        <v>0.14784</v>
      </c>
      <c r="I176" s="419">
        <v>0.14784</v>
      </c>
      <c r="J176" s="420">
        <v>0.14784</v>
      </c>
      <c r="K176" s="430" t="s">
        <v>308</v>
      </c>
    </row>
    <row r="177" spans="1:11" ht="14.4" customHeight="1" thickBot="1" x14ac:dyDescent="0.35">
      <c r="A177" s="446"/>
      <c r="B177" s="419">
        <v>32288.786913122</v>
      </c>
      <c r="C177" s="419">
        <v>43850.049200000001</v>
      </c>
      <c r="D177" s="420">
        <v>11561.2622868781</v>
      </c>
      <c r="E177" s="421">
        <v>1.3580581183789999</v>
      </c>
      <c r="F177" s="419">
        <v>36668.8170411428</v>
      </c>
      <c r="G177" s="420">
        <v>6111.46950685713</v>
      </c>
      <c r="H177" s="422">
        <v>6724.3549899999998</v>
      </c>
      <c r="I177" s="419">
        <v>7574.7757099999999</v>
      </c>
      <c r="J177" s="420">
        <v>1463.3062031428601</v>
      </c>
      <c r="K177" s="423">
        <v>0.20657267731000001</v>
      </c>
    </row>
    <row r="178" spans="1:11" ht="14.4" customHeight="1" thickBot="1" x14ac:dyDescent="0.35">
      <c r="A178" s="447" t="s">
        <v>66</v>
      </c>
      <c r="B178" s="433">
        <v>32288.786913122</v>
      </c>
      <c r="C178" s="433">
        <v>43850.049200000001</v>
      </c>
      <c r="D178" s="434">
        <v>11561.262286878</v>
      </c>
      <c r="E178" s="435" t="s">
        <v>308</v>
      </c>
      <c r="F178" s="433">
        <v>36668.8170411428</v>
      </c>
      <c r="G178" s="434">
        <v>6111.46950685713</v>
      </c>
      <c r="H178" s="433">
        <v>6724.3549899999998</v>
      </c>
      <c r="I178" s="433">
        <v>7574.7757099999999</v>
      </c>
      <c r="J178" s="434">
        <v>1463.3062031428601</v>
      </c>
      <c r="K178" s="436">
        <v>0.20657267731000001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7" customWidth="1"/>
    <col min="2" max="2" width="61.109375" style="197" customWidth="1"/>
    <col min="3" max="3" width="9.5546875" style="118" hidden="1" customWidth="1" outlineLevel="1"/>
    <col min="4" max="4" width="9.5546875" style="198" customWidth="1" collapsed="1"/>
    <col min="5" max="5" width="2.21875" style="198" customWidth="1"/>
    <col min="6" max="6" width="9.5546875" style="199" customWidth="1"/>
    <col min="7" max="7" width="9.5546875" style="196" customWidth="1"/>
    <col min="8" max="9" width="9.5546875" style="118" customWidth="1"/>
    <col min="10" max="10" width="0" style="118" hidden="1" customWidth="1"/>
    <col min="11" max="16384" width="8.88671875" style="118"/>
  </cols>
  <sheetData>
    <row r="1" spans="1:10" ht="18.600000000000001" customHeight="1" thickBot="1" x14ac:dyDescent="0.4">
      <c r="A1" s="365" t="s">
        <v>131</v>
      </c>
      <c r="B1" s="366"/>
      <c r="C1" s="366"/>
      <c r="D1" s="366"/>
      <c r="E1" s="366"/>
      <c r="F1" s="366"/>
      <c r="G1" s="336"/>
      <c r="H1" s="367"/>
      <c r="I1" s="367"/>
    </row>
    <row r="2" spans="1:10" ht="14.4" customHeight="1" thickBot="1" x14ac:dyDescent="0.35">
      <c r="A2" s="224" t="s">
        <v>282</v>
      </c>
      <c r="B2" s="195"/>
      <c r="C2" s="195"/>
      <c r="D2" s="195"/>
      <c r="E2" s="195"/>
      <c r="F2" s="195"/>
    </row>
    <row r="3" spans="1:10" ht="14.4" customHeight="1" thickBot="1" x14ac:dyDescent="0.35">
      <c r="A3" s="224"/>
      <c r="B3" s="328"/>
      <c r="C3" s="327">
        <v>2015</v>
      </c>
      <c r="D3" s="285">
        <v>2016</v>
      </c>
      <c r="E3" s="7"/>
      <c r="F3" s="344">
        <v>2017</v>
      </c>
      <c r="G3" s="362"/>
      <c r="H3" s="362"/>
      <c r="I3" s="345"/>
    </row>
    <row r="4" spans="1:10" ht="14.4" customHeight="1" thickBot="1" x14ac:dyDescent="0.35">
      <c r="A4" s="289" t="s">
        <v>0</v>
      </c>
      <c r="B4" s="290" t="s">
        <v>221</v>
      </c>
      <c r="C4" s="363" t="s">
        <v>73</v>
      </c>
      <c r="D4" s="364"/>
      <c r="E4" s="291"/>
      <c r="F4" s="286" t="s">
        <v>73</v>
      </c>
      <c r="G4" s="287" t="s">
        <v>74</v>
      </c>
      <c r="H4" s="287" t="s">
        <v>68</v>
      </c>
      <c r="I4" s="288" t="s">
        <v>75</v>
      </c>
    </row>
    <row r="5" spans="1:10" ht="14.4" customHeight="1" x14ac:dyDescent="0.3">
      <c r="A5" s="448" t="s">
        <v>451</v>
      </c>
      <c r="B5" s="449" t="s">
        <v>452</v>
      </c>
      <c r="C5" s="450" t="s">
        <v>453</v>
      </c>
      <c r="D5" s="450" t="s">
        <v>453</v>
      </c>
      <c r="E5" s="450"/>
      <c r="F5" s="450" t="s">
        <v>453</v>
      </c>
      <c r="G5" s="450" t="s">
        <v>453</v>
      </c>
      <c r="H5" s="450" t="s">
        <v>453</v>
      </c>
      <c r="I5" s="451" t="s">
        <v>453</v>
      </c>
      <c r="J5" s="452" t="s">
        <v>69</v>
      </c>
    </row>
    <row r="6" spans="1:10" ht="14.4" customHeight="1" x14ac:dyDescent="0.3">
      <c r="A6" s="448" t="s">
        <v>451</v>
      </c>
      <c r="B6" s="449" t="s">
        <v>291</v>
      </c>
      <c r="C6" s="450">
        <v>2.4260200000000003</v>
      </c>
      <c r="D6" s="450">
        <v>0.14129</v>
      </c>
      <c r="E6" s="450"/>
      <c r="F6" s="450">
        <v>2.3228900000000001</v>
      </c>
      <c r="G6" s="450">
        <v>2.8333333333333335</v>
      </c>
      <c r="H6" s="450">
        <v>-0.51044333333333336</v>
      </c>
      <c r="I6" s="451">
        <v>0.81984352941176475</v>
      </c>
      <c r="J6" s="452" t="s">
        <v>1</v>
      </c>
    </row>
    <row r="7" spans="1:10" ht="14.4" customHeight="1" x14ac:dyDescent="0.3">
      <c r="A7" s="448" t="s">
        <v>451</v>
      </c>
      <c r="B7" s="449" t="s">
        <v>292</v>
      </c>
      <c r="C7" s="450">
        <v>0</v>
      </c>
      <c r="D7" s="450">
        <v>0</v>
      </c>
      <c r="E7" s="450"/>
      <c r="F7" s="450">
        <v>0.76124000000000003</v>
      </c>
      <c r="G7" s="450">
        <v>0.5</v>
      </c>
      <c r="H7" s="450">
        <v>0.26124000000000003</v>
      </c>
      <c r="I7" s="451">
        <v>1.5224800000000001</v>
      </c>
      <c r="J7" s="452" t="s">
        <v>1</v>
      </c>
    </row>
    <row r="8" spans="1:10" ht="14.4" customHeight="1" x14ac:dyDescent="0.3">
      <c r="A8" s="448" t="s">
        <v>451</v>
      </c>
      <c r="B8" s="449" t="s">
        <v>293</v>
      </c>
      <c r="C8" s="450">
        <v>0.41399999999999998</v>
      </c>
      <c r="D8" s="450">
        <v>0</v>
      </c>
      <c r="E8" s="450"/>
      <c r="F8" s="450" t="s">
        <v>453</v>
      </c>
      <c r="G8" s="450" t="s">
        <v>453</v>
      </c>
      <c r="H8" s="450" t="s">
        <v>453</v>
      </c>
      <c r="I8" s="451" t="s">
        <v>453</v>
      </c>
      <c r="J8" s="452" t="s">
        <v>1</v>
      </c>
    </row>
    <row r="9" spans="1:10" ht="14.4" customHeight="1" x14ac:dyDescent="0.3">
      <c r="A9" s="448" t="s">
        <v>451</v>
      </c>
      <c r="B9" s="449" t="s">
        <v>454</v>
      </c>
      <c r="C9" s="450">
        <v>2.8400200000000004</v>
      </c>
      <c r="D9" s="450">
        <v>0.14129</v>
      </c>
      <c r="E9" s="450"/>
      <c r="F9" s="450">
        <v>3.08413</v>
      </c>
      <c r="G9" s="450">
        <v>3.3333333333333335</v>
      </c>
      <c r="H9" s="450">
        <v>-0.24920333333333344</v>
      </c>
      <c r="I9" s="451">
        <v>0.92523899999999992</v>
      </c>
      <c r="J9" s="452" t="s">
        <v>455</v>
      </c>
    </row>
    <row r="11" spans="1:10" ht="14.4" customHeight="1" x14ac:dyDescent="0.3">
      <c r="A11" s="448" t="s">
        <v>451</v>
      </c>
      <c r="B11" s="449" t="s">
        <v>452</v>
      </c>
      <c r="C11" s="450" t="s">
        <v>453</v>
      </c>
      <c r="D11" s="450" t="s">
        <v>453</v>
      </c>
      <c r="E11" s="450"/>
      <c r="F11" s="450" t="s">
        <v>453</v>
      </c>
      <c r="G11" s="450" t="s">
        <v>453</v>
      </c>
      <c r="H11" s="450" t="s">
        <v>453</v>
      </c>
      <c r="I11" s="451" t="s">
        <v>453</v>
      </c>
      <c r="J11" s="452" t="s">
        <v>69</v>
      </c>
    </row>
    <row r="12" spans="1:10" ht="14.4" customHeight="1" x14ac:dyDescent="0.3">
      <c r="A12" s="448" t="s">
        <v>456</v>
      </c>
      <c r="B12" s="449" t="s">
        <v>457</v>
      </c>
      <c r="C12" s="450" t="s">
        <v>453</v>
      </c>
      <c r="D12" s="450" t="s">
        <v>453</v>
      </c>
      <c r="E12" s="450"/>
      <c r="F12" s="450" t="s">
        <v>453</v>
      </c>
      <c r="G12" s="450" t="s">
        <v>453</v>
      </c>
      <c r="H12" s="450" t="s">
        <v>453</v>
      </c>
      <c r="I12" s="451" t="s">
        <v>453</v>
      </c>
      <c r="J12" s="452" t="s">
        <v>0</v>
      </c>
    </row>
    <row r="13" spans="1:10" ht="14.4" customHeight="1" x14ac:dyDescent="0.3">
      <c r="A13" s="448" t="s">
        <v>456</v>
      </c>
      <c r="B13" s="449" t="s">
        <v>291</v>
      </c>
      <c r="C13" s="450">
        <v>2.4260200000000003</v>
      </c>
      <c r="D13" s="450">
        <v>0.14129</v>
      </c>
      <c r="E13" s="450"/>
      <c r="F13" s="450">
        <v>2.3228900000000001</v>
      </c>
      <c r="G13" s="450">
        <v>2.8333333333333335</v>
      </c>
      <c r="H13" s="450">
        <v>-0.51044333333333336</v>
      </c>
      <c r="I13" s="451">
        <v>0.81984352941176475</v>
      </c>
      <c r="J13" s="452" t="s">
        <v>1</v>
      </c>
    </row>
    <row r="14" spans="1:10" ht="14.4" customHeight="1" x14ac:dyDescent="0.3">
      <c r="A14" s="448" t="s">
        <v>456</v>
      </c>
      <c r="B14" s="449" t="s">
        <v>292</v>
      </c>
      <c r="C14" s="450">
        <v>0</v>
      </c>
      <c r="D14" s="450">
        <v>0</v>
      </c>
      <c r="E14" s="450"/>
      <c r="F14" s="450">
        <v>0.76124000000000003</v>
      </c>
      <c r="G14" s="450">
        <v>0.5</v>
      </c>
      <c r="H14" s="450">
        <v>0.26124000000000003</v>
      </c>
      <c r="I14" s="451">
        <v>1.5224800000000001</v>
      </c>
      <c r="J14" s="452" t="s">
        <v>1</v>
      </c>
    </row>
    <row r="15" spans="1:10" ht="14.4" customHeight="1" x14ac:dyDescent="0.3">
      <c r="A15" s="448" t="s">
        <v>456</v>
      </c>
      <c r="B15" s="449" t="s">
        <v>293</v>
      </c>
      <c r="C15" s="450">
        <v>0.41399999999999998</v>
      </c>
      <c r="D15" s="450">
        <v>0</v>
      </c>
      <c r="E15" s="450"/>
      <c r="F15" s="450" t="s">
        <v>453</v>
      </c>
      <c r="G15" s="450" t="s">
        <v>453</v>
      </c>
      <c r="H15" s="450" t="s">
        <v>453</v>
      </c>
      <c r="I15" s="451" t="s">
        <v>453</v>
      </c>
      <c r="J15" s="452" t="s">
        <v>1</v>
      </c>
    </row>
    <row r="16" spans="1:10" ht="14.4" customHeight="1" x14ac:dyDescent="0.3">
      <c r="A16" s="448" t="s">
        <v>456</v>
      </c>
      <c r="B16" s="449" t="s">
        <v>458</v>
      </c>
      <c r="C16" s="450">
        <v>2.8400200000000004</v>
      </c>
      <c r="D16" s="450">
        <v>0.14129</v>
      </c>
      <c r="E16" s="450"/>
      <c r="F16" s="450">
        <v>3.08413</v>
      </c>
      <c r="G16" s="450">
        <v>3.3333333333333335</v>
      </c>
      <c r="H16" s="450">
        <v>-0.24920333333333344</v>
      </c>
      <c r="I16" s="451">
        <v>0.92523899999999992</v>
      </c>
      <c r="J16" s="452" t="s">
        <v>459</v>
      </c>
    </row>
    <row r="17" spans="1:10" ht="14.4" customHeight="1" x14ac:dyDescent="0.3">
      <c r="A17" s="448" t="s">
        <v>453</v>
      </c>
      <c r="B17" s="449" t="s">
        <v>453</v>
      </c>
      <c r="C17" s="450" t="s">
        <v>453</v>
      </c>
      <c r="D17" s="450" t="s">
        <v>453</v>
      </c>
      <c r="E17" s="450"/>
      <c r="F17" s="450" t="s">
        <v>453</v>
      </c>
      <c r="G17" s="450" t="s">
        <v>453</v>
      </c>
      <c r="H17" s="450" t="s">
        <v>453</v>
      </c>
      <c r="I17" s="451" t="s">
        <v>453</v>
      </c>
      <c r="J17" s="452" t="s">
        <v>460</v>
      </c>
    </row>
    <row r="18" spans="1:10" ht="14.4" customHeight="1" x14ac:dyDescent="0.3">
      <c r="A18" s="448" t="s">
        <v>451</v>
      </c>
      <c r="B18" s="449" t="s">
        <v>454</v>
      </c>
      <c r="C18" s="450">
        <v>2.8400200000000004</v>
      </c>
      <c r="D18" s="450">
        <v>0.14129</v>
      </c>
      <c r="E18" s="450"/>
      <c r="F18" s="450">
        <v>3.08413</v>
      </c>
      <c r="G18" s="450">
        <v>3.3333333333333335</v>
      </c>
      <c r="H18" s="450">
        <v>-0.24920333333333344</v>
      </c>
      <c r="I18" s="451">
        <v>0.92523899999999992</v>
      </c>
      <c r="J18" s="452" t="s">
        <v>455</v>
      </c>
    </row>
  </sheetData>
  <mergeCells count="3">
    <mergeCell ref="F3:I3"/>
    <mergeCell ref="C4:D4"/>
    <mergeCell ref="A1:I1"/>
  </mergeCells>
  <conditionalFormatting sqref="F10 F19:F65537">
    <cfRule type="cellIs" dxfId="57" priority="18" stopIfTrue="1" operator="greaterThan">
      <formula>1</formula>
    </cfRule>
  </conditionalFormatting>
  <conditionalFormatting sqref="H5:H9">
    <cfRule type="expression" dxfId="56" priority="14">
      <formula>$H5&gt;0</formula>
    </cfRule>
  </conditionalFormatting>
  <conditionalFormatting sqref="I5:I9">
    <cfRule type="expression" dxfId="55" priority="15">
      <formula>$I5&gt;1</formula>
    </cfRule>
  </conditionalFormatting>
  <conditionalFormatting sqref="B5:B9">
    <cfRule type="expression" dxfId="54" priority="11">
      <formula>OR($J5="NS",$J5="SumaNS",$J5="Účet")</formula>
    </cfRule>
  </conditionalFormatting>
  <conditionalFormatting sqref="B5:D9 F5:I9">
    <cfRule type="expression" dxfId="53" priority="17">
      <formula>AND($J5&lt;&gt;"",$J5&lt;&gt;"mezeraKL")</formula>
    </cfRule>
  </conditionalFormatting>
  <conditionalFormatting sqref="B5:D9 F5:I9">
    <cfRule type="expression" dxfId="52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51" priority="13">
      <formula>OR($J5="SumaNS",$J5="NS")</formula>
    </cfRule>
  </conditionalFormatting>
  <conditionalFormatting sqref="A5:A9">
    <cfRule type="expression" dxfId="50" priority="9">
      <formula>AND($J5&lt;&gt;"mezeraKL",$J5&lt;&gt;"")</formula>
    </cfRule>
  </conditionalFormatting>
  <conditionalFormatting sqref="A5:A9">
    <cfRule type="expression" dxfId="49" priority="10">
      <formula>AND($J5&lt;&gt;"",$J5&lt;&gt;"mezeraKL")</formula>
    </cfRule>
  </conditionalFormatting>
  <conditionalFormatting sqref="H11:H18">
    <cfRule type="expression" dxfId="48" priority="5">
      <formula>$H11&gt;0</formula>
    </cfRule>
  </conditionalFormatting>
  <conditionalFormatting sqref="A11:A18">
    <cfRule type="expression" dxfId="47" priority="2">
      <formula>AND($J11&lt;&gt;"mezeraKL",$J11&lt;&gt;"")</formula>
    </cfRule>
  </conditionalFormatting>
  <conditionalFormatting sqref="I11:I18">
    <cfRule type="expression" dxfId="46" priority="6">
      <formula>$I11&gt;1</formula>
    </cfRule>
  </conditionalFormatting>
  <conditionalFormatting sqref="B11:B18">
    <cfRule type="expression" dxfId="45" priority="1">
      <formula>OR($J11="NS",$J11="SumaNS",$J11="Účet")</formula>
    </cfRule>
  </conditionalFormatting>
  <conditionalFormatting sqref="A11:D18 F11:I18">
    <cfRule type="expression" dxfId="44" priority="8">
      <formula>AND($J11&lt;&gt;"",$J11&lt;&gt;"mezeraKL")</formula>
    </cfRule>
  </conditionalFormatting>
  <conditionalFormatting sqref="B11:D18 F11:I18">
    <cfRule type="expression" dxfId="43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2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8" hidden="1" customWidth="1" outlineLevel="1"/>
    <col min="2" max="2" width="28.33203125" style="118" hidden="1" customWidth="1" outlineLevel="1"/>
    <col min="3" max="3" width="5.33203125" style="198" bestFit="1" customWidth="1" collapsed="1"/>
    <col min="4" max="4" width="18.77734375" style="202" customWidth="1"/>
    <col min="5" max="5" width="9" style="198" bestFit="1" customWidth="1"/>
    <col min="6" max="6" width="18.77734375" style="202" customWidth="1"/>
    <col min="7" max="7" width="5" style="198" customWidth="1"/>
    <col min="8" max="8" width="12.44140625" style="198" hidden="1" customWidth="1" outlineLevel="1"/>
    <col min="9" max="9" width="8.5546875" style="198" hidden="1" customWidth="1" outlineLevel="1"/>
    <col min="10" max="10" width="25.77734375" style="198" customWidth="1" collapsed="1"/>
    <col min="11" max="11" width="8.77734375" style="198" customWidth="1"/>
    <col min="12" max="13" width="7.77734375" style="196" customWidth="1"/>
    <col min="14" max="14" width="12.6640625" style="196" customWidth="1"/>
    <col min="15" max="16384" width="8.88671875" style="118"/>
  </cols>
  <sheetData>
    <row r="1" spans="1:14" ht="18.600000000000001" customHeight="1" thickBot="1" x14ac:dyDescent="0.4">
      <c r="A1" s="372" t="s">
        <v>152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</row>
    <row r="2" spans="1:14" ht="14.4" customHeight="1" thickBot="1" x14ac:dyDescent="0.35">
      <c r="A2" s="224" t="s">
        <v>282</v>
      </c>
      <c r="B2" s="57"/>
      <c r="C2" s="200"/>
      <c r="D2" s="200"/>
      <c r="E2" s="200"/>
      <c r="F2" s="200"/>
      <c r="G2" s="200"/>
      <c r="H2" s="200"/>
      <c r="I2" s="200"/>
      <c r="J2" s="200"/>
      <c r="K2" s="200"/>
      <c r="L2" s="201"/>
      <c r="M2" s="201"/>
      <c r="N2" s="201"/>
    </row>
    <row r="3" spans="1:14" ht="14.4" customHeight="1" thickBot="1" x14ac:dyDescent="0.35">
      <c r="A3" s="57"/>
      <c r="B3" s="57"/>
      <c r="C3" s="368"/>
      <c r="D3" s="369"/>
      <c r="E3" s="369"/>
      <c r="F3" s="369"/>
      <c r="G3" s="369"/>
      <c r="H3" s="369"/>
      <c r="I3" s="369"/>
      <c r="J3" s="370" t="s">
        <v>128</v>
      </c>
      <c r="K3" s="371"/>
      <c r="L3" s="88">
        <f>IF(M3&lt;&gt;0,N3/M3,0)</f>
        <v>58.133680198186553</v>
      </c>
      <c r="M3" s="88">
        <f>SUBTOTAL(9,M5:M1048576)</f>
        <v>30</v>
      </c>
      <c r="N3" s="89">
        <f>SUBTOTAL(9,N5:N1048576)</f>
        <v>1744.0104059455966</v>
      </c>
    </row>
    <row r="4" spans="1:14" s="197" customFormat="1" ht="14.4" customHeight="1" thickBot="1" x14ac:dyDescent="0.35">
      <c r="A4" s="453" t="s">
        <v>4</v>
      </c>
      <c r="B4" s="454" t="s">
        <v>5</v>
      </c>
      <c r="C4" s="454" t="s">
        <v>0</v>
      </c>
      <c r="D4" s="454" t="s">
        <v>6</v>
      </c>
      <c r="E4" s="454" t="s">
        <v>7</v>
      </c>
      <c r="F4" s="454" t="s">
        <v>1</v>
      </c>
      <c r="G4" s="454" t="s">
        <v>8</v>
      </c>
      <c r="H4" s="454" t="s">
        <v>9</v>
      </c>
      <c r="I4" s="454" t="s">
        <v>10</v>
      </c>
      <c r="J4" s="455" t="s">
        <v>11</v>
      </c>
      <c r="K4" s="455" t="s">
        <v>12</v>
      </c>
      <c r="L4" s="456" t="s">
        <v>136</v>
      </c>
      <c r="M4" s="456" t="s">
        <v>13</v>
      </c>
      <c r="N4" s="457" t="s">
        <v>148</v>
      </c>
    </row>
    <row r="5" spans="1:14" ht="14.4" customHeight="1" x14ac:dyDescent="0.3">
      <c r="A5" s="458" t="s">
        <v>451</v>
      </c>
      <c r="B5" s="459" t="s">
        <v>452</v>
      </c>
      <c r="C5" s="460" t="s">
        <v>456</v>
      </c>
      <c r="D5" s="461" t="s">
        <v>477</v>
      </c>
      <c r="E5" s="460" t="s">
        <v>461</v>
      </c>
      <c r="F5" s="461" t="s">
        <v>478</v>
      </c>
      <c r="G5" s="460" t="s">
        <v>462</v>
      </c>
      <c r="H5" s="460" t="s">
        <v>463</v>
      </c>
      <c r="I5" s="460" t="s">
        <v>464</v>
      </c>
      <c r="J5" s="460" t="s">
        <v>465</v>
      </c>
      <c r="K5" s="460" t="s">
        <v>466</v>
      </c>
      <c r="L5" s="462">
        <v>23.699600247733191</v>
      </c>
      <c r="M5" s="462">
        <v>24</v>
      </c>
      <c r="N5" s="463">
        <v>568.7904059455966</v>
      </c>
    </row>
    <row r="6" spans="1:14" ht="14.4" customHeight="1" x14ac:dyDescent="0.3">
      <c r="A6" s="464" t="s">
        <v>451</v>
      </c>
      <c r="B6" s="465" t="s">
        <v>452</v>
      </c>
      <c r="C6" s="466" t="s">
        <v>456</v>
      </c>
      <c r="D6" s="467" t="s">
        <v>477</v>
      </c>
      <c r="E6" s="466" t="s">
        <v>461</v>
      </c>
      <c r="F6" s="467" t="s">
        <v>478</v>
      </c>
      <c r="G6" s="466" t="s">
        <v>462</v>
      </c>
      <c r="H6" s="466" t="s">
        <v>467</v>
      </c>
      <c r="I6" s="466" t="s">
        <v>464</v>
      </c>
      <c r="J6" s="466" t="s">
        <v>468</v>
      </c>
      <c r="K6" s="466" t="s">
        <v>469</v>
      </c>
      <c r="L6" s="468">
        <v>206.99</v>
      </c>
      <c r="M6" s="468">
        <v>2</v>
      </c>
      <c r="N6" s="469">
        <v>413.98</v>
      </c>
    </row>
    <row r="7" spans="1:14" ht="14.4" customHeight="1" x14ac:dyDescent="0.3">
      <c r="A7" s="464" t="s">
        <v>451</v>
      </c>
      <c r="B7" s="465" t="s">
        <v>452</v>
      </c>
      <c r="C7" s="466" t="s">
        <v>456</v>
      </c>
      <c r="D7" s="467" t="s">
        <v>477</v>
      </c>
      <c r="E7" s="466" t="s">
        <v>461</v>
      </c>
      <c r="F7" s="467" t="s">
        <v>478</v>
      </c>
      <c r="G7" s="466" t="s">
        <v>462</v>
      </c>
      <c r="H7" s="466" t="s">
        <v>470</v>
      </c>
      <c r="I7" s="466" t="s">
        <v>464</v>
      </c>
      <c r="J7" s="466" t="s">
        <v>471</v>
      </c>
      <c r="K7" s="466"/>
      <c r="L7" s="468">
        <v>0</v>
      </c>
      <c r="M7" s="468">
        <v>0</v>
      </c>
      <c r="N7" s="469">
        <v>0</v>
      </c>
    </row>
    <row r="8" spans="1:14" ht="14.4" customHeight="1" thickBot="1" x14ac:dyDescent="0.35">
      <c r="A8" s="470" t="s">
        <v>451</v>
      </c>
      <c r="B8" s="471" t="s">
        <v>452</v>
      </c>
      <c r="C8" s="472" t="s">
        <v>456</v>
      </c>
      <c r="D8" s="473" t="s">
        <v>477</v>
      </c>
      <c r="E8" s="472" t="s">
        <v>472</v>
      </c>
      <c r="F8" s="473" t="s">
        <v>479</v>
      </c>
      <c r="G8" s="472" t="s">
        <v>462</v>
      </c>
      <c r="H8" s="472" t="s">
        <v>473</v>
      </c>
      <c r="I8" s="472" t="s">
        <v>474</v>
      </c>
      <c r="J8" s="472" t="s">
        <v>475</v>
      </c>
      <c r="K8" s="472" t="s">
        <v>476</v>
      </c>
      <c r="L8" s="474">
        <v>190.31</v>
      </c>
      <c r="M8" s="474">
        <v>4</v>
      </c>
      <c r="N8" s="475">
        <v>761.24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4" customWidth="1"/>
    <col min="2" max="2" width="5.44140625" style="196" bestFit="1" customWidth="1"/>
    <col min="3" max="3" width="6.109375" style="196" bestFit="1" customWidth="1"/>
    <col min="4" max="4" width="7.44140625" style="196" bestFit="1" customWidth="1"/>
    <col min="5" max="5" width="6.21875" style="196" bestFit="1" customWidth="1"/>
    <col min="6" max="6" width="6.33203125" style="199" bestFit="1" customWidth="1"/>
    <col min="7" max="7" width="6.109375" style="199" bestFit="1" customWidth="1"/>
    <col min="8" max="8" width="7.44140625" style="199" bestFit="1" customWidth="1"/>
    <col min="9" max="9" width="6.21875" style="199" bestFit="1" customWidth="1"/>
    <col min="10" max="10" width="5.44140625" style="196" bestFit="1" customWidth="1"/>
    <col min="11" max="11" width="6.109375" style="196" bestFit="1" customWidth="1"/>
    <col min="12" max="12" width="7.44140625" style="196" bestFit="1" customWidth="1"/>
    <col min="13" max="13" width="6.21875" style="196" bestFit="1" customWidth="1"/>
    <col min="14" max="14" width="5.33203125" style="199" bestFit="1" customWidth="1"/>
    <col min="15" max="15" width="6.109375" style="199" bestFit="1" customWidth="1"/>
    <col min="16" max="16" width="7.44140625" style="199" bestFit="1" customWidth="1"/>
    <col min="17" max="17" width="6.21875" style="199" bestFit="1" customWidth="1"/>
    <col min="18" max="16384" width="8.88671875" style="118"/>
  </cols>
  <sheetData>
    <row r="1" spans="1:17" ht="18.600000000000001" customHeight="1" thickBot="1" x14ac:dyDescent="0.4">
      <c r="A1" s="373" t="s">
        <v>222</v>
      </c>
      <c r="B1" s="373"/>
      <c r="C1" s="373"/>
      <c r="D1" s="373"/>
      <c r="E1" s="373"/>
      <c r="F1" s="336"/>
      <c r="G1" s="336"/>
      <c r="H1" s="336"/>
      <c r="I1" s="336"/>
      <c r="J1" s="367"/>
      <c r="K1" s="367"/>
      <c r="L1" s="367"/>
      <c r="M1" s="367"/>
      <c r="N1" s="367"/>
      <c r="O1" s="367"/>
      <c r="P1" s="367"/>
      <c r="Q1" s="367"/>
    </row>
    <row r="2" spans="1:17" ht="14.4" customHeight="1" thickBot="1" x14ac:dyDescent="0.35">
      <c r="A2" s="224" t="s">
        <v>282</v>
      </c>
      <c r="B2" s="203"/>
      <c r="C2" s="203"/>
      <c r="D2" s="203"/>
      <c r="E2" s="203"/>
    </row>
    <row r="3" spans="1:17" ht="14.4" customHeight="1" thickBot="1" x14ac:dyDescent="0.35">
      <c r="A3" s="293" t="s">
        <v>3</v>
      </c>
      <c r="B3" s="297">
        <f>SUM(B6:B1048576)</f>
        <v>19</v>
      </c>
      <c r="C3" s="298">
        <f>SUM(C6:C1048576)</f>
        <v>0</v>
      </c>
      <c r="D3" s="298">
        <f>SUM(D6:D1048576)</f>
        <v>0</v>
      </c>
      <c r="E3" s="299">
        <f>SUM(E6:E1048576)</f>
        <v>0</v>
      </c>
      <c r="F3" s="296">
        <f>IF(SUM($B3:$E3)=0,"",B3/SUM($B3:$E3))</f>
        <v>1</v>
      </c>
      <c r="G3" s="294">
        <f t="shared" ref="G3:I3" si="0">IF(SUM($B3:$E3)=0,"",C3/SUM($B3:$E3))</f>
        <v>0</v>
      </c>
      <c r="H3" s="294">
        <f t="shared" si="0"/>
        <v>0</v>
      </c>
      <c r="I3" s="295">
        <f t="shared" si="0"/>
        <v>0</v>
      </c>
      <c r="J3" s="298">
        <f>SUM(J6:J1048576)</f>
        <v>11</v>
      </c>
      <c r="K3" s="298">
        <f>SUM(K6:K1048576)</f>
        <v>0</v>
      </c>
      <c r="L3" s="298">
        <f>SUM(L6:L1048576)</f>
        <v>0</v>
      </c>
      <c r="M3" s="299">
        <f>SUM(M6:M1048576)</f>
        <v>0</v>
      </c>
      <c r="N3" s="296">
        <f>IF(SUM($J3:$M3)=0,"",J3/SUM($J3:$M3))</f>
        <v>1</v>
      </c>
      <c r="O3" s="294">
        <f t="shared" ref="O3:Q3" si="1">IF(SUM($J3:$M3)=0,"",K3/SUM($J3:$M3))</f>
        <v>0</v>
      </c>
      <c r="P3" s="294">
        <f t="shared" si="1"/>
        <v>0</v>
      </c>
      <c r="Q3" s="295">
        <f t="shared" si="1"/>
        <v>0</v>
      </c>
    </row>
    <row r="4" spans="1:17" ht="14.4" customHeight="1" thickBot="1" x14ac:dyDescent="0.35">
      <c r="A4" s="292"/>
      <c r="B4" s="377" t="s">
        <v>224</v>
      </c>
      <c r="C4" s="378"/>
      <c r="D4" s="378"/>
      <c r="E4" s="379"/>
      <c r="F4" s="374" t="s">
        <v>229</v>
      </c>
      <c r="G4" s="375"/>
      <c r="H4" s="375"/>
      <c r="I4" s="376"/>
      <c r="J4" s="377" t="s">
        <v>230</v>
      </c>
      <c r="K4" s="378"/>
      <c r="L4" s="378"/>
      <c r="M4" s="379"/>
      <c r="N4" s="374" t="s">
        <v>231</v>
      </c>
      <c r="O4" s="375"/>
      <c r="P4" s="375"/>
      <c r="Q4" s="376"/>
    </row>
    <row r="5" spans="1:17" ht="14.4" customHeight="1" thickBot="1" x14ac:dyDescent="0.35">
      <c r="A5" s="476" t="s">
        <v>223</v>
      </c>
      <c r="B5" s="477" t="s">
        <v>225</v>
      </c>
      <c r="C5" s="477" t="s">
        <v>226</v>
      </c>
      <c r="D5" s="477" t="s">
        <v>227</v>
      </c>
      <c r="E5" s="478" t="s">
        <v>228</v>
      </c>
      <c r="F5" s="479" t="s">
        <v>225</v>
      </c>
      <c r="G5" s="480" t="s">
        <v>226</v>
      </c>
      <c r="H5" s="480" t="s">
        <v>227</v>
      </c>
      <c r="I5" s="481" t="s">
        <v>228</v>
      </c>
      <c r="J5" s="477" t="s">
        <v>225</v>
      </c>
      <c r="K5" s="477" t="s">
        <v>226</v>
      </c>
      <c r="L5" s="477" t="s">
        <v>227</v>
      </c>
      <c r="M5" s="478" t="s">
        <v>228</v>
      </c>
      <c r="N5" s="479" t="s">
        <v>225</v>
      </c>
      <c r="O5" s="480" t="s">
        <v>226</v>
      </c>
      <c r="P5" s="480" t="s">
        <v>227</v>
      </c>
      <c r="Q5" s="481" t="s">
        <v>228</v>
      </c>
    </row>
    <row r="6" spans="1:17" ht="14.4" customHeight="1" x14ac:dyDescent="0.3">
      <c r="A6" s="486" t="s">
        <v>480</v>
      </c>
      <c r="B6" s="490"/>
      <c r="C6" s="462"/>
      <c r="D6" s="462"/>
      <c r="E6" s="463"/>
      <c r="F6" s="488"/>
      <c r="G6" s="482"/>
      <c r="H6" s="482"/>
      <c r="I6" s="492"/>
      <c r="J6" s="490"/>
      <c r="K6" s="462"/>
      <c r="L6" s="462"/>
      <c r="M6" s="463"/>
      <c r="N6" s="488"/>
      <c r="O6" s="482"/>
      <c r="P6" s="482"/>
      <c r="Q6" s="483"/>
    </row>
    <row r="7" spans="1:17" ht="14.4" customHeight="1" thickBot="1" x14ac:dyDescent="0.35">
      <c r="A7" s="487" t="s">
        <v>481</v>
      </c>
      <c r="B7" s="491">
        <v>19</v>
      </c>
      <c r="C7" s="474"/>
      <c r="D7" s="474"/>
      <c r="E7" s="475"/>
      <c r="F7" s="489">
        <v>1</v>
      </c>
      <c r="G7" s="484">
        <v>0</v>
      </c>
      <c r="H7" s="484">
        <v>0</v>
      </c>
      <c r="I7" s="493">
        <v>0</v>
      </c>
      <c r="J7" s="491">
        <v>11</v>
      </c>
      <c r="K7" s="474"/>
      <c r="L7" s="474"/>
      <c r="M7" s="475"/>
      <c r="N7" s="489">
        <v>1</v>
      </c>
      <c r="O7" s="484">
        <v>0</v>
      </c>
      <c r="P7" s="484">
        <v>0</v>
      </c>
      <c r="Q7" s="48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2017-04-05T12:24:19Z</dcterms:modified>
</cp:coreProperties>
</file>