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ZV Vykáz.-A" sheetId="344" r:id="rId7"/>
    <sheet name="ZV Vykáz.-A Detail" sheetId="345" r:id="rId8"/>
    <sheet name="ZV Vykáz.-H" sheetId="410" r:id="rId9"/>
    <sheet name="ZV Vykáz.-H Detail" sheetId="377" r:id="rId10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7" hidden="1">'ZV Vykáz.-A Detail'!$A$5:$P$5</definedName>
    <definedName name="_xlnm._FilterDatabase" localSheetId="9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6" i="414" s="1"/>
  <c r="A17" i="414"/>
  <c r="A16" i="414"/>
  <c r="A11" i="414"/>
  <c r="A7" i="414"/>
  <c r="A18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7" i="414" l="1"/>
  <c r="E16" i="414"/>
  <c r="E11" i="414"/>
  <c r="E7" i="414"/>
  <c r="D4" i="414"/>
  <c r="C4" i="414"/>
  <c r="E4" i="414" l="1"/>
  <c r="D15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G5" i="339" l="1"/>
  <c r="G6" i="339"/>
  <c r="G7" i="339"/>
  <c r="G8" i="339"/>
  <c r="G9" i="339"/>
  <c r="A4" i="383"/>
  <c r="A16" i="383"/>
  <c r="A15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8" i="414"/>
  <c r="C15" i="414"/>
  <c r="D14" i="414"/>
  <c r="E18" i="414" l="1"/>
  <c r="E15" i="414"/>
  <c r="G11" i="339"/>
  <c r="C6" i="340"/>
  <c r="C4" i="340" s="1"/>
  <c r="B4" i="340"/>
  <c r="F13" i="339"/>
  <c r="F15" i="339" s="1"/>
  <c r="G12" i="339"/>
  <c r="C14" i="414"/>
  <c r="B13" i="340" l="1"/>
  <c r="B12" i="340"/>
  <c r="D6" i="340"/>
  <c r="E14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<sst xmlns="http://schemas.openxmlformats.org/spreadsheetml/2006/main" count="462" uniqueCount="234">
  <si>
    <t>%</t>
  </si>
  <si>
    <t>Celkem</t>
  </si>
  <si>
    <t>Kč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</si>
  <si>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</si>
  <si>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</si>
  <si>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</si>
  <si>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</si>
  <si>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</si>
  <si>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</si>
  <si>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</si>
  <si>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</si>
  <si>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</si>
  <si>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</si>
  <si>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</si>
  <si>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</si>
  <si>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</si>
  <si>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</si>
  <si>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</si>
  <si>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</si>
  <si>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</si>
  <si>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</si>
  <si>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</si>
  <si>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</si>
  <si>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</si>
  <si>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</si>
  <si>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</si>
  <si>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</si>
  <si>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</si>
  <si>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</si>
  <si>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</si>
  <si>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</si>
  <si>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</si>
  <si>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</si>
  <si>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</si>
  <si>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</si>
  <si>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</si>
  <si>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</si>
  <si>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</si>
  <si>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</si>
  <si>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</si>
  <si>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</si>
  <si>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</si>
  <si>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</si>
  <si>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</si>
  <si>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</si>
  <si>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</si>
  <si>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</si>
  <si>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</si>
  <si>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</si>
  <si>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</si>
  <si>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</si>
  <si>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</si>
  <si>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</si>
  <si>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</si>
  <si>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</si>
  <si>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</si>
  <si>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</si>
  <si>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</si>
  <si>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</si>
  <si>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</si>
  <si>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</si>
  <si>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</si>
  <si>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</si>
  <si>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</si>
  <si>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</si>
  <si>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</si>
  <si>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</si>
  <si>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</si>
  <si>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</si>
  <si>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</si>
  <si>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</si>
  <si>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</si>
  <si>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</si>
  <si>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</si>
  <si>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</si>
  <si>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</si>
  <si>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</si>
  <si>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</si>
  <si>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</si>
  <si>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</si>
  <si>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</si>
  <si>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</si>
  <si>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</si>
  <si>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</si>
  <si>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</si>
  <si>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</si>
  <si>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</si>
  <si>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</si>
  <si>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</si>
  <si>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</si>
  <si>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</si>
  <si>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</si>
  <si>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</si>
  <si>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</si>
  <si>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</si>
  <si>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</si>
  <si>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</si>
  <si>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</si>
  <si>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</si>
  <si>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</si>
  <si>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</si>
  <si>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</si>
  <si>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</si>
  <si>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</si>
  <si>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</si>
  <si>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</si>
  <si>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</si>
  <si>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</si>
  <si>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</si>
  <si>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</si>
  <si>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</si>
  <si>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</si>
  <si>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</si>
  <si>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</si>
  <si>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</si>
  <si>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</si>
  <si>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</si>
  <si>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</si>
  <si>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</si>
  <si>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</si>
  <si>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</si>
  <si>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</si>
  <si>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</si>
  <si>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</si>
  <si>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</si>
  <si>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</si>
  <si>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</si>
  <si>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</si>
  <si>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farmakologie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</si>
  <si>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</si>
  <si>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</si>
  <si>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</si>
  <si>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</si>
  <si>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</si>
  <si>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</si>
  <si>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</si>
  <si>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48)</t>
  </si>
  <si>
    <t>50118     Náhradní díly</t>
  </si>
  <si>
    <t>--</t>
  </si>
  <si>
    <t>50118003     ND - ostatní techn.(dispečink)</t>
  </si>
  <si>
    <t>50119     DDHM a textil</t>
  </si>
  <si>
    <t>50119077     OOPP a prádlo pro zaměstnance (sk.T14)</t>
  </si>
  <si>
    <t>51     Služby</t>
  </si>
  <si>
    <t>51201     Cestovné zaměstnanců-tuzemské</t>
  </si>
  <si>
    <t>51201000     cestovné z mezd</t>
  </si>
  <si>
    <t>51201001     cestovné tuzemské (pokl.)</t>
  </si>
  <si>
    <t>51802     Spoje</t>
  </si>
  <si>
    <t>51802001     poštovné</t>
  </si>
  <si>
    <t>51802003     spoje -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</si>
  <si>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</si>
  <si>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</si>
  <si>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</si>
  <si>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</si>
  <si>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</si>
  <si>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</si>
  <si>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</si>
  <si>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</si>
  <si>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</si>
  <si>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</si>
  <si>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</si>
  <si>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</si>
  <si>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</si>
  <si>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</si>
  <si>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</si>
  <si>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</si>
  <si>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</si>
  <si>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</si>
  <si>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6     Účtová třída 6 - Výnosy</t>
  </si>
  <si>
    <t>60     Tržby za vlastní výkony a zboží</t>
  </si>
  <si>
    <t>602     Výnosy z prodeje služeb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</si>
  <si>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</si>
  <si>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</si>
  <si>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</si>
  <si>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</si>
  <si>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</si>
  <si>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</si>
  <si>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</si>
  <si>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</si>
  <si>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</si>
  <si>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</si>
  <si>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</si>
  <si>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</si>
  <si>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</si>
  <si>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</si>
  <si>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</si>
  <si>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</si>
  <si>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</si>
  <si>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</si>
  <si>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</si>
  <si>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</si>
  <si>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</si>
  <si>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</si>
  <si>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</si>
  <si>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206 - Pracoviště klinické farmakologie (mimo laboratorní</t>
  </si>
  <si>
    <t>206</t>
  </si>
  <si>
    <t>V</t>
  </si>
  <si>
    <t xml:space="preserve">26022  </t>
  </si>
  <si>
    <t xml:space="preserve">CÍLENÉ VYŠETŘENÍ KLINICKÝM FARMAKOLOGEM           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</si>
  <si>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</si>
  <si>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</si>
  <si>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</si>
  <si>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</si>
  <si>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</si>
  <si>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</si>
  <si>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08 - PORODNICKO-GYNEKOLOGICKÁ KLINIKA    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</si>
  <si>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</si>
  <si>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</si>
  <si>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</si>
  <si>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13 - OTOLARYNGOLOGICKÁ KLINIKA                                                       </t>
  </si>
  <si>
    <t xml:space="preserve">14 - OČNÍ KLINIKA                                                                    </t>
  </si>
  <si>
    <t xml:space="preserve">16 - KLINIKA PLICNÍCH NEMOCÍ A TUBERKULÓZY                                           </t>
  </si>
  <si>
    <t xml:space="preserve">21 - ONKOLOGICKÁ KLINIKA                                                             </t>
  </si>
  <si>
    <t xml:space="preserve">30 - ODDĚLENÍ GERIATRIE        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</si>
  <si>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</si>
  <si>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</si>
  <si>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>01</t>
  </si>
  <si>
    <t xml:space="preserve">26023  </t>
  </si>
  <si>
    <t xml:space="preserve">KONTROLNÍ VYŠETŘENÍ KLINICKÝM FARMAKOLOGEM        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</si>
  <si>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</si>
  <si>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</si>
  <si>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</si>
  <si>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</si>
  <si>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</si>
  <si>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</si>
  <si>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</si>
  <si>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</si>
  <si>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</si>
  <si>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</si>
  <si>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</si>
  <si>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16</t>
  </si>
  <si>
    <t>21</t>
  </si>
  <si>
    <t>30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</si>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</sst>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4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05">
    <xf numFmtId="0" fontId="0" fillId="0" borderId="0" xfId="0"/>
    <xf numFmtId="0" fontId="30" fillId="2" borderId="16" xfId="78" applyFont="1" applyFill="1" applyBorder="1"/>
    <xf numFmtId="0" fontId="31" fillId="2" borderId="17" xfId="78" applyFont="1" applyFill="1" applyBorder="1"/>
    <xf numFmtId="3" fontId="31" fillId="2" borderId="18" xfId="78" applyNumberFormat="1" applyFont="1" applyFill="1" applyBorder="1"/>
    <xf numFmtId="10" fontId="31" fillId="2" borderId="19" xfId="78" applyNumberFormat="1" applyFont="1" applyFill="1" applyBorder="1"/>
    <xf numFmtId="0" fontId="31" fillId="4" borderId="17" xfId="78" applyFont="1" applyFill="1" applyBorder="1"/>
    <xf numFmtId="3" fontId="31" fillId="4" borderId="18" xfId="78" applyNumberFormat="1" applyFont="1" applyFill="1" applyBorder="1"/>
    <xf numFmtId="10" fontId="31" fillId="4" borderId="19" xfId="78" applyNumberFormat="1" applyFont="1" applyFill="1" applyBorder="1"/>
    <xf numFmtId="172" fontId="31" fillId="3" borderId="18" xfId="78" applyNumberFormat="1" applyFont="1" applyFill="1" applyBorder="1"/>
    <xf numFmtId="10" fontId="31" fillId="3" borderId="19" xfId="78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3" xfId="78" applyNumberFormat="1" applyFont="1" applyFill="1" applyBorder="1"/>
    <xf numFmtId="10" fontId="30" fillId="5" borderId="24" xfId="78" applyNumberFormat="1" applyFont="1" applyFill="1" applyBorder="1"/>
    <xf numFmtId="3" fontId="30" fillId="5" borderId="7" xfId="78" applyNumberFormat="1" applyFont="1" applyFill="1" applyBorder="1"/>
    <xf numFmtId="10" fontId="30" fillId="5" borderId="9" xfId="78" applyNumberFormat="1" applyFont="1" applyFill="1" applyBorder="1"/>
    <xf numFmtId="3" fontId="30" fillId="5" borderId="11" xfId="78" applyNumberFormat="1" applyFont="1" applyFill="1" applyBorder="1"/>
    <xf numFmtId="10" fontId="30" fillId="5" borderId="13" xfId="78" applyNumberFormat="1" applyFont="1" applyFill="1" applyBorder="1"/>
    <xf numFmtId="0" fontId="30" fillId="5" borderId="0" xfId="78" applyFont="1" applyFill="1"/>
    <xf numFmtId="10" fontId="30" fillId="5" borderId="0" xfId="78" applyNumberFormat="1" applyFont="1" applyFill="1"/>
    <xf numFmtId="0" fontId="39" fillId="2" borderId="32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3" fontId="30" fillId="5" borderId="3" xfId="78" applyNumberFormat="1" applyFont="1" applyFill="1" applyBorder="1"/>
    <xf numFmtId="3" fontId="30" fillId="5" borderId="28" xfId="78" applyNumberFormat="1" applyFont="1" applyFill="1" applyBorder="1"/>
    <xf numFmtId="3" fontId="30" fillId="5" borderId="24" xfId="78" applyNumberFormat="1" applyFont="1" applyFill="1" applyBorder="1"/>
    <xf numFmtId="3" fontId="30" fillId="5" borderId="8" xfId="78" applyNumberFormat="1" applyFont="1" applyFill="1" applyBorder="1"/>
    <xf numFmtId="3" fontId="30" fillId="5" borderId="9" xfId="78" applyNumberFormat="1" applyFont="1" applyFill="1" applyBorder="1"/>
    <xf numFmtId="3" fontId="30" fillId="5" borderId="12" xfId="78" applyNumberFormat="1" applyFont="1" applyFill="1" applyBorder="1"/>
    <xf numFmtId="3" fontId="30" fillId="5" borderId="13" xfId="78" applyNumberFormat="1" applyFont="1" applyFill="1" applyBorder="1"/>
    <xf numFmtId="3" fontId="31" fillId="2" borderId="26" xfId="78" applyNumberFormat="1" applyFont="1" applyFill="1" applyBorder="1"/>
    <xf numFmtId="3" fontId="31" fillId="2" borderId="19" xfId="78" applyNumberFormat="1" applyFont="1" applyFill="1" applyBorder="1"/>
    <xf numFmtId="3" fontId="31" fillId="4" borderId="26" xfId="78" applyNumberFormat="1" applyFont="1" applyFill="1" applyBorder="1"/>
    <xf numFmtId="3" fontId="31" fillId="4" borderId="19" xfId="78" applyNumberFormat="1" applyFont="1" applyFill="1" applyBorder="1"/>
    <xf numFmtId="172" fontId="31" fillId="3" borderId="26" xfId="78" applyNumberFormat="1" applyFont="1" applyFill="1" applyBorder="1"/>
    <xf numFmtId="172" fontId="31" fillId="3" borderId="19" xfId="78" applyNumberFormat="1" applyFont="1" applyFill="1" applyBorder="1"/>
    <xf numFmtId="0" fontId="33" fillId="2" borderId="22" xfId="74" applyFont="1" applyFill="1" applyBorder="1" applyAlignment="1">
      <alignment horizontal="center"/>
    </xf>
    <xf numFmtId="0" fontId="33" fillId="2" borderId="21" xfId="74" applyFont="1" applyFill="1" applyBorder="1" applyAlignment="1">
      <alignment horizontal="center"/>
    </xf>
    <xf numFmtId="0" fontId="33" fillId="2" borderId="23" xfId="78" applyFont="1" applyFill="1" applyBorder="1" applyAlignment="1">
      <alignment horizontal="center"/>
    </xf>
    <xf numFmtId="0" fontId="33" fillId="2" borderId="24" xfId="78" applyFont="1" applyFill="1" applyBorder="1" applyAlignment="1">
      <alignment horizontal="center"/>
    </xf>
    <xf numFmtId="0" fontId="33" fillId="2" borderId="20" xfId="78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5" xfId="0" applyFont="1" applyFill="1" applyBorder="1" applyAlignment="1"/>
    <xf numFmtId="0" fontId="42" fillId="0" borderId="0" xfId="0" applyFont="1" applyFill="1" applyBorder="1" applyAlignment="1"/>
    <xf numFmtId="0" fontId="34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7" fillId="0" borderId="0" xfId="78" applyFill="1"/>
    <xf numFmtId="0" fontId="8" fillId="0" borderId="35" xfId="78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1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9" fillId="0" borderId="35" xfId="79" applyFont="1" applyFill="1" applyBorder="1" applyAlignment="1"/>
    <xf numFmtId="9" fontId="0" fillId="0" borderId="0" xfId="0" applyNumberFormat="1" applyFill="1"/>
    <xf numFmtId="3" fontId="0" fillId="0" borderId="0" xfId="0" applyNumberFormat="1" applyFill="1"/>
    <xf numFmtId="0" fontId="43" fillId="0" borderId="37" xfId="0" applyFont="1" applyFill="1" applyBorder="1" applyAlignment="1"/>
    <xf numFmtId="165" fontId="3" fillId="0" borderId="50" xfId="53" applyNumberFormat="1" applyFont="1" applyFill="1" applyBorder="1"/>
    <xf numFmtId="9" fontId="3" fillId="0" borderId="50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3" fillId="0" borderId="0" xfId="0" applyFont="1" applyFill="1" applyBorder="1" applyAlignment="1"/>
    <xf numFmtId="0" fontId="34" fillId="0" borderId="29" xfId="0" applyFont="1" applyFill="1" applyBorder="1" applyAlignment="1"/>
    <xf numFmtId="0" fontId="34" fillId="0" borderId="30" xfId="0" applyFont="1" applyFill="1" applyBorder="1" applyAlignment="1"/>
    <xf numFmtId="0" fontId="34" fillId="0" borderId="45" xfId="0" applyFont="1" applyFill="1" applyBorder="1" applyAlignment="1"/>
    <xf numFmtId="0" fontId="3" fillId="2" borderId="48" xfId="53" applyFont="1" applyFill="1" applyBorder="1" applyAlignment="1">
      <alignment horizontal="right"/>
    </xf>
    <xf numFmtId="0" fontId="28" fillId="3" borderId="7" xfId="1" applyFill="1" applyBorder="1"/>
    <xf numFmtId="0" fontId="34" fillId="0" borderId="24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3" xfId="1" applyFill="1" applyBorder="1"/>
    <xf numFmtId="0" fontId="34" fillId="5" borderId="21" xfId="0" applyFont="1" applyFill="1" applyBorder="1"/>
    <xf numFmtId="0" fontId="34" fillId="5" borderId="35" xfId="0" applyFont="1" applyFill="1" applyBorder="1"/>
    <xf numFmtId="0" fontId="34" fillId="5" borderId="37" xfId="0" applyFont="1" applyFill="1" applyBorder="1"/>
    <xf numFmtId="0" fontId="28" fillId="4" borderId="3" xfId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0" fillId="0" borderId="0" xfId="0" applyBorder="1" applyAlignment="1"/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6" fillId="0" borderId="0" xfId="0" applyFont="1" applyFill="1"/>
    <xf numFmtId="16" fontId="26" fillId="0" borderId="0" xfId="0" quotePrefix="1" applyNumberFormat="1" applyFont="1" applyFill="1"/>
    <xf numFmtId="0" fontId="26" fillId="0" borderId="0" xfId="0" quotePrefix="1" applyFont="1" applyFill="1"/>
    <xf numFmtId="172" fontId="26" fillId="0" borderId="0" xfId="0" applyNumberFormat="1" applyFont="1" applyFill="1"/>
    <xf numFmtId="173" fontId="26" fillId="0" borderId="0" xfId="0" applyNumberFormat="1" applyFont="1" applyFill="1"/>
    <xf numFmtId="3" fontId="26" fillId="0" borderId="0" xfId="0" applyNumberFormat="1" applyFont="1" applyFill="1"/>
    <xf numFmtId="0" fontId="33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3" fillId="0" borderId="37" xfId="0" applyNumberFormat="1" applyFont="1" applyFill="1" applyBorder="1" applyAlignment="1"/>
    <xf numFmtId="3" fontId="3" fillId="0" borderId="49" xfId="53" applyNumberFormat="1" applyFont="1" applyFill="1" applyBorder="1"/>
    <xf numFmtId="3" fontId="3" fillId="0" borderId="50" xfId="53" applyNumberFormat="1" applyFont="1" applyFill="1" applyBorder="1"/>
    <xf numFmtId="3" fontId="3" fillId="0" borderId="51" xfId="53" applyNumberFormat="1" applyFont="1" applyFill="1" applyBorder="1"/>
    <xf numFmtId="9" fontId="43" fillId="0" borderId="37" xfId="0" applyNumberFormat="1" applyFont="1" applyFill="1" applyBorder="1" applyAlignment="1"/>
    <xf numFmtId="0" fontId="33" fillId="2" borderId="37" xfId="0" applyNumberFormat="1" applyFont="1" applyFill="1" applyBorder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40" xfId="0" applyNumberFormat="1" applyFont="1" applyFill="1" applyBorder="1"/>
    <xf numFmtId="3" fontId="27" fillId="2" borderId="41" xfId="0" applyNumberFormat="1" applyFont="1" applyFill="1" applyBorder="1"/>
    <xf numFmtId="9" fontId="27" fillId="2" borderId="44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7" fillId="2" borderId="42" xfId="0" applyFont="1" applyFill="1" applyBorder="1" applyAlignment="1"/>
    <xf numFmtId="0" fontId="27" fillId="2" borderId="33" xfId="0" applyFont="1" applyFill="1" applyBorder="1" applyAlignment="1">
      <alignment horizontal="left" indent="2"/>
    </xf>
    <xf numFmtId="0" fontId="27" fillId="4" borderId="34" xfId="0" applyFont="1" applyFill="1" applyBorder="1" applyAlignment="1">
      <alignment horizontal="left" indent="2"/>
    </xf>
    <xf numFmtId="0" fontId="27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7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8" fillId="2" borderId="16" xfId="1" applyFill="1" applyBorder="1"/>
    <xf numFmtId="0" fontId="28" fillId="0" borderId="0" xfId="1" applyFill="1"/>
    <xf numFmtId="0" fontId="28" fillId="4" borderId="32" xfId="1" applyFill="1" applyBorder="1"/>
    <xf numFmtId="0" fontId="28" fillId="4" borderId="16" xfId="1" applyFill="1" applyBorder="1"/>
    <xf numFmtId="0" fontId="28" fillId="2" borderId="33" xfId="1" applyFill="1" applyBorder="1" applyAlignment="1">
      <alignment horizontal="left" indent="2"/>
    </xf>
    <xf numFmtId="0" fontId="28" fillId="2" borderId="33" xfId="1" applyFill="1" applyBorder="1" applyAlignment="1">
      <alignment horizontal="left" indent="4"/>
    </xf>
    <xf numFmtId="0" fontId="28" fillId="4" borderId="33" xfId="1" applyFill="1" applyBorder="1" applyAlignment="1">
      <alignment horizontal="left" indent="2"/>
    </xf>
    <xf numFmtId="0" fontId="49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50" fillId="3" borderId="17" xfId="1" applyFont="1" applyFill="1" applyBorder="1"/>
    <xf numFmtId="0" fontId="50" fillId="2" borderId="33" xfId="1" applyFont="1" applyFill="1" applyBorder="1" applyAlignment="1"/>
    <xf numFmtId="0" fontId="50" fillId="4" borderId="17" xfId="1" applyFont="1" applyFill="1" applyBorder="1" applyAlignment="1">
      <alignment horizontal="left"/>
    </xf>
    <xf numFmtId="0" fontId="50" fillId="2" borderId="17" xfId="1" applyFont="1" applyFill="1" applyBorder="1" applyAlignment="1"/>
    <xf numFmtId="0" fontId="50" fillId="4" borderId="42" xfId="1" applyFont="1" applyFill="1" applyBorder="1" applyAlignment="1">
      <alignment horizontal="left"/>
    </xf>
    <xf numFmtId="0" fontId="50" fillId="4" borderId="33" xfId="1" applyFont="1" applyFill="1" applyBorder="1" applyAlignment="1">
      <alignment horizontal="left"/>
    </xf>
    <xf numFmtId="0" fontId="27" fillId="2" borderId="25" xfId="0" applyFont="1" applyFill="1" applyBorder="1" applyAlignment="1">
      <alignment horizontal="right"/>
    </xf>
    <xf numFmtId="170" fontId="27" fillId="0" borderId="18" xfId="0" applyNumberFormat="1" applyFont="1" applyFill="1" applyBorder="1" applyAlignment="1"/>
    <xf numFmtId="170" fontId="27" fillId="0" borderId="26" xfId="0" applyNumberFormat="1" applyFont="1" applyFill="1" applyBorder="1" applyAlignment="1"/>
    <xf numFmtId="9" fontId="27" fillId="0" borderId="39" xfId="0" applyNumberFormat="1" applyFont="1" applyFill="1" applyBorder="1" applyAlignment="1"/>
    <xf numFmtId="9" fontId="27" fillId="0" borderId="19" xfId="0" applyNumberFormat="1" applyFont="1" applyFill="1" applyBorder="1" applyAlignment="1"/>
    <xf numFmtId="170" fontId="27" fillId="0" borderId="27" xfId="0" applyNumberFormat="1" applyFont="1" applyFill="1" applyBorder="1" applyAlignment="1"/>
    <xf numFmtId="0" fontId="41" fillId="3" borderId="25" xfId="0" applyFont="1" applyFill="1" applyBorder="1" applyAlignment="1"/>
    <xf numFmtId="0" fontId="0" fillId="0" borderId="36" xfId="0" applyBorder="1" applyAlignment="1"/>
    <xf numFmtId="0" fontId="41" fillId="2" borderId="25" xfId="0" applyFont="1" applyFill="1" applyBorder="1" applyAlignment="1"/>
    <xf numFmtId="0" fontId="41" fillId="4" borderId="25" xfId="0" applyFont="1" applyFill="1" applyBorder="1" applyAlignment="1"/>
    <xf numFmtId="0" fontId="43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4" fillId="5" borderId="15" xfId="78" applyFont="1" applyFill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3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2" borderId="20" xfId="78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7" fillId="2" borderId="44" xfId="0" applyFont="1" applyFill="1" applyBorder="1" applyAlignment="1">
      <alignment vertical="center"/>
    </xf>
    <xf numFmtId="3" fontId="33" fillId="2" borderId="46" xfId="26" applyNumberFormat="1" applyFont="1" applyFill="1" applyBorder="1" applyAlignment="1">
      <alignment horizontal="center"/>
    </xf>
    <xf numFmtId="3" fontId="33" fillId="2" borderId="37" xfId="26" applyNumberFormat="1" applyFont="1" applyFill="1" applyBorder="1" applyAlignment="1">
      <alignment horizontal="center"/>
    </xf>
    <xf numFmtId="3" fontId="33" fillId="2" borderId="38" xfId="26" applyNumberFormat="1" applyFont="1" applyFill="1" applyBorder="1" applyAlignment="1">
      <alignment horizontal="center"/>
    </xf>
    <xf numFmtId="3" fontId="33" fillId="2" borderId="38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top" wrapText="1"/>
    </xf>
    <xf numFmtId="0" fontId="33" fillId="2" borderId="29" xfId="0" applyFont="1" applyFill="1" applyBorder="1" applyAlignment="1">
      <alignment horizontal="center" vertical="top"/>
    </xf>
    <xf numFmtId="49" fontId="33" fillId="2" borderId="29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6" xfId="0" quotePrefix="1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/>
    </xf>
    <xf numFmtId="9" fontId="47" fillId="2" borderId="38" xfId="0" applyNumberFormat="1" applyFont="1" applyFill="1" applyBorder="1" applyAlignment="1">
      <alignment horizontal="center" vertical="top"/>
    </xf>
    <xf numFmtId="0" fontId="33" fillId="2" borderId="46" xfId="0" quotePrefix="1" applyNumberFormat="1" applyFont="1" applyFill="1" applyBorder="1" applyAlignment="1">
      <alignment horizontal="center"/>
    </xf>
    <xf numFmtId="0" fontId="33" fillId="2" borderId="38" xfId="0" applyNumberFormat="1" applyFont="1" applyFill="1" applyBorder="1" applyAlignment="1">
      <alignment horizontal="center"/>
    </xf>
    <xf numFmtId="0" fontId="47" fillId="2" borderId="38" xfId="0" applyNumberFormat="1" applyFont="1" applyFill="1" applyBorder="1" applyAlignment="1">
      <alignment horizontal="center" vertical="top"/>
    </xf>
    <xf numFmtId="0" fontId="51" fillId="0" borderId="0" xfId="1" applyFont="1" applyFill="1"/>
    <xf numFmtId="3" fontId="35" fillId="7" borderId="53" xfId="0" applyNumberFormat="1" applyFont="1" applyFill="1" applyBorder="1" applyAlignment="1">
      <alignment horizontal="right" vertical="top"/>
    </xf>
    <xf numFmtId="3" fontId="35" fillId="7" borderId="54" xfId="0" applyNumberFormat="1" applyFont="1" applyFill="1" applyBorder="1" applyAlignment="1">
      <alignment horizontal="right" vertical="top"/>
    </xf>
    <xf numFmtId="174" fontId="35" fillId="7" borderId="55" xfId="0" applyNumberFormat="1" applyFont="1" applyFill="1" applyBorder="1" applyAlignment="1">
      <alignment horizontal="right" vertical="top"/>
    </xf>
    <xf numFmtId="3" fontId="35" fillId="0" borderId="53" xfId="0" applyNumberFormat="1" applyFont="1" applyBorder="1" applyAlignment="1">
      <alignment horizontal="right" vertical="top"/>
    </xf>
    <xf numFmtId="174" fontId="35" fillId="7" borderId="56" xfId="0" applyNumberFormat="1" applyFont="1" applyFill="1" applyBorder="1" applyAlignment="1">
      <alignment horizontal="right" vertical="top"/>
    </xf>
    <xf numFmtId="3" fontId="37" fillId="7" borderId="58" xfId="0" applyNumberFormat="1" applyFont="1" applyFill="1" applyBorder="1" applyAlignment="1">
      <alignment horizontal="right" vertical="top"/>
    </xf>
    <xf numFmtId="3" fontId="37" fillId="7" borderId="59" xfId="0" applyNumberFormat="1" applyFont="1" applyFill="1" applyBorder="1" applyAlignment="1">
      <alignment horizontal="right" vertical="top"/>
    </xf>
    <xf numFmtId="174" fontId="37" fillId="7" borderId="60" xfId="0" applyNumberFormat="1" applyFont="1" applyFill="1" applyBorder="1" applyAlignment="1">
      <alignment horizontal="right" vertical="top"/>
    </xf>
    <xf numFmtId="3" fontId="37" fillId="0" borderId="58" xfId="0" applyNumberFormat="1" applyFont="1" applyBorder="1" applyAlignment="1">
      <alignment horizontal="right" vertical="top"/>
    </xf>
    <xf numFmtId="174" fontId="37" fillId="7" borderId="61" xfId="0" applyNumberFormat="1" applyFont="1" applyFill="1" applyBorder="1" applyAlignment="1">
      <alignment horizontal="right" vertical="top"/>
    </xf>
    <xf numFmtId="0" fontId="37" fillId="7" borderId="60" xfId="0" applyFont="1" applyFill="1" applyBorder="1" applyAlignment="1">
      <alignment horizontal="right" vertical="top"/>
    </xf>
    <xf numFmtId="0" fontId="35" fillId="7" borderId="55" xfId="0" applyFont="1" applyFill="1" applyBorder="1" applyAlignment="1">
      <alignment horizontal="right" vertical="top"/>
    </xf>
    <xf numFmtId="0" fontId="37" fillId="7" borderId="61" xfId="0" applyFont="1" applyFill="1" applyBorder="1" applyAlignment="1">
      <alignment horizontal="right" vertical="top"/>
    </xf>
    <xf numFmtId="0" fontId="35" fillId="7" borderId="56" xfId="0" applyFont="1" applyFill="1" applyBorder="1" applyAlignment="1">
      <alignment horizontal="right" vertical="top"/>
    </xf>
    <xf numFmtId="3" fontId="37" fillId="0" borderId="62" xfId="0" applyNumberFormat="1" applyFont="1" applyBorder="1" applyAlignment="1">
      <alignment horizontal="right" vertical="top"/>
    </xf>
    <xf numFmtId="3" fontId="37" fillId="0" borderId="63" xfId="0" applyNumberFormat="1" applyFont="1" applyBorder="1" applyAlignment="1">
      <alignment horizontal="right" vertical="top"/>
    </xf>
    <xf numFmtId="3" fontId="37" fillId="0" borderId="64" xfId="0" applyNumberFormat="1" applyFont="1" applyBorder="1" applyAlignment="1">
      <alignment horizontal="right" vertical="top"/>
    </xf>
    <xf numFmtId="174" fontId="37" fillId="7" borderId="65" xfId="0" applyNumberFormat="1" applyFont="1" applyFill="1" applyBorder="1" applyAlignment="1">
      <alignment horizontal="right" vertical="top"/>
    </xf>
    <xf numFmtId="0" fontId="39" fillId="8" borderId="52" xfId="0" applyFont="1" applyFill="1" applyBorder="1" applyAlignment="1">
      <alignment vertical="top"/>
    </xf>
    <xf numFmtId="0" fontId="39" fillId="8" borderId="52" xfId="0" applyFont="1" applyFill="1" applyBorder="1" applyAlignment="1">
      <alignment vertical="top" indent="2"/>
    </xf>
    <xf numFmtId="0" fontId="39" fillId="8" borderId="52" xfId="0" applyFont="1" applyFill="1" applyBorder="1" applyAlignment="1">
      <alignment vertical="top" indent="4"/>
    </xf>
    <xf numFmtId="0" fontId="40" fillId="8" borderId="57" xfId="0" applyFont="1" applyFill="1" applyBorder="1" applyAlignment="1">
      <alignment vertical="top" indent="6"/>
    </xf>
    <xf numFmtId="0" fontId="39" fillId="8" borderId="52" xfId="0" applyFont="1" applyFill="1" applyBorder="1" applyAlignment="1">
      <alignment vertical="top" indent="8"/>
    </xf>
    <xf numFmtId="0" fontId="40" fillId="8" borderId="57" xfId="0" applyFont="1" applyFill="1" applyBorder="1" applyAlignment="1">
      <alignment vertical="top" indent="2"/>
    </xf>
    <xf numFmtId="0" fontId="40" fillId="8" borderId="57" xfId="0" applyFont="1" applyFill="1" applyBorder="1" applyAlignment="1">
      <alignment vertical="top" indent="4"/>
    </xf>
    <xf numFmtId="0" fontId="34" fillId="8" borderId="52" xfId="0" applyFont="1" applyFill="1" applyBorder="1"/>
    <xf numFmtId="0" fontId="40" fillId="8" borderId="17" xfId="0" applyFont="1" applyFill="1" applyBorder="1" applyAlignment="1">
      <alignment vertical="top"/>
    </xf>
    <xf numFmtId="0" fontId="0" fillId="2" borderId="47" xfId="0" applyFill="1" applyBorder="1" applyAlignment="1">
      <alignment vertical="center"/>
    </xf>
    <xf numFmtId="0" fontId="33" fillId="2" borderId="14" xfId="26" applyNumberFormat="1" applyFont="1" applyFill="1" applyBorder="1"/>
    <xf numFmtId="0" fontId="33" fillId="2" borderId="0" xfId="26" applyNumberFormat="1" applyFont="1" applyFill="1" applyBorder="1"/>
    <xf numFmtId="0" fontId="33" fillId="2" borderId="15" xfId="26" applyNumberFormat="1" applyFont="1" applyFill="1" applyBorder="1" applyAlignment="1">
      <alignment horizontal="right"/>
    </xf>
    <xf numFmtId="0" fontId="0" fillId="0" borderId="18" xfId="0" applyFill="1" applyBorder="1"/>
    <xf numFmtId="170" fontId="0" fillId="0" borderId="26" xfId="0" applyNumberFormat="1" applyFill="1" applyBorder="1"/>
    <xf numFmtId="0" fontId="0" fillId="0" borderId="26" xfId="0" applyFill="1" applyBorder="1"/>
    <xf numFmtId="9" fontId="0" fillId="0" borderId="26" xfId="0" applyNumberFormat="1" applyFill="1" applyBorder="1"/>
    <xf numFmtId="9" fontId="0" fillId="0" borderId="19" xfId="0" applyNumberFormat="1" applyFill="1" applyBorder="1"/>
    <xf numFmtId="0" fontId="27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3" fillId="2" borderId="30" xfId="0" applyFont="1" applyFill="1" applyBorder="1" applyAlignment="1">
      <alignment horizontal="center" vertical="top"/>
    </xf>
    <xf numFmtId="49" fontId="33" fillId="2" borderId="30" xfId="0" applyNumberFormat="1" applyFont="1" applyFill="1" applyBorder="1" applyAlignment="1">
      <alignment horizontal="center" vertical="top"/>
    </xf>
    <xf numFmtId="0" fontId="33" fillId="2" borderId="30" xfId="0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left"/>
    </xf>
    <xf numFmtId="3" fontId="33" fillId="2" borderId="15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7" fillId="2" borderId="15" xfId="0" applyNumberFormat="1" applyFont="1" applyFill="1" applyBorder="1" applyAlignment="1">
      <alignment horizontal="center" vertical="top"/>
    </xf>
    <xf numFmtId="3" fontId="33" fillId="2" borderId="15" xfId="0" applyNumberFormat="1" applyFont="1" applyFill="1" applyBorder="1" applyAlignment="1">
      <alignment horizontal="center" vertical="top"/>
    </xf>
    <xf numFmtId="3" fontId="0" fillId="0" borderId="26" xfId="0" applyNumberFormat="1" applyFill="1" applyBorder="1"/>
    <xf numFmtId="3" fontId="0" fillId="0" borderId="19" xfId="0" applyNumberFormat="1" applyFill="1" applyBorder="1"/>
    <xf numFmtId="0" fontId="0" fillId="0" borderId="23" xfId="0" applyFill="1" applyBorder="1"/>
    <xf numFmtId="170" fontId="0" fillId="0" borderId="28" xfId="0" applyNumberFormat="1" applyFill="1" applyBorder="1"/>
    <xf numFmtId="0" fontId="0" fillId="0" borderId="28" xfId="0" applyFill="1" applyBorder="1"/>
    <xf numFmtId="9" fontId="0" fillId="0" borderId="28" xfId="0" applyNumberFormat="1" applyFill="1" applyBorder="1"/>
    <xf numFmtId="9" fontId="0" fillId="0" borderId="24" xfId="0" applyNumberFormat="1" applyFill="1" applyBorder="1"/>
    <xf numFmtId="0" fontId="0" fillId="0" borderId="7" xfId="0" applyFill="1" applyBorder="1"/>
    <xf numFmtId="170" fontId="0" fillId="0" borderId="8" xfId="0" applyNumberFormat="1" applyFill="1" applyBorder="1"/>
    <xf numFmtId="0" fontId="0" fillId="0" borderId="8" xfId="0" applyFill="1" applyBorder="1"/>
    <xf numFmtId="9" fontId="0" fillId="0" borderId="8" xfId="0" applyNumberFormat="1" applyFill="1" applyBorder="1"/>
    <xf numFmtId="9" fontId="0" fillId="0" borderId="9" xfId="0" applyNumberFormat="1" applyFill="1" applyBorder="1"/>
    <xf numFmtId="0" fontId="0" fillId="0" borderId="20" xfId="0" applyFill="1" applyBorder="1"/>
    <xf numFmtId="170" fontId="0" fillId="0" borderId="22" xfId="0" applyNumberFormat="1" applyFill="1" applyBorder="1"/>
    <xf numFmtId="0" fontId="0" fillId="0" borderId="22" xfId="0" applyFill="1" applyBorder="1"/>
    <xf numFmtId="9" fontId="0" fillId="0" borderId="22" xfId="0" applyNumberFormat="1" applyFill="1" applyBorder="1"/>
    <xf numFmtId="9" fontId="0" fillId="0" borderId="21" xfId="0" applyNumberFormat="1" applyFill="1" applyBorder="1"/>
    <xf numFmtId="0" fontId="27" fillId="0" borderId="23" xfId="0" applyFont="1" applyFill="1" applyBorder="1"/>
    <xf numFmtId="0" fontId="27" fillId="0" borderId="7" xfId="0" applyFont="1" applyFill="1" applyBorder="1"/>
    <xf numFmtId="0" fontId="27" fillId="0" borderId="20" xfId="0" applyFont="1" applyFill="1" applyBorder="1"/>
    <xf numFmtId="0" fontId="33" fillId="2" borderId="14" xfId="0" applyNumberFormat="1" applyFont="1" applyFill="1" applyBorder="1" applyAlignment="1">
      <alignment horizontal="left"/>
    </xf>
    <xf numFmtId="0" fontId="33" fillId="2" borderId="15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7" fillId="2" borderId="15" xfId="0" applyNumberFormat="1" applyFont="1" applyFill="1" applyBorder="1" applyAlignment="1">
      <alignment horizontal="center" vertical="top"/>
    </xf>
    <xf numFmtId="3" fontId="0" fillId="0" borderId="28" xfId="0" applyNumberFormat="1" applyFill="1" applyBorder="1"/>
    <xf numFmtId="3" fontId="0" fillId="0" borderId="24" xfId="0" applyNumberFormat="1" applyFill="1" applyBorder="1"/>
    <xf numFmtId="3" fontId="0" fillId="0" borderId="8" xfId="0" applyNumberFormat="1" applyFill="1" applyBorder="1"/>
    <xf numFmtId="3" fontId="0" fillId="0" borderId="9" xfId="0" applyNumberFormat="1" applyFill="1" applyBorder="1"/>
    <xf numFmtId="3" fontId="0" fillId="0" borderId="22" xfId="0" applyNumberFormat="1" applyFill="1" applyBorder="1"/>
    <xf numFmtId="3" fontId="0" fillId="0" borderId="21" xfId="0" applyNumberFormat="1" applyFill="1" applyBorder="1"/>
  </cellXfs>
  <cellStyles count="94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2.6929924383737092E-3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556544"/>
        <c:axId val="11446574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59328"/>
        <c:axId val="1144682368"/>
      </c:scatterChart>
      <c:catAx>
        <c:axId val="114455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465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57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44556544"/>
        <c:crosses val="autoZero"/>
        <c:crossBetween val="between"/>
      </c:valAx>
      <c:valAx>
        <c:axId val="11446593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44682368"/>
        <c:crosses val="max"/>
        <c:crossBetween val="midCat"/>
      </c:valAx>
      <c:valAx>
        <c:axId val="11446823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446593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84" t="s">
        <v>101</v>
      </c>
      <c r="B1" s="185"/>
      <c r="C1" s="55"/>
    </row>
    <row r="2" spans="1:3" ht="14.4" customHeight="1" thickBot="1" x14ac:dyDescent="0.35">
      <c r="A2" s="228" t="s">
        <v>128</v>
      </c>
      <c r="B2" s="57"/>
    </row>
    <row r="3" spans="1:3" ht="14.4" customHeight="1" thickBot="1" x14ac:dyDescent="0.35">
      <c r="A3" s="180" t="s">
        <v>119</v>
      </c>
      <c r="B3" s="181"/>
      <c r="C3" s="55"/>
    </row>
    <row r="4" spans="1:3" ht="14.4" customHeight="1" x14ac:dyDescent="0.3">
      <c r="A4" s="90" t="str">
        <f t="shared" ref="A4:A8" si="0">HYPERLINK("#'"&amp;C4&amp;"'!A1",C4)</f>
        <v>Motivace</v>
      </c>
      <c r="B4" s="91" t="s">
        <v>107</v>
      </c>
      <c r="C4" s="55" t="s">
        <v>108</v>
      </c>
    </row>
    <row r="5" spans="1:3" ht="14.4" customHeight="1" x14ac:dyDescent="0.3">
      <c r="A5" s="92" t="str">
        <f t="shared" si="0"/>
        <v>HI</v>
      </c>
      <c r="B5" s="93" t="s">
        <v>118</v>
      </c>
      <c r="C5" s="58" t="s">
        <v>104</v>
      </c>
    </row>
    <row r="6" spans="1:3" ht="14.4" customHeight="1" x14ac:dyDescent="0.3">
      <c r="A6" s="94" t="str">
        <f t="shared" si="0"/>
        <v>HI Graf</v>
      </c>
      <c r="B6" s="95" t="s">
        <v>98</v>
      </c>
      <c r="C6" s="58" t="s">
        <v>105</v>
      </c>
    </row>
    <row r="7" spans="1:3" ht="14.4" customHeight="1" x14ac:dyDescent="0.3">
      <c r="A7" s="94" t="str">
        <f t="shared" si="0"/>
        <v>Man Tab</v>
      </c>
      <c r="B7" s="95" t="s">
        <v>130</v>
      </c>
      <c r="C7" s="58" t="s">
        <v>106</v>
      </c>
    </row>
    <row r="8" spans="1:3" ht="14.4" customHeight="1" thickBot="1" x14ac:dyDescent="0.35">
      <c r="A8" s="96" t="str">
        <f t="shared" si="0"/>
        <v>HV</v>
      </c>
      <c r="B8" s="97" t="s">
        <v>49</v>
      </c>
      <c r="C8" s="58" t="s">
        <v>60</v>
      </c>
    </row>
    <row r="9" spans="1:3" ht="14.4" customHeight="1" thickBot="1" x14ac:dyDescent="0.35">
      <c r="A9" s="98"/>
      <c r="B9" s="98"/>
    </row>
    <row r="10" spans="1:3" ht="14.4" customHeight="1" thickBot="1" x14ac:dyDescent="0.35">
      <c r="A10" s="182" t="s">
        <v>102</v>
      </c>
      <c r="B10" s="181"/>
      <c r="C10" s="55"/>
    </row>
    <row r="11" spans="1:3" ht="14.4" customHeight="1" thickBot="1" x14ac:dyDescent="0.35">
      <c r="A11" s="99"/>
      <c r="B11" s="99"/>
    </row>
    <row r="12" spans="1:3" ht="14.4" customHeight="1" thickBot="1" x14ac:dyDescent="0.35">
      <c r="A12" s="183" t="s">
        <v>103</v>
      </c>
      <c r="B12" s="181"/>
      <c r="C12" s="55"/>
    </row>
    <row r="13" spans="1:3" ht="14.4" customHeight="1" x14ac:dyDescent="0.3">
      <c r="A13" s="100" t="str">
        <f t="shared" ref="A13:A16" si="1">HYPERLINK("#'"&amp;C13&amp;"'!A1",C13)</f>
        <v>ZV Vykáz.-A</v>
      </c>
      <c r="B13" s="93" t="s">
        <v>113</v>
      </c>
      <c r="C13" s="58" t="s">
        <v>109</v>
      </c>
    </row>
    <row r="14" spans="1:3" ht="14.4" customHeight="1" x14ac:dyDescent="0.3">
      <c r="A14" s="94" t="str">
        <f t="shared" si="1"/>
        <v>ZV Vykáz.-A Detail</v>
      </c>
      <c r="B14" s="95" t="s">
        <v>114</v>
      </c>
      <c r="C14" s="58" t="s">
        <v>110</v>
      </c>
    </row>
    <row r="15" spans="1:3" ht="14.4" customHeight="1" x14ac:dyDescent="0.3">
      <c r="A15" s="94" t="str">
        <f t="shared" si="1"/>
        <v>ZV Vykáz.-H</v>
      </c>
      <c r="B15" s="95" t="s">
        <v>115</v>
      </c>
      <c r="C15" s="58" t="s">
        <v>111</v>
      </c>
    </row>
    <row r="16" spans="1:3" ht="14.4" customHeight="1" thickBot="1" x14ac:dyDescent="0.35">
      <c r="A16" s="94" t="str">
        <f t="shared" si="1"/>
        <v>ZV Vykáz.-H Detail</v>
      </c>
      <c r="B16" s="95" t="s">
        <v>116</v>
      </c>
      <c r="C16" s="58" t="s">
        <v>112</v>
      </c>
    </row>
    <row r="17" spans="1:2" ht="14.4" customHeight="1" x14ac:dyDescent="0.3">
      <c r="A17" s="59"/>
      <c r="B17" s="59"/>
    </row>
  </sheetData>
  <mergeCells count="4">
    <mergeCell ref="A3:B3"/>
    <mergeCell ref="A10:B10"/>
    <mergeCell ref="A12:B1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0" bestFit="1" customWidth="1"/>
    <col min="2" max="2" width="8.6640625" style="60" bestFit="1" customWidth="1"/>
    <col min="3" max="3" width="2.109375" style="60" bestFit="1" customWidth="1"/>
    <col min="4" max="4" width="8" style="60" bestFit="1" customWidth="1"/>
    <col min="5" max="5" width="52.88671875" style="60" bestFit="1" customWidth="1"/>
    <col min="6" max="7" width="11.109375" style="79" customWidth="1"/>
    <col min="8" max="9" width="9.33203125" style="79" hidden="1" customWidth="1"/>
    <col min="10" max="11" width="11.109375" style="79" customWidth="1"/>
    <col min="12" max="13" width="9.33203125" style="79" hidden="1" customWidth="1"/>
    <col min="14" max="15" width="11.109375" style="79" customWidth="1"/>
    <col min="16" max="16" width="11.109375" style="78" customWidth="1"/>
    <col min="17" max="17" width="11.109375" style="79" customWidth="1"/>
    <col min="18" max="16384" width="8.88671875" style="60"/>
  </cols>
  <sheetData>
    <row r="1" spans="1:17" ht="18.600000000000001" customHeight="1" thickBot="1" x14ac:dyDescent="0.4">
      <c r="A1" s="184" t="s">
        <v>116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7" ht="14.4" customHeight="1" thickBot="1" x14ac:dyDescent="0.4">
      <c r="A2" s="228" t="s">
        <v>128</v>
      </c>
      <c r="B2" s="80"/>
      <c r="C2" s="80"/>
      <c r="D2" s="80"/>
      <c r="E2" s="80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22"/>
      <c r="Q2" s="118"/>
    </row>
    <row r="3" spans="1:17" ht="14.4" customHeight="1" thickBot="1" x14ac:dyDescent="0.35">
      <c r="E3" s="89" t="s">
        <v>117</v>
      </c>
      <c r="F3" s="119">
        <f t="shared" ref="F3:O3" si="0">SUBTOTAL(9,F6:F1048576)</f>
        <v>197</v>
      </c>
      <c r="G3" s="120">
        <f t="shared" si="0"/>
        <v>59292</v>
      </c>
      <c r="H3" s="120"/>
      <c r="I3" s="120"/>
      <c r="J3" s="120">
        <f t="shared" si="0"/>
        <v>198</v>
      </c>
      <c r="K3" s="120">
        <f t="shared" si="0"/>
        <v>61104</v>
      </c>
      <c r="L3" s="120"/>
      <c r="M3" s="120"/>
      <c r="N3" s="120">
        <f t="shared" si="0"/>
        <v>172</v>
      </c>
      <c r="O3" s="120">
        <f t="shared" si="0"/>
        <v>51160</v>
      </c>
      <c r="P3" s="82">
        <f>IF(G3=0,0,O3/G3)</f>
        <v>0.86284827632732919</v>
      </c>
      <c r="Q3" s="121">
        <f>IF(N3=0,0,O3/N3)</f>
        <v>297.44186046511629</v>
      </c>
    </row>
    <row r="4" spans="1:17" ht="14.4" customHeight="1" x14ac:dyDescent="0.3">
      <c r="A4" s="219" t="s">
        <v>61</v>
      </c>
      <c r="B4" s="218" t="s">
        <v>86</v>
      </c>
      <c r="C4" s="219" t="s">
        <v>87</v>
      </c>
      <c r="D4" s="220" t="s">
        <v>88</v>
      </c>
      <c r="E4" s="221" t="s">
        <v>62</v>
      </c>
      <c r="F4" s="225">
        <v>2011</v>
      </c>
      <c r="G4" s="226"/>
      <c r="H4" s="123"/>
      <c r="I4" s="123"/>
      <c r="J4" s="225">
        <v>2012</v>
      </c>
      <c r="K4" s="226"/>
      <c r="L4" s="123"/>
      <c r="M4" s="123"/>
      <c r="N4" s="225">
        <v>2013</v>
      </c>
      <c r="O4" s="226"/>
      <c r="P4" s="227" t="s">
        <v>0</v>
      </c>
      <c r="Q4" s="217" t="s">
        <v>89</v>
      </c>
    </row>
    <row r="5" spans="1:17" ht="14.4" customHeight="1" thickBot="1" x14ac:dyDescent="0.35">
      <c r="A5" s="267"/>
      <c r="B5" s="266"/>
      <c r="C5" s="267"/>
      <c r="D5" s="268"/>
      <c r="E5" s="269"/>
      <c r="F5" s="295" t="s">
        <v>63</v>
      </c>
      <c r="G5" s="296" t="s">
        <v>2</v>
      </c>
      <c r="H5" s="297"/>
      <c r="I5" s="297"/>
      <c r="J5" s="295" t="s">
        <v>63</v>
      </c>
      <c r="K5" s="296" t="s">
        <v>2</v>
      </c>
      <c r="L5" s="297"/>
      <c r="M5" s="297"/>
      <c r="N5" s="295" t="s">
        <v>63</v>
      </c>
      <c r="O5" s="296" t="s">
        <v>2</v>
      </c>
      <c r="P5" s="298"/>
      <c r="Q5" s="274"/>
    </row>
    <row r="6" spans="1:17" ht="14.4" customHeight="1" x14ac:dyDescent="0.3">
      <c r="A6" s="277" t="s">
        <v>215</v>
      </c>
      <c r="B6" s="279" t="s">
        <v>194</v>
      </c>
      <c r="C6" s="279" t="s">
        <v>195</v>
      </c>
      <c r="D6" s="279" t="s">
        <v>196</v>
      </c>
      <c r="E6" s="279" t="s">
        <v>197</v>
      </c>
      <c r="F6" s="299"/>
      <c r="G6" s="299"/>
      <c r="H6" s="299"/>
      <c r="I6" s="299"/>
      <c r="J6" s="299">
        <v>4</v>
      </c>
      <c r="K6" s="299">
        <v>1304</v>
      </c>
      <c r="L6" s="299"/>
      <c r="M6" s="299">
        <v>326</v>
      </c>
      <c r="N6" s="299">
        <v>11</v>
      </c>
      <c r="O6" s="299">
        <v>3597</v>
      </c>
      <c r="P6" s="280"/>
      <c r="Q6" s="300">
        <v>327</v>
      </c>
    </row>
    <row r="7" spans="1:17" ht="14.4" customHeight="1" x14ac:dyDescent="0.3">
      <c r="A7" s="282" t="s">
        <v>215</v>
      </c>
      <c r="B7" s="284" t="s">
        <v>194</v>
      </c>
      <c r="C7" s="284" t="s">
        <v>195</v>
      </c>
      <c r="D7" s="284" t="s">
        <v>216</v>
      </c>
      <c r="E7" s="284" t="s">
        <v>217</v>
      </c>
      <c r="F7" s="301"/>
      <c r="G7" s="301"/>
      <c r="H7" s="301"/>
      <c r="I7" s="301"/>
      <c r="J7" s="301">
        <v>1</v>
      </c>
      <c r="K7" s="301">
        <v>162</v>
      </c>
      <c r="L7" s="301"/>
      <c r="M7" s="301">
        <v>162</v>
      </c>
      <c r="N7" s="301">
        <v>7</v>
      </c>
      <c r="O7" s="301">
        <v>1141</v>
      </c>
      <c r="P7" s="285"/>
      <c r="Q7" s="302">
        <v>163</v>
      </c>
    </row>
    <row r="8" spans="1:17" ht="14.4" customHeight="1" x14ac:dyDescent="0.3">
      <c r="A8" s="282" t="s">
        <v>218</v>
      </c>
      <c r="B8" s="284" t="s">
        <v>194</v>
      </c>
      <c r="C8" s="284" t="s">
        <v>195</v>
      </c>
      <c r="D8" s="284" t="s">
        <v>196</v>
      </c>
      <c r="E8" s="284" t="s">
        <v>197</v>
      </c>
      <c r="F8" s="301">
        <v>149</v>
      </c>
      <c r="G8" s="301">
        <v>48276</v>
      </c>
      <c r="H8" s="301">
        <v>1</v>
      </c>
      <c r="I8" s="301">
        <v>324</v>
      </c>
      <c r="J8" s="301">
        <v>136</v>
      </c>
      <c r="K8" s="301">
        <v>44336</v>
      </c>
      <c r="L8" s="301">
        <v>0.91838594746872149</v>
      </c>
      <c r="M8" s="301">
        <v>326</v>
      </c>
      <c r="N8" s="301">
        <v>108</v>
      </c>
      <c r="O8" s="301">
        <v>35316</v>
      </c>
      <c r="P8" s="285">
        <v>0.73154362416107388</v>
      </c>
      <c r="Q8" s="302">
        <v>327</v>
      </c>
    </row>
    <row r="9" spans="1:17" ht="14.4" customHeight="1" x14ac:dyDescent="0.3">
      <c r="A9" s="282" t="s">
        <v>218</v>
      </c>
      <c r="B9" s="284" t="s">
        <v>194</v>
      </c>
      <c r="C9" s="284" t="s">
        <v>195</v>
      </c>
      <c r="D9" s="284" t="s">
        <v>216</v>
      </c>
      <c r="E9" s="284" t="s">
        <v>217</v>
      </c>
      <c r="F9" s="301">
        <v>25</v>
      </c>
      <c r="G9" s="301">
        <v>4050</v>
      </c>
      <c r="H9" s="301">
        <v>1</v>
      </c>
      <c r="I9" s="301">
        <v>162</v>
      </c>
      <c r="J9" s="301">
        <v>16</v>
      </c>
      <c r="K9" s="301">
        <v>2592</v>
      </c>
      <c r="L9" s="301">
        <v>0.64</v>
      </c>
      <c r="M9" s="301">
        <v>162</v>
      </c>
      <c r="N9" s="301">
        <v>16</v>
      </c>
      <c r="O9" s="301">
        <v>2608</v>
      </c>
      <c r="P9" s="285">
        <v>0.64395061728395064</v>
      </c>
      <c r="Q9" s="302">
        <v>163</v>
      </c>
    </row>
    <row r="10" spans="1:17" ht="14.4" customHeight="1" x14ac:dyDescent="0.3">
      <c r="A10" s="282" t="s">
        <v>219</v>
      </c>
      <c r="B10" s="284" t="s">
        <v>194</v>
      </c>
      <c r="C10" s="284" t="s">
        <v>195</v>
      </c>
      <c r="D10" s="284" t="s">
        <v>196</v>
      </c>
      <c r="E10" s="284" t="s">
        <v>197</v>
      </c>
      <c r="F10" s="301">
        <v>6</v>
      </c>
      <c r="G10" s="301">
        <v>1944</v>
      </c>
      <c r="H10" s="301">
        <v>1</v>
      </c>
      <c r="I10" s="301">
        <v>324</v>
      </c>
      <c r="J10" s="301">
        <v>9</v>
      </c>
      <c r="K10" s="301">
        <v>2934</v>
      </c>
      <c r="L10" s="301">
        <v>1.5092592592592593</v>
      </c>
      <c r="M10" s="301">
        <v>326</v>
      </c>
      <c r="N10" s="301">
        <v>4</v>
      </c>
      <c r="O10" s="301">
        <v>1308</v>
      </c>
      <c r="P10" s="285">
        <v>0.6728395061728395</v>
      </c>
      <c r="Q10" s="302">
        <v>327</v>
      </c>
    </row>
    <row r="11" spans="1:17" ht="14.4" customHeight="1" x14ac:dyDescent="0.3">
      <c r="A11" s="282" t="s">
        <v>219</v>
      </c>
      <c r="B11" s="284" t="s">
        <v>194</v>
      </c>
      <c r="C11" s="284" t="s">
        <v>195</v>
      </c>
      <c r="D11" s="284" t="s">
        <v>216</v>
      </c>
      <c r="E11" s="284" t="s">
        <v>217</v>
      </c>
      <c r="F11" s="301"/>
      <c r="G11" s="301"/>
      <c r="H11" s="301"/>
      <c r="I11" s="301"/>
      <c r="J11" s="301">
        <v>1</v>
      </c>
      <c r="K11" s="301">
        <v>162</v>
      </c>
      <c r="L11" s="301"/>
      <c r="M11" s="301">
        <v>162</v>
      </c>
      <c r="N11" s="301">
        <v>2</v>
      </c>
      <c r="O11" s="301">
        <v>326</v>
      </c>
      <c r="P11" s="285"/>
      <c r="Q11" s="302">
        <v>163</v>
      </c>
    </row>
    <row r="12" spans="1:17" ht="14.4" customHeight="1" x14ac:dyDescent="0.3">
      <c r="A12" s="282" t="s">
        <v>220</v>
      </c>
      <c r="B12" s="284" t="s">
        <v>194</v>
      </c>
      <c r="C12" s="284" t="s">
        <v>195</v>
      </c>
      <c r="D12" s="284" t="s">
        <v>196</v>
      </c>
      <c r="E12" s="284" t="s">
        <v>197</v>
      </c>
      <c r="F12" s="301">
        <v>2</v>
      </c>
      <c r="G12" s="301">
        <v>648</v>
      </c>
      <c r="H12" s="301">
        <v>1</v>
      </c>
      <c r="I12" s="301">
        <v>324</v>
      </c>
      <c r="J12" s="301"/>
      <c r="K12" s="301"/>
      <c r="L12" s="301"/>
      <c r="M12" s="301"/>
      <c r="N12" s="301"/>
      <c r="O12" s="301"/>
      <c r="P12" s="285"/>
      <c r="Q12" s="302"/>
    </row>
    <row r="13" spans="1:17" ht="14.4" customHeight="1" x14ac:dyDescent="0.3">
      <c r="A13" s="282" t="s">
        <v>221</v>
      </c>
      <c r="B13" s="284" t="s">
        <v>194</v>
      </c>
      <c r="C13" s="284" t="s">
        <v>195</v>
      </c>
      <c r="D13" s="284" t="s">
        <v>196</v>
      </c>
      <c r="E13" s="284" t="s">
        <v>197</v>
      </c>
      <c r="F13" s="301"/>
      <c r="G13" s="301"/>
      <c r="H13" s="301"/>
      <c r="I13" s="301"/>
      <c r="J13" s="301">
        <v>1</v>
      </c>
      <c r="K13" s="301">
        <v>326</v>
      </c>
      <c r="L13" s="301"/>
      <c r="M13" s="301">
        <v>326</v>
      </c>
      <c r="N13" s="301"/>
      <c r="O13" s="301"/>
      <c r="P13" s="285"/>
      <c r="Q13" s="302"/>
    </row>
    <row r="14" spans="1:17" ht="14.4" customHeight="1" x14ac:dyDescent="0.3">
      <c r="A14" s="282" t="s">
        <v>222</v>
      </c>
      <c r="B14" s="284" t="s">
        <v>194</v>
      </c>
      <c r="C14" s="284" t="s">
        <v>195</v>
      </c>
      <c r="D14" s="284" t="s">
        <v>196</v>
      </c>
      <c r="E14" s="284" t="s">
        <v>197</v>
      </c>
      <c r="F14" s="301">
        <v>2</v>
      </c>
      <c r="G14" s="301">
        <v>648</v>
      </c>
      <c r="H14" s="301">
        <v>1</v>
      </c>
      <c r="I14" s="301">
        <v>324</v>
      </c>
      <c r="J14" s="301">
        <v>1</v>
      </c>
      <c r="K14" s="301">
        <v>326</v>
      </c>
      <c r="L14" s="301">
        <v>0.50308641975308643</v>
      </c>
      <c r="M14" s="301">
        <v>326</v>
      </c>
      <c r="N14" s="301">
        <v>7</v>
      </c>
      <c r="O14" s="301">
        <v>2289</v>
      </c>
      <c r="P14" s="285">
        <v>3.5324074074074074</v>
      </c>
      <c r="Q14" s="302">
        <v>327</v>
      </c>
    </row>
    <row r="15" spans="1:17" ht="14.4" customHeight="1" x14ac:dyDescent="0.3">
      <c r="A15" s="282" t="s">
        <v>222</v>
      </c>
      <c r="B15" s="284" t="s">
        <v>194</v>
      </c>
      <c r="C15" s="284" t="s">
        <v>195</v>
      </c>
      <c r="D15" s="284" t="s">
        <v>216</v>
      </c>
      <c r="E15" s="284" t="s">
        <v>217</v>
      </c>
      <c r="F15" s="301"/>
      <c r="G15" s="301"/>
      <c r="H15" s="301"/>
      <c r="I15" s="301"/>
      <c r="J15" s="301"/>
      <c r="K15" s="301"/>
      <c r="L15" s="301"/>
      <c r="M15" s="301"/>
      <c r="N15" s="301">
        <v>2</v>
      </c>
      <c r="O15" s="301">
        <v>326</v>
      </c>
      <c r="P15" s="285"/>
      <c r="Q15" s="302">
        <v>163</v>
      </c>
    </row>
    <row r="16" spans="1:17" ht="14.4" customHeight="1" x14ac:dyDescent="0.3">
      <c r="A16" s="282" t="s">
        <v>223</v>
      </c>
      <c r="B16" s="284" t="s">
        <v>194</v>
      </c>
      <c r="C16" s="284" t="s">
        <v>195</v>
      </c>
      <c r="D16" s="284" t="s">
        <v>196</v>
      </c>
      <c r="E16" s="284" t="s">
        <v>197</v>
      </c>
      <c r="F16" s="301"/>
      <c r="G16" s="301"/>
      <c r="H16" s="301"/>
      <c r="I16" s="301"/>
      <c r="J16" s="301">
        <v>2</v>
      </c>
      <c r="K16" s="301">
        <v>652</v>
      </c>
      <c r="L16" s="301"/>
      <c r="M16" s="301">
        <v>326</v>
      </c>
      <c r="N16" s="301">
        <v>1</v>
      </c>
      <c r="O16" s="301">
        <v>327</v>
      </c>
      <c r="P16" s="285"/>
      <c r="Q16" s="302">
        <v>327</v>
      </c>
    </row>
    <row r="17" spans="1:17" ht="14.4" customHeight="1" x14ac:dyDescent="0.3">
      <c r="A17" s="282" t="s">
        <v>224</v>
      </c>
      <c r="B17" s="284" t="s">
        <v>194</v>
      </c>
      <c r="C17" s="284" t="s">
        <v>195</v>
      </c>
      <c r="D17" s="284" t="s">
        <v>196</v>
      </c>
      <c r="E17" s="284" t="s">
        <v>197</v>
      </c>
      <c r="F17" s="301">
        <v>1</v>
      </c>
      <c r="G17" s="301">
        <v>324</v>
      </c>
      <c r="H17" s="301">
        <v>1</v>
      </c>
      <c r="I17" s="301">
        <v>324</v>
      </c>
      <c r="J17" s="301">
        <v>1</v>
      </c>
      <c r="K17" s="301">
        <v>326</v>
      </c>
      <c r="L17" s="301">
        <v>1.0061728395061729</v>
      </c>
      <c r="M17" s="301">
        <v>326</v>
      </c>
      <c r="N17" s="301"/>
      <c r="O17" s="301"/>
      <c r="P17" s="285"/>
      <c r="Q17" s="302"/>
    </row>
    <row r="18" spans="1:17" ht="14.4" customHeight="1" x14ac:dyDescent="0.3">
      <c r="A18" s="282" t="s">
        <v>224</v>
      </c>
      <c r="B18" s="284" t="s">
        <v>194</v>
      </c>
      <c r="C18" s="284" t="s">
        <v>195</v>
      </c>
      <c r="D18" s="284" t="s">
        <v>216</v>
      </c>
      <c r="E18" s="284" t="s">
        <v>217</v>
      </c>
      <c r="F18" s="301">
        <v>1</v>
      </c>
      <c r="G18" s="301">
        <v>162</v>
      </c>
      <c r="H18" s="301">
        <v>1</v>
      </c>
      <c r="I18" s="301">
        <v>162</v>
      </c>
      <c r="J18" s="301"/>
      <c r="K18" s="301"/>
      <c r="L18" s="301"/>
      <c r="M18" s="301"/>
      <c r="N18" s="301"/>
      <c r="O18" s="301"/>
      <c r="P18" s="285"/>
      <c r="Q18" s="302"/>
    </row>
    <row r="19" spans="1:17" ht="14.4" customHeight="1" x14ac:dyDescent="0.3">
      <c r="A19" s="282" t="s">
        <v>225</v>
      </c>
      <c r="B19" s="284" t="s">
        <v>194</v>
      </c>
      <c r="C19" s="284" t="s">
        <v>195</v>
      </c>
      <c r="D19" s="284" t="s">
        <v>196</v>
      </c>
      <c r="E19" s="284" t="s">
        <v>197</v>
      </c>
      <c r="F19" s="301">
        <v>1</v>
      </c>
      <c r="G19" s="301">
        <v>324</v>
      </c>
      <c r="H19" s="301">
        <v>1</v>
      </c>
      <c r="I19" s="301">
        <v>324</v>
      </c>
      <c r="J19" s="301"/>
      <c r="K19" s="301"/>
      <c r="L19" s="301"/>
      <c r="M19" s="301"/>
      <c r="N19" s="301">
        <v>1</v>
      </c>
      <c r="O19" s="301">
        <v>327</v>
      </c>
      <c r="P19" s="285">
        <v>1.0092592592592593</v>
      </c>
      <c r="Q19" s="302">
        <v>327</v>
      </c>
    </row>
    <row r="20" spans="1:17" ht="14.4" customHeight="1" x14ac:dyDescent="0.3">
      <c r="A20" s="282" t="s">
        <v>226</v>
      </c>
      <c r="B20" s="284" t="s">
        <v>194</v>
      </c>
      <c r="C20" s="284" t="s">
        <v>195</v>
      </c>
      <c r="D20" s="284" t="s">
        <v>196</v>
      </c>
      <c r="E20" s="284" t="s">
        <v>197</v>
      </c>
      <c r="F20" s="301"/>
      <c r="G20" s="301"/>
      <c r="H20" s="301"/>
      <c r="I20" s="301"/>
      <c r="J20" s="301">
        <v>1</v>
      </c>
      <c r="K20" s="301">
        <v>326</v>
      </c>
      <c r="L20" s="301"/>
      <c r="M20" s="301">
        <v>326</v>
      </c>
      <c r="N20" s="301"/>
      <c r="O20" s="301"/>
      <c r="P20" s="285"/>
      <c r="Q20" s="302"/>
    </row>
    <row r="21" spans="1:17" ht="14.4" customHeight="1" x14ac:dyDescent="0.3">
      <c r="A21" s="282" t="s">
        <v>227</v>
      </c>
      <c r="B21" s="284" t="s">
        <v>194</v>
      </c>
      <c r="C21" s="284" t="s">
        <v>195</v>
      </c>
      <c r="D21" s="284" t="s">
        <v>196</v>
      </c>
      <c r="E21" s="284" t="s">
        <v>197</v>
      </c>
      <c r="F21" s="301"/>
      <c r="G21" s="301"/>
      <c r="H21" s="301"/>
      <c r="I21" s="301"/>
      <c r="J21" s="301"/>
      <c r="K21" s="301"/>
      <c r="L21" s="301"/>
      <c r="M21" s="301"/>
      <c r="N21" s="301">
        <v>1</v>
      </c>
      <c r="O21" s="301">
        <v>327</v>
      </c>
      <c r="P21" s="285"/>
      <c r="Q21" s="302">
        <v>327</v>
      </c>
    </row>
    <row r="22" spans="1:17" ht="14.4" customHeight="1" x14ac:dyDescent="0.3">
      <c r="A22" s="282" t="s">
        <v>228</v>
      </c>
      <c r="B22" s="284" t="s">
        <v>194</v>
      </c>
      <c r="C22" s="284" t="s">
        <v>195</v>
      </c>
      <c r="D22" s="284" t="s">
        <v>196</v>
      </c>
      <c r="E22" s="284" t="s">
        <v>197</v>
      </c>
      <c r="F22" s="301">
        <v>1</v>
      </c>
      <c r="G22" s="301">
        <v>324</v>
      </c>
      <c r="H22" s="301">
        <v>1</v>
      </c>
      <c r="I22" s="301">
        <v>324</v>
      </c>
      <c r="J22" s="301"/>
      <c r="K22" s="301"/>
      <c r="L22" s="301"/>
      <c r="M22" s="301"/>
      <c r="N22" s="301"/>
      <c r="O22" s="301"/>
      <c r="P22" s="285"/>
      <c r="Q22" s="302"/>
    </row>
    <row r="23" spans="1:17" ht="14.4" customHeight="1" x14ac:dyDescent="0.3">
      <c r="A23" s="282" t="s">
        <v>228</v>
      </c>
      <c r="B23" s="284" t="s">
        <v>194</v>
      </c>
      <c r="C23" s="284" t="s">
        <v>195</v>
      </c>
      <c r="D23" s="284" t="s">
        <v>216</v>
      </c>
      <c r="E23" s="284" t="s">
        <v>217</v>
      </c>
      <c r="F23" s="301"/>
      <c r="G23" s="301"/>
      <c r="H23" s="301"/>
      <c r="I23" s="301"/>
      <c r="J23" s="301"/>
      <c r="K23" s="301"/>
      <c r="L23" s="301"/>
      <c r="M23" s="301"/>
      <c r="N23" s="301">
        <v>2</v>
      </c>
      <c r="O23" s="301">
        <v>326</v>
      </c>
      <c r="P23" s="285"/>
      <c r="Q23" s="302">
        <v>163</v>
      </c>
    </row>
    <row r="24" spans="1:17" ht="14.4" customHeight="1" x14ac:dyDescent="0.3">
      <c r="A24" s="282" t="s">
        <v>229</v>
      </c>
      <c r="B24" s="284" t="s">
        <v>194</v>
      </c>
      <c r="C24" s="284" t="s">
        <v>195</v>
      </c>
      <c r="D24" s="284" t="s">
        <v>196</v>
      </c>
      <c r="E24" s="284" t="s">
        <v>197</v>
      </c>
      <c r="F24" s="301">
        <v>1</v>
      </c>
      <c r="G24" s="301">
        <v>324</v>
      </c>
      <c r="H24" s="301">
        <v>1</v>
      </c>
      <c r="I24" s="301">
        <v>324</v>
      </c>
      <c r="J24" s="301">
        <v>6</v>
      </c>
      <c r="K24" s="301">
        <v>1956</v>
      </c>
      <c r="L24" s="301">
        <v>6.0370370370370372</v>
      </c>
      <c r="M24" s="301">
        <v>326</v>
      </c>
      <c r="N24" s="301">
        <v>1</v>
      </c>
      <c r="O24" s="301">
        <v>327</v>
      </c>
      <c r="P24" s="285">
        <v>1.0092592592592593</v>
      </c>
      <c r="Q24" s="302">
        <v>327</v>
      </c>
    </row>
    <row r="25" spans="1:17" ht="14.4" customHeight="1" x14ac:dyDescent="0.3">
      <c r="A25" s="282" t="s">
        <v>230</v>
      </c>
      <c r="B25" s="284" t="s">
        <v>194</v>
      </c>
      <c r="C25" s="284" t="s">
        <v>195</v>
      </c>
      <c r="D25" s="284" t="s">
        <v>196</v>
      </c>
      <c r="E25" s="284" t="s">
        <v>197</v>
      </c>
      <c r="F25" s="301">
        <v>1</v>
      </c>
      <c r="G25" s="301">
        <v>324</v>
      </c>
      <c r="H25" s="301">
        <v>1</v>
      </c>
      <c r="I25" s="301">
        <v>324</v>
      </c>
      <c r="J25" s="301"/>
      <c r="K25" s="301"/>
      <c r="L25" s="301"/>
      <c r="M25" s="301"/>
      <c r="N25" s="301">
        <v>1</v>
      </c>
      <c r="O25" s="301">
        <v>327</v>
      </c>
      <c r="P25" s="285">
        <v>1.0092592592592593</v>
      </c>
      <c r="Q25" s="302">
        <v>327</v>
      </c>
    </row>
    <row r="26" spans="1:17" ht="14.4" customHeight="1" x14ac:dyDescent="0.3">
      <c r="A26" s="282" t="s">
        <v>231</v>
      </c>
      <c r="B26" s="284" t="s">
        <v>194</v>
      </c>
      <c r="C26" s="284" t="s">
        <v>195</v>
      </c>
      <c r="D26" s="284" t="s">
        <v>196</v>
      </c>
      <c r="E26" s="284" t="s">
        <v>197</v>
      </c>
      <c r="F26" s="301">
        <v>1</v>
      </c>
      <c r="G26" s="301">
        <v>324</v>
      </c>
      <c r="H26" s="301">
        <v>1</v>
      </c>
      <c r="I26" s="301">
        <v>324</v>
      </c>
      <c r="J26" s="301">
        <v>15</v>
      </c>
      <c r="K26" s="301">
        <v>4890</v>
      </c>
      <c r="L26" s="301">
        <v>15.092592592592593</v>
      </c>
      <c r="M26" s="301">
        <v>326</v>
      </c>
      <c r="N26" s="301">
        <v>5</v>
      </c>
      <c r="O26" s="301">
        <v>1635</v>
      </c>
      <c r="P26" s="285">
        <v>5.0462962962962967</v>
      </c>
      <c r="Q26" s="302">
        <v>327</v>
      </c>
    </row>
    <row r="27" spans="1:17" ht="14.4" customHeight="1" x14ac:dyDescent="0.3">
      <c r="A27" s="282" t="s">
        <v>231</v>
      </c>
      <c r="B27" s="284" t="s">
        <v>194</v>
      </c>
      <c r="C27" s="284" t="s">
        <v>195</v>
      </c>
      <c r="D27" s="284" t="s">
        <v>216</v>
      </c>
      <c r="E27" s="284" t="s">
        <v>217</v>
      </c>
      <c r="F27" s="301"/>
      <c r="G27" s="301"/>
      <c r="H27" s="301"/>
      <c r="I27" s="301"/>
      <c r="J27" s="301">
        <v>3</v>
      </c>
      <c r="K27" s="301">
        <v>486</v>
      </c>
      <c r="L27" s="301"/>
      <c r="M27" s="301">
        <v>162</v>
      </c>
      <c r="N27" s="301">
        <v>2</v>
      </c>
      <c r="O27" s="301">
        <v>326</v>
      </c>
      <c r="P27" s="285"/>
      <c r="Q27" s="302">
        <v>163</v>
      </c>
    </row>
    <row r="28" spans="1:17" ht="14.4" customHeight="1" x14ac:dyDescent="0.3">
      <c r="A28" s="282" t="s">
        <v>232</v>
      </c>
      <c r="B28" s="284" t="s">
        <v>194</v>
      </c>
      <c r="C28" s="284" t="s">
        <v>195</v>
      </c>
      <c r="D28" s="284" t="s">
        <v>196</v>
      </c>
      <c r="E28" s="284" t="s">
        <v>197</v>
      </c>
      <c r="F28" s="301">
        <v>1</v>
      </c>
      <c r="G28" s="301">
        <v>324</v>
      </c>
      <c r="H28" s="301">
        <v>1</v>
      </c>
      <c r="I28" s="301">
        <v>324</v>
      </c>
      <c r="J28" s="301"/>
      <c r="K28" s="301"/>
      <c r="L28" s="301"/>
      <c r="M28" s="301"/>
      <c r="N28" s="301">
        <v>1</v>
      </c>
      <c r="O28" s="301">
        <v>327</v>
      </c>
      <c r="P28" s="285">
        <v>1.0092592592592593</v>
      </c>
      <c r="Q28" s="302">
        <v>327</v>
      </c>
    </row>
    <row r="29" spans="1:17" ht="14.4" customHeight="1" x14ac:dyDescent="0.3">
      <c r="A29" s="282" t="s">
        <v>232</v>
      </c>
      <c r="B29" s="284" t="s">
        <v>194</v>
      </c>
      <c r="C29" s="284" t="s">
        <v>195</v>
      </c>
      <c r="D29" s="284" t="s">
        <v>216</v>
      </c>
      <c r="E29" s="284" t="s">
        <v>217</v>
      </c>
      <c r="F29" s="301">
        <v>2</v>
      </c>
      <c r="G29" s="301">
        <v>324</v>
      </c>
      <c r="H29" s="301">
        <v>1</v>
      </c>
      <c r="I29" s="301">
        <v>162</v>
      </c>
      <c r="J29" s="301"/>
      <c r="K29" s="301"/>
      <c r="L29" s="301"/>
      <c r="M29" s="301"/>
      <c r="N29" s="301"/>
      <c r="O29" s="301"/>
      <c r="P29" s="285"/>
      <c r="Q29" s="302"/>
    </row>
    <row r="30" spans="1:17" ht="14.4" customHeight="1" thickBot="1" x14ac:dyDescent="0.35">
      <c r="A30" s="287" t="s">
        <v>233</v>
      </c>
      <c r="B30" s="289" t="s">
        <v>194</v>
      </c>
      <c r="C30" s="289" t="s">
        <v>195</v>
      </c>
      <c r="D30" s="289" t="s">
        <v>196</v>
      </c>
      <c r="E30" s="289" t="s">
        <v>197</v>
      </c>
      <c r="F30" s="303">
        <v>3</v>
      </c>
      <c r="G30" s="303">
        <v>972</v>
      </c>
      <c r="H30" s="303">
        <v>1</v>
      </c>
      <c r="I30" s="303">
        <v>324</v>
      </c>
      <c r="J30" s="303">
        <v>1</v>
      </c>
      <c r="K30" s="303">
        <v>326</v>
      </c>
      <c r="L30" s="303">
        <v>0.33539094650205764</v>
      </c>
      <c r="M30" s="303">
        <v>326</v>
      </c>
      <c r="N30" s="303"/>
      <c r="O30" s="303"/>
      <c r="P30" s="290"/>
      <c r="Q30" s="30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24" customWidth="1"/>
    <col min="5" max="5" width="11" style="125" customWidth="1"/>
  </cols>
  <sheetData>
    <row r="1" spans="1:7" ht="18.600000000000001" thickBot="1" x14ac:dyDescent="0.4">
      <c r="A1" s="184" t="s">
        <v>107</v>
      </c>
      <c r="B1" s="185"/>
      <c r="C1" s="186"/>
      <c r="D1" s="186"/>
      <c r="E1" s="186"/>
      <c r="F1" s="85"/>
      <c r="G1" s="85"/>
    </row>
    <row r="2" spans="1:7" ht="14.4" customHeight="1" thickBot="1" x14ac:dyDescent="0.35">
      <c r="A2" s="228" t="s">
        <v>128</v>
      </c>
      <c r="B2" s="107"/>
    </row>
    <row r="3" spans="1:7" ht="14.4" customHeight="1" thickBot="1" x14ac:dyDescent="0.35">
      <c r="A3" s="126"/>
      <c r="C3" s="127" t="s">
        <v>100</v>
      </c>
      <c r="D3" s="128" t="s">
        <v>64</v>
      </c>
      <c r="E3" s="129" t="s">
        <v>66</v>
      </c>
    </row>
    <row r="4" spans="1:7" ht="14.4" customHeight="1" thickBot="1" x14ac:dyDescent="0.35">
      <c r="A4" s="171" t="str">
        <f>HYPERLINK("#HI!A1","NÁKLADY CELKEM (v tisících Kč)")</f>
        <v>NÁKLADY CELKEM (v tisících Kč)</v>
      </c>
      <c r="B4" s="140"/>
      <c r="C4" s="150">
        <f ca="1">IF(ISERROR(VLOOKUP("Náklady celkem",INDIRECT("HI!$A:$G"),6,0)),0,VLOOKUP("Náklady celkem",INDIRECT("HI!$A:$G"),6,0))</f>
        <v>1353</v>
      </c>
      <c r="D4" s="150">
        <f ca="1">IF(ISERROR(VLOOKUP("Náklady celkem",INDIRECT("HI!$A:$G"),4,0)),0,VLOOKUP("Náklady celkem",INDIRECT("HI!$A:$G"),4,0))</f>
        <v>1477.80744</v>
      </c>
      <c r="E4" s="143">
        <f ca="1">IF(C4=0,0,D4/C4)</f>
        <v>1.0922449667405765</v>
      </c>
    </row>
    <row r="5" spans="1:7" ht="14.4" customHeight="1" x14ac:dyDescent="0.3">
      <c r="A5" s="136" t="s">
        <v>121</v>
      </c>
      <c r="B5" s="131"/>
      <c r="C5" s="151"/>
      <c r="D5" s="151"/>
      <c r="E5" s="144"/>
    </row>
    <row r="6" spans="1:7" ht="14.4" customHeight="1" x14ac:dyDescent="0.3">
      <c r="A6" s="166" t="s">
        <v>126</v>
      </c>
      <c r="B6" s="132"/>
      <c r="C6" s="142"/>
      <c r="D6" s="142"/>
      <c r="E6" s="144"/>
    </row>
    <row r="7" spans="1:7" ht="14.4" customHeight="1" x14ac:dyDescent="0.3">
      <c r="A7" s="1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2" t="s">
        <v>104</v>
      </c>
      <c r="C7" s="142">
        <f>IF(ISERROR(HI!F5),"",HI!F5)</f>
        <v>0</v>
      </c>
      <c r="D7" s="142">
        <f>IF(ISERROR(HI!D5),"",HI!D5)</f>
        <v>0</v>
      </c>
      <c r="E7" s="144">
        <f t="shared" ref="E7:E11" si="0">IF(C7=0,0,D7/C7)</f>
        <v>0</v>
      </c>
    </row>
    <row r="8" spans="1:7" ht="14.4" customHeight="1" x14ac:dyDescent="0.3">
      <c r="A8" s="137" t="s">
        <v>122</v>
      </c>
      <c r="B8" s="132"/>
      <c r="C8" s="142"/>
      <c r="D8" s="142"/>
      <c r="E8" s="144"/>
    </row>
    <row r="9" spans="1:7" ht="14.4" customHeight="1" x14ac:dyDescent="0.3">
      <c r="A9" s="137" t="s">
        <v>123</v>
      </c>
      <c r="B9" s="132"/>
      <c r="C9" s="142"/>
      <c r="D9" s="142"/>
      <c r="E9" s="144"/>
    </row>
    <row r="10" spans="1:7" ht="14.4" customHeight="1" x14ac:dyDescent="0.3">
      <c r="A10" s="167" t="s">
        <v>127</v>
      </c>
      <c r="B10" s="132"/>
      <c r="C10" s="151"/>
      <c r="D10" s="151"/>
      <c r="E10" s="144"/>
    </row>
    <row r="11" spans="1:7" ht="14.4" customHeight="1" x14ac:dyDescent="0.3">
      <c r="A11" s="1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2" t="s">
        <v>104</v>
      </c>
      <c r="C11" s="142">
        <f>IF(ISERROR(HI!F6),"",HI!F6)</f>
        <v>0</v>
      </c>
      <c r="D11" s="142">
        <f>IF(ISERROR(HI!D6),"",HI!D6)</f>
        <v>0</v>
      </c>
      <c r="E11" s="144">
        <f t="shared" si="0"/>
        <v>0</v>
      </c>
    </row>
    <row r="12" spans="1:7" ht="14.4" customHeight="1" thickBot="1" x14ac:dyDescent="0.35">
      <c r="A12" s="169" t="str">
        <f>HYPERLINK("#HI!A1","Osobní náklady")</f>
        <v>Osobní náklady</v>
      </c>
      <c r="B12" s="132"/>
      <c r="C12" s="151">
        <f ca="1">IF(ISERROR(VLOOKUP("Osobní náklady (Kč)",INDIRECT("HI!$A:$G"),6,0)),0,VLOOKUP("Osobní náklady (Kč)",INDIRECT("HI!$A:$G"),6,0))</f>
        <v>1353</v>
      </c>
      <c r="D12" s="151">
        <f ca="1">IF(ISERROR(VLOOKUP("Osobní náklady (Kč)",INDIRECT("HI!$A:$G"),4,0)),0,VLOOKUP("Osobní náklady (Kč)",INDIRECT("HI!$A:$G"),4,0))</f>
        <v>1471.4105099999999</v>
      </c>
      <c r="E12" s="144">
        <f t="shared" ref="E12" ca="1" si="1">IF(C12=0,0,D12/C12)</f>
        <v>1.0875170066518847</v>
      </c>
    </row>
    <row r="13" spans="1:7" ht="14.4" customHeight="1" thickBot="1" x14ac:dyDescent="0.35">
      <c r="A13" s="156"/>
      <c r="B13" s="157"/>
      <c r="C13" s="158"/>
      <c r="D13" s="158"/>
      <c r="E13" s="146"/>
    </row>
    <row r="14" spans="1:7" ht="14.4" customHeight="1" thickBot="1" x14ac:dyDescent="0.35">
      <c r="A14" s="170" t="str">
        <f>HYPERLINK("#HI!A1","VÝNOSY CELKEM (v tisících; ""Ambulace-body"" + ""Hospitalizace-casemix""*29500)")</f>
        <v>VÝNOSY CELKEM (v tisících; "Ambulace-body" + "Hospitalizace-casemix"*29500)</v>
      </c>
      <c r="B14" s="134"/>
      <c r="C14" s="154">
        <f ca="1">IF(ISERROR(VLOOKUP("Výnosy celkem",INDIRECT("HI!$A:$G"),6,0)),0,VLOOKUP("Výnosy celkem",INDIRECT("HI!$A:$G"),6,0))</f>
        <v>0</v>
      </c>
      <c r="D14" s="154">
        <f ca="1">IF(ISERROR(VLOOKUP("Výnosy celkem",INDIRECT("HI!$A:$G"),4,0)),0,VLOOKUP("Výnosy celkem",INDIRECT("HI!$A:$G"),4,0))</f>
        <v>0.32700000000000001</v>
      </c>
      <c r="E14" s="147">
        <f t="shared" ref="E14:E17" ca="1" si="2">IF(C14=0,0,D14/C14)</f>
        <v>0</v>
      </c>
    </row>
    <row r="15" spans="1:7" ht="14.4" customHeight="1" x14ac:dyDescent="0.3">
      <c r="A15" s="172" t="str">
        <f>HYPERLINK("#HI!A1","Ambulance (body)")</f>
        <v>Ambulance (body)</v>
      </c>
      <c r="B15" s="131"/>
      <c r="C15" s="151">
        <f ca="1">IF(ISERROR(VLOOKUP("Ambulance (body)",INDIRECT("HI!$A:$G"),6,0)),0,VLOOKUP("Ambulance (body)",INDIRECT("HI!$A:$G"),6,0))</f>
        <v>0</v>
      </c>
      <c r="D15" s="151">
        <f ca="1">IF(ISERROR(VLOOKUP("Ambulance (body)",INDIRECT("HI!$A:$G"),4,0)),0,VLOOKUP("Ambulance (body)",INDIRECT("HI!$A:$G"),4,0))</f>
        <v>0.32700000000000001</v>
      </c>
      <c r="E15" s="144">
        <f t="shared" ca="1" si="2"/>
        <v>0</v>
      </c>
    </row>
    <row r="16" spans="1:7" ht="14.4" customHeight="1" x14ac:dyDescent="0.3">
      <c r="A16" s="165" t="str">
        <f>HYPERLINK("#'ZV Vykáz.-A'!A1","Zdravotní výkony vykázané u ambulantních pacientů (min. 100 %)")</f>
        <v>Zdravotní výkony vykázané u ambulantních pacientů (min. 100 %)</v>
      </c>
      <c r="B16" t="s">
        <v>109</v>
      </c>
      <c r="C16" s="141">
        <v>1</v>
      </c>
      <c r="D16" s="141" t="str">
        <f>IF(ISERROR(VLOOKUP("Celkem:",'ZV Vykáz.-A'!$A:$S,7,0)),"",VLOOKUP("Celkem:",'ZV Vykáz.-A'!$A:$S,7,0))</f>
        <v/>
      </c>
      <c r="E16" s="144" t="e">
        <f t="shared" si="2"/>
        <v>#VALUE!</v>
      </c>
    </row>
    <row r="17" spans="1:5" ht="14.4" customHeight="1" x14ac:dyDescent="0.3">
      <c r="A17" s="165" t="str">
        <f>HYPERLINK("#'ZV Vykáz.-H'!A1","Zdravotní výkony vykázané u hospitalizovaných pacientů (max. 85 %)")</f>
        <v>Zdravotní výkony vykázané u hospitalizovaných pacientů (max. 85 %)</v>
      </c>
      <c r="B17" t="s">
        <v>111</v>
      </c>
      <c r="C17" s="141">
        <v>0.85</v>
      </c>
      <c r="D17" s="141">
        <f>IF(ISERROR(VLOOKUP("Celkem:",'ZV Vykáz.-H'!$A:$S,7,0)),"",VLOOKUP("Celkem:",'ZV Vykáz.-H'!$A:$S,7,0))</f>
        <v>0.86284827632732919</v>
      </c>
      <c r="E17" s="144">
        <f t="shared" si="2"/>
        <v>1.0151156192086226</v>
      </c>
    </row>
    <row r="18" spans="1:5" ht="14.4" customHeight="1" x14ac:dyDescent="0.3">
      <c r="A18" s="173" t="str">
        <f>HYPERLINK("#HI!A1","Hospitalizace (casemix * 29500)")</f>
        <v>Hospitalizace (casemix * 29500)</v>
      </c>
      <c r="B18" s="132"/>
      <c r="C18" s="151">
        <f ca="1">IF(ISERROR(VLOOKUP("Hospitalizace (casemix * 29500)",INDIRECT("HI!$A:$G"),6,0)),0,VLOOKUP("Hospitalizace (casemix * 29500)",INDIRECT("HI!$A:$G"),6,0))</f>
        <v>0</v>
      </c>
      <c r="D18" s="151">
        <f ca="1">IF(ISERROR(VLOOKUP("Hospitalizace (casemix * 29500)",INDIRECT("HI!$A:$G"),4,0)),0,VLOOKUP("Hospitalizace (casemix * 29500)",INDIRECT("HI!$A:$G"),4,0))</f>
        <v>0</v>
      </c>
      <c r="E18" s="144">
        <f t="shared" ref="E18" ca="1" si="3">IF(C18=0,0,D18/C18)</f>
        <v>0</v>
      </c>
    </row>
    <row r="19" spans="1:5" ht="14.4" customHeight="1" thickBot="1" x14ac:dyDescent="0.35">
      <c r="A19" s="138" t="s">
        <v>124</v>
      </c>
      <c r="B19" s="133"/>
      <c r="C19" s="152"/>
      <c r="D19" s="152"/>
      <c r="E19" s="145"/>
    </row>
    <row r="20" spans="1:5" ht="14.4" customHeight="1" thickBot="1" x14ac:dyDescent="0.35">
      <c r="A20" s="130"/>
      <c r="B20" s="106"/>
      <c r="C20" s="153"/>
      <c r="D20" s="153"/>
      <c r="E20" s="148"/>
    </row>
    <row r="21" spans="1:5" ht="14.4" customHeight="1" thickBot="1" x14ac:dyDescent="0.35">
      <c r="A21" s="139" t="s">
        <v>125</v>
      </c>
      <c r="B21" s="135"/>
      <c r="C21" s="155"/>
      <c r="D21" s="155"/>
      <c r="E21" s="149"/>
    </row>
  </sheetData>
  <mergeCells count="1">
    <mergeCell ref="A1:E1"/>
  </mergeCells>
  <conditionalFormatting sqref="E5">
    <cfRule type="cellIs" dxfId="1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6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" priority="27" operator="lessThan">
      <formula>1</formula>
    </cfRule>
    <cfRule type="iconSet" priority="28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3" priority="33" operator="greaterThan">
      <formula>1</formula>
    </cfRule>
    <cfRule type="iconSet" priority="3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84" t="s">
        <v>118</v>
      </c>
      <c r="B1" s="184"/>
      <c r="C1" s="184"/>
      <c r="D1" s="184"/>
      <c r="E1" s="184"/>
      <c r="F1" s="184"/>
      <c r="G1" s="184"/>
    </row>
    <row r="2" spans="1:7" ht="14.4" customHeight="1" thickBot="1" x14ac:dyDescent="0.35">
      <c r="A2" s="228" t="s">
        <v>128</v>
      </c>
      <c r="B2" s="61"/>
      <c r="C2" s="61"/>
      <c r="D2" s="61"/>
      <c r="E2" s="61"/>
      <c r="F2" s="61"/>
      <c r="G2" s="61"/>
    </row>
    <row r="3" spans="1:7" ht="14.4" customHeight="1" x14ac:dyDescent="0.3">
      <c r="A3" s="187"/>
      <c r="B3" s="189" t="s">
        <v>64</v>
      </c>
      <c r="C3" s="190"/>
      <c r="D3" s="191"/>
      <c r="E3" s="10"/>
      <c r="F3" s="48" t="s">
        <v>65</v>
      </c>
      <c r="G3" s="49" t="s">
        <v>66</v>
      </c>
    </row>
    <row r="4" spans="1:7" ht="14.4" customHeight="1" thickBot="1" x14ac:dyDescent="0.35">
      <c r="A4" s="188"/>
      <c r="B4" s="50">
        <v>2011</v>
      </c>
      <c r="C4" s="46">
        <v>2012</v>
      </c>
      <c r="D4" s="47">
        <v>2013</v>
      </c>
      <c r="E4" s="10"/>
      <c r="F4" s="192">
        <v>2013</v>
      </c>
      <c r="G4" s="193"/>
    </row>
    <row r="5" spans="1:7" ht="14.4" customHeight="1" x14ac:dyDescent="0.3">
      <c r="A5" s="159" t="str">
        <f>HYPERLINK("#'Léky Žádanky'!A1","Léky (Kč)")</f>
        <v>Léky (Kč)</v>
      </c>
      <c r="B5" s="33">
        <v>0</v>
      </c>
      <c r="C5" s="34">
        <v>0</v>
      </c>
      <c r="D5" s="35">
        <v>0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59" t="str">
        <f>HYPERLINK("#'Materiál Žádanky'!A1","Materiál - SZM (Kč)")</f>
        <v>Materiál - SZM (Kč)</v>
      </c>
      <c r="B6" s="14">
        <v>0</v>
      </c>
      <c r="C6" s="36">
        <v>0</v>
      </c>
      <c r="D6" s="37">
        <v>0</v>
      </c>
      <c r="E6" s="11"/>
      <c r="F6" s="14">
        <v>0</v>
      </c>
      <c r="G6" s="15" t="str">
        <f>IF(F6&lt;0.00000001,"",D6/F6)</f>
        <v/>
      </c>
    </row>
    <row r="7" spans="1:7" ht="14.4" customHeight="1" x14ac:dyDescent="0.3">
      <c r="A7" s="159" t="str">
        <f>HYPERLINK("#'Osobní náklady'!A1","Osobní náklady (Kč)")</f>
        <v>Osobní náklady (Kč)</v>
      </c>
      <c r="B7" s="14">
        <v>1060.46364961422</v>
      </c>
      <c r="C7" s="36">
        <v>1429.77487</v>
      </c>
      <c r="D7" s="37">
        <v>1471.4105099999999</v>
      </c>
      <c r="E7" s="11"/>
      <c r="F7" s="14">
        <v>1353</v>
      </c>
      <c r="G7" s="15">
        <f>IF(F7&lt;0.00000001,"",D7/F7)</f>
        <v>1.0875170066518847</v>
      </c>
    </row>
    <row r="8" spans="1:7" ht="14.4" customHeight="1" thickBot="1" x14ac:dyDescent="0.35">
      <c r="A8" s="1" t="s">
        <v>67</v>
      </c>
      <c r="B8" s="16">
        <v>17.599649495710999</v>
      </c>
      <c r="C8" s="38">
        <v>8.2036200000000008</v>
      </c>
      <c r="D8" s="39">
        <v>6.3969299999990001</v>
      </c>
      <c r="E8" s="11"/>
      <c r="F8" s="16">
        <v>-1.0869444208507424E-322</v>
      </c>
      <c r="G8" s="17" t="str">
        <f>IF(F8&lt;0.00000001,"",D8/F8)</f>
        <v/>
      </c>
    </row>
    <row r="9" spans="1:7" ht="14.4" customHeight="1" thickBot="1" x14ac:dyDescent="0.35">
      <c r="A9" s="2" t="s">
        <v>68</v>
      </c>
      <c r="B9" s="3">
        <v>1078.0632991099301</v>
      </c>
      <c r="C9" s="40">
        <v>1437.97849</v>
      </c>
      <c r="D9" s="41">
        <v>1477.80744</v>
      </c>
      <c r="E9" s="11"/>
      <c r="F9" s="3">
        <v>1353</v>
      </c>
      <c r="G9" s="4">
        <f>IF(F9&lt;0.00000001,"",D9/F9)</f>
        <v>1.0922449667405765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61" t="str">
        <f>HYPERLINK("#'ZV Vykáz.-A'!A1","Ambulance (body)")</f>
        <v>Ambulance (body)</v>
      </c>
      <c r="B11" s="12">
        <f>IF(ISERROR(VLOOKUP("Celkem:",'ZV Vykáz.-A'!A:F,2,0)),0,VLOOKUP("Celkem:",'ZV Vykáz.-A'!A:F,2,0)/1000)</f>
        <v>0</v>
      </c>
      <c r="C11" s="34">
        <f>IF(ISERROR(VLOOKUP("Celkem:",'ZV Vykáz.-A'!A:F,4,0)),0,VLOOKUP("Celkem:",'ZV Vykáz.-A'!A:F,4,0)/1000)</f>
        <v>0</v>
      </c>
      <c r="D11" s="35">
        <f>IF(ISERROR(VLOOKUP("Celkem:",'ZV Vykáz.-A'!A:F,6,0)),0,VLOOKUP("Celkem:",'ZV Vykáz.-A'!A:F,6,0)/1000)</f>
        <v>0.32700000000000001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62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71</v>
      </c>
      <c r="B13" s="6">
        <f>SUM(B11:B12)</f>
        <v>0</v>
      </c>
      <c r="C13" s="42">
        <f>SUM(C11:C12)</f>
        <v>0</v>
      </c>
      <c r="D13" s="43">
        <f>SUM(D11:D12)</f>
        <v>0.32700000000000001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68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2.2127375404200158E-4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60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2" priority="6" operator="greaterThan">
      <formula>1</formula>
    </cfRule>
  </conditionalFormatting>
  <conditionalFormatting sqref="G11:G15">
    <cfRule type="cellIs" dxfId="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84"/>
    <col min="2" max="13" width="8.88671875" style="84" customWidth="1"/>
    <col min="14" max="16384" width="8.88671875" style="84"/>
  </cols>
  <sheetData>
    <row r="1" spans="1:13" ht="18.600000000000001" customHeight="1" thickBot="1" x14ac:dyDescent="0.4">
      <c r="A1" s="184" t="s">
        <v>98</v>
      </c>
      <c r="B1" s="184"/>
      <c r="C1" s="184"/>
      <c r="D1" s="184"/>
      <c r="E1" s="184"/>
      <c r="F1" s="184"/>
      <c r="G1" s="184"/>
      <c r="H1" s="194"/>
      <c r="I1" s="194"/>
      <c r="J1" s="194"/>
      <c r="K1" s="194"/>
      <c r="L1" s="194"/>
      <c r="M1" s="194"/>
    </row>
    <row r="2" spans="1:13" ht="14.4" customHeight="1" x14ac:dyDescent="0.3">
      <c r="A2" s="228" t="s">
        <v>128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4.4" customHeight="1" x14ac:dyDescent="0.3">
      <c r="A3" s="110"/>
      <c r="B3" s="111" t="s">
        <v>73</v>
      </c>
      <c r="C3" s="112" t="s">
        <v>74</v>
      </c>
      <c r="D3" s="112" t="s">
        <v>75</v>
      </c>
      <c r="E3" s="111" t="s">
        <v>76</v>
      </c>
      <c r="F3" s="112" t="s">
        <v>77</v>
      </c>
      <c r="G3" s="112" t="s">
        <v>78</v>
      </c>
      <c r="H3" s="112" t="s">
        <v>79</v>
      </c>
      <c r="I3" s="112" t="s">
        <v>80</v>
      </c>
      <c r="J3" s="112" t="s">
        <v>81</v>
      </c>
      <c r="K3" s="112" t="s">
        <v>82</v>
      </c>
      <c r="L3" s="112" t="s">
        <v>83</v>
      </c>
      <c r="M3" s="112" t="s">
        <v>84</v>
      </c>
    </row>
    <row r="4" spans="1:13" ht="14.4" customHeight="1" x14ac:dyDescent="0.3">
      <c r="A4" s="110" t="s">
        <v>72</v>
      </c>
      <c r="B4" s="113">
        <f>(B10+B8)/B6</f>
        <v>2.6929924383737092E-3</v>
      </c>
      <c r="C4" s="113">
        <f t="shared" ref="C4:M4" si="0">(C10+C8)/C6</f>
        <v>1.3284527522981623E-3</v>
      </c>
      <c r="D4" s="113">
        <f t="shared" si="0"/>
        <v>8.7766013553327031E-4</v>
      </c>
      <c r="E4" s="113">
        <f t="shared" si="0"/>
        <v>6.5805114711596708E-4</v>
      </c>
      <c r="F4" s="113">
        <f t="shared" si="0"/>
        <v>5.2326097455484286E-4</v>
      </c>
      <c r="G4" s="113">
        <f t="shared" si="0"/>
        <v>4.3645775689543187E-4</v>
      </c>
      <c r="H4" s="113">
        <f t="shared" si="0"/>
        <v>3.5670049554534531E-4</v>
      </c>
      <c r="I4" s="113">
        <f t="shared" si="0"/>
        <v>3.1362951283256396E-4</v>
      </c>
      <c r="J4" s="113">
        <f t="shared" si="0"/>
        <v>2.7999784050595182E-4</v>
      </c>
      <c r="K4" s="113">
        <f t="shared" si="0"/>
        <v>2.512613183715184E-4</v>
      </c>
      <c r="L4" s="113">
        <f t="shared" si="0"/>
        <v>2.2127375404200158E-4</v>
      </c>
      <c r="M4" s="113">
        <f t="shared" si="0"/>
        <v>2.2127375404200158E-4</v>
      </c>
    </row>
    <row r="5" spans="1:13" ht="14.4" customHeight="1" x14ac:dyDescent="0.3">
      <c r="A5" s="114" t="s">
        <v>40</v>
      </c>
      <c r="B5" s="113">
        <f>IF(ISERROR(VLOOKUP($A5,'Man Tab'!$A:$Q,COLUMN()+2,0)),0,VLOOKUP($A5,'Man Tab'!$A:$Q,COLUMN()+2,0))</f>
        <v>121.42626</v>
      </c>
      <c r="C5" s="113">
        <f>IF(ISERROR(VLOOKUP($A5,'Man Tab'!$A:$Q,COLUMN()+2,0)),0,VLOOKUP($A5,'Man Tab'!$A:$Q,COLUMN()+2,0))</f>
        <v>124.72476</v>
      </c>
      <c r="D5" s="113">
        <f>IF(ISERROR(VLOOKUP($A5,'Man Tab'!$A:$Q,COLUMN()+2,0)),0,VLOOKUP($A5,'Man Tab'!$A:$Q,COLUMN()+2,0))</f>
        <v>126.43056</v>
      </c>
      <c r="E5" s="113">
        <f>IF(ISERROR(VLOOKUP($A5,'Man Tab'!$A:$Q,COLUMN()+2,0)),0,VLOOKUP($A5,'Man Tab'!$A:$Q,COLUMN()+2,0))</f>
        <v>124.34028000000001</v>
      </c>
      <c r="F5" s="113">
        <f>IF(ISERROR(VLOOKUP($A5,'Man Tab'!$A:$Q,COLUMN()+2,0)),0,VLOOKUP($A5,'Man Tab'!$A:$Q,COLUMN()+2,0))</f>
        <v>128.00531000000001</v>
      </c>
      <c r="G5" s="113">
        <f>IF(ISERROR(VLOOKUP($A5,'Man Tab'!$A:$Q,COLUMN()+2,0)),0,VLOOKUP($A5,'Man Tab'!$A:$Q,COLUMN()+2,0))</f>
        <v>124.28623</v>
      </c>
      <c r="H5" s="113">
        <f>IF(ISERROR(VLOOKUP($A5,'Man Tab'!$A:$Q,COLUMN()+2,0)),0,VLOOKUP($A5,'Man Tab'!$A:$Q,COLUMN()+2,0))</f>
        <v>167.52207999999999</v>
      </c>
      <c r="I5" s="113">
        <f>IF(ISERROR(VLOOKUP($A5,'Man Tab'!$A:$Q,COLUMN()+2,0)),0,VLOOKUP($A5,'Man Tab'!$A:$Q,COLUMN()+2,0))</f>
        <v>125.89599</v>
      </c>
      <c r="J5" s="113">
        <f>IF(ISERROR(VLOOKUP($A5,'Man Tab'!$A:$Q,COLUMN()+2,0)),0,VLOOKUP($A5,'Man Tab'!$A:$Q,COLUMN()+2,0))</f>
        <v>125.23468</v>
      </c>
      <c r="K5" s="113">
        <f>IF(ISERROR(VLOOKUP($A5,'Man Tab'!$A:$Q,COLUMN()+2,0)),0,VLOOKUP($A5,'Man Tab'!$A:$Q,COLUMN()+2,0))</f>
        <v>133.56775999999999</v>
      </c>
      <c r="L5" s="113">
        <f>IF(ISERROR(VLOOKUP($A5,'Man Tab'!$A:$Q,COLUMN()+2,0)),0,VLOOKUP($A5,'Man Tab'!$A:$Q,COLUMN()+2,0))</f>
        <v>176.37352999999999</v>
      </c>
      <c r="M5" s="113">
        <f>IF(ISERROR(VLOOKUP($A5,'Man Tab'!$A:$Q,COLUMN()+2,0)),0,VLOOKUP($A5,'Man Tab'!$A:$Q,COLUMN()+2,0))</f>
        <v>4.9406564584124654E-324</v>
      </c>
    </row>
    <row r="6" spans="1:13" ht="14.4" customHeight="1" x14ac:dyDescent="0.3">
      <c r="A6" s="114" t="s">
        <v>68</v>
      </c>
      <c r="B6" s="115">
        <f>B5</f>
        <v>121.42626</v>
      </c>
      <c r="C6" s="115">
        <f t="shared" ref="C6:M6" si="1">C5+B6</f>
        <v>246.15102000000002</v>
      </c>
      <c r="D6" s="115">
        <f t="shared" si="1"/>
        <v>372.58158000000003</v>
      </c>
      <c r="E6" s="115">
        <f t="shared" si="1"/>
        <v>496.92186000000004</v>
      </c>
      <c r="F6" s="115">
        <f t="shared" si="1"/>
        <v>624.92717000000005</v>
      </c>
      <c r="G6" s="115">
        <f t="shared" si="1"/>
        <v>749.21340000000009</v>
      </c>
      <c r="H6" s="115">
        <f t="shared" si="1"/>
        <v>916.73548000000005</v>
      </c>
      <c r="I6" s="115">
        <f t="shared" si="1"/>
        <v>1042.63147</v>
      </c>
      <c r="J6" s="115">
        <f t="shared" si="1"/>
        <v>1167.8661500000001</v>
      </c>
      <c r="K6" s="115">
        <f t="shared" si="1"/>
        <v>1301.43391</v>
      </c>
      <c r="L6" s="115">
        <f t="shared" si="1"/>
        <v>1477.80744</v>
      </c>
      <c r="M6" s="115">
        <f t="shared" si="1"/>
        <v>1477.80744</v>
      </c>
    </row>
    <row r="7" spans="1:13" ht="14.4" customHeight="1" x14ac:dyDescent="0.3">
      <c r="A7" s="114" t="s">
        <v>96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 ht="14.4" customHeight="1" x14ac:dyDescent="0.3">
      <c r="A8" s="114" t="s">
        <v>69</v>
      </c>
      <c r="B8" s="115">
        <f>B7*29.5</f>
        <v>0</v>
      </c>
      <c r="C8" s="115">
        <f t="shared" ref="C8:M8" si="2">C7*29.5</f>
        <v>0</v>
      </c>
      <c r="D8" s="115">
        <f t="shared" si="2"/>
        <v>0</v>
      </c>
      <c r="E8" s="115">
        <f t="shared" si="2"/>
        <v>0</v>
      </c>
      <c r="F8" s="115">
        <f t="shared" si="2"/>
        <v>0</v>
      </c>
      <c r="G8" s="115">
        <f t="shared" si="2"/>
        <v>0</v>
      </c>
      <c r="H8" s="115">
        <f t="shared" si="2"/>
        <v>0</v>
      </c>
      <c r="I8" s="115">
        <f t="shared" si="2"/>
        <v>0</v>
      </c>
      <c r="J8" s="115">
        <f t="shared" si="2"/>
        <v>0</v>
      </c>
      <c r="K8" s="115">
        <f t="shared" si="2"/>
        <v>0</v>
      </c>
      <c r="L8" s="115">
        <f t="shared" si="2"/>
        <v>0</v>
      </c>
      <c r="M8" s="115">
        <f t="shared" si="2"/>
        <v>0</v>
      </c>
    </row>
    <row r="9" spans="1:13" ht="14.4" customHeight="1" x14ac:dyDescent="0.3">
      <c r="A9" s="114" t="s">
        <v>97</v>
      </c>
      <c r="B9" s="114">
        <v>327</v>
      </c>
      <c r="C9" s="114">
        <v>0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</row>
    <row r="10" spans="1:13" ht="14.4" customHeight="1" x14ac:dyDescent="0.3">
      <c r="A10" s="114" t="s">
        <v>70</v>
      </c>
      <c r="B10" s="115">
        <f>B9/1000</f>
        <v>0.32700000000000001</v>
      </c>
      <c r="C10" s="115">
        <f t="shared" ref="C10:M10" si="3">C9/1000+B10</f>
        <v>0.32700000000000001</v>
      </c>
      <c r="D10" s="115">
        <f t="shared" si="3"/>
        <v>0.32700000000000001</v>
      </c>
      <c r="E10" s="115">
        <f t="shared" si="3"/>
        <v>0.32700000000000001</v>
      </c>
      <c r="F10" s="115">
        <f t="shared" si="3"/>
        <v>0.32700000000000001</v>
      </c>
      <c r="G10" s="115">
        <f t="shared" si="3"/>
        <v>0.32700000000000001</v>
      </c>
      <c r="H10" s="115">
        <f t="shared" si="3"/>
        <v>0.32700000000000001</v>
      </c>
      <c r="I10" s="115">
        <f t="shared" si="3"/>
        <v>0.32700000000000001</v>
      </c>
      <c r="J10" s="115">
        <f t="shared" si="3"/>
        <v>0.32700000000000001</v>
      </c>
      <c r="K10" s="115">
        <f t="shared" si="3"/>
        <v>0.32700000000000001</v>
      </c>
      <c r="L10" s="115">
        <f t="shared" si="3"/>
        <v>0.32700000000000001</v>
      </c>
      <c r="M10" s="115">
        <f t="shared" si="3"/>
        <v>0.32700000000000001</v>
      </c>
    </row>
    <row r="11" spans="1:13" ht="14.4" customHeight="1" x14ac:dyDescent="0.3">
      <c r="A11" s="110"/>
      <c r="B11" s="110" t="s">
        <v>85</v>
      </c>
      <c r="C11" s="110">
        <f>COUNTIF(B7:M7,"&lt;&gt;")</f>
        <v>0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</row>
    <row r="12" spans="1:13" ht="14.4" customHeight="1" x14ac:dyDescent="0.3">
      <c r="A12" s="110">
        <v>0</v>
      </c>
      <c r="B12" s="113">
        <f>IF(ISERROR(HI!F15),#REF!,HI!F15)</f>
        <v>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</row>
    <row r="13" spans="1:13" ht="14.4" customHeight="1" x14ac:dyDescent="0.3">
      <c r="A13" s="110">
        <v>1</v>
      </c>
      <c r="B13" s="113">
        <f>IF(ISERROR(HI!F15),#REF!,HI!F15)</f>
        <v>0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96" t="s">
        <v>130</v>
      </c>
      <c r="B1" s="196"/>
      <c r="C1" s="196"/>
      <c r="D1" s="196"/>
      <c r="E1" s="196"/>
      <c r="F1" s="196"/>
      <c r="G1" s="196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7" s="62" customFormat="1" ht="14.4" customHeight="1" thickBot="1" x14ac:dyDescent="0.35">
      <c r="A2" s="228" t="s">
        <v>128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97" t="s">
        <v>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51"/>
      <c r="Q3" s="53"/>
    </row>
    <row r="4" spans="1:17" ht="14.4" customHeight="1" x14ac:dyDescent="0.3">
      <c r="A4" s="87"/>
      <c r="B4" s="26" t="s">
        <v>4</v>
      </c>
      <c r="C4" s="52" t="s">
        <v>5</v>
      </c>
      <c r="D4" s="52" t="s">
        <v>6</v>
      </c>
      <c r="E4" s="52" t="s">
        <v>7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2" t="s">
        <v>15</v>
      </c>
      <c r="N4" s="52" t="s">
        <v>16</v>
      </c>
      <c r="O4" s="52" t="s">
        <v>17</v>
      </c>
      <c r="P4" s="199" t="s">
        <v>1</v>
      </c>
      <c r="Q4" s="200"/>
    </row>
    <row r="5" spans="1:17" ht="14.4" customHeight="1" thickBot="1" x14ac:dyDescent="0.35">
      <c r="A5" s="88"/>
      <c r="B5" s="27" t="s">
        <v>18</v>
      </c>
      <c r="C5" s="28" t="s">
        <v>18</v>
      </c>
      <c r="D5" s="28" t="s">
        <v>19</v>
      </c>
      <c r="E5" s="28" t="s">
        <v>19</v>
      </c>
      <c r="F5" s="28" t="s">
        <v>19</v>
      </c>
      <c r="G5" s="28" t="s">
        <v>19</v>
      </c>
      <c r="H5" s="28" t="s">
        <v>19</v>
      </c>
      <c r="I5" s="28" t="s">
        <v>19</v>
      </c>
      <c r="J5" s="28" t="s">
        <v>19</v>
      </c>
      <c r="K5" s="28" t="s">
        <v>19</v>
      </c>
      <c r="L5" s="28" t="s">
        <v>19</v>
      </c>
      <c r="M5" s="28" t="s">
        <v>19</v>
      </c>
      <c r="N5" s="28" t="s">
        <v>19</v>
      </c>
      <c r="O5" s="28" t="s">
        <v>19</v>
      </c>
      <c r="P5" s="28" t="s">
        <v>19</v>
      </c>
      <c r="Q5" s="29" t="s">
        <v>20</v>
      </c>
    </row>
    <row r="6" spans="1:17" ht="14.4" customHeight="1" x14ac:dyDescent="0.3">
      <c r="A6" s="20" t="s">
        <v>21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5.434722104253712E-323</v>
      </c>
      <c r="Q6" s="101" t="s">
        <v>129</v>
      </c>
    </row>
    <row r="7" spans="1:17" ht="14.4" customHeight="1" x14ac:dyDescent="0.3">
      <c r="A7" s="21" t="s">
        <v>22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4.9406564584124654E-324</v>
      </c>
      <c r="G7" s="68">
        <v>4.9406564584124654E-324</v>
      </c>
      <c r="H7" s="68">
        <v>4.9406564584124654E-324</v>
      </c>
      <c r="I7" s="68">
        <v>4.9406564584124654E-324</v>
      </c>
      <c r="J7" s="68">
        <v>4.9406564584124654E-324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5.434722104253712E-323</v>
      </c>
      <c r="Q7" s="102" t="s">
        <v>129</v>
      </c>
    </row>
    <row r="8" spans="1:17" ht="14.4" customHeight="1" x14ac:dyDescent="0.3">
      <c r="A8" s="21" t="s">
        <v>23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5.434722104253712E-323</v>
      </c>
      <c r="Q8" s="102" t="s">
        <v>129</v>
      </c>
    </row>
    <row r="9" spans="1:17" ht="14.4" customHeight="1" x14ac:dyDescent="0.3">
      <c r="A9" s="21" t="s">
        <v>24</v>
      </c>
      <c r="B9" s="67">
        <v>0</v>
      </c>
      <c r="C9" s="68">
        <v>0</v>
      </c>
      <c r="D9" s="68">
        <v>4.9406564584124654E-324</v>
      </c>
      <c r="E9" s="68">
        <v>4.9406564584124654E-324</v>
      </c>
      <c r="F9" s="68">
        <v>4.9406564584124654E-324</v>
      </c>
      <c r="G9" s="68">
        <v>4.9406564584124654E-324</v>
      </c>
      <c r="H9" s="68">
        <v>4.9406564584124654E-324</v>
      </c>
      <c r="I9" s="68">
        <v>4.9406564584124654E-324</v>
      </c>
      <c r="J9" s="68">
        <v>4.9406564584124654E-324</v>
      </c>
      <c r="K9" s="68">
        <v>4.9406564584124654E-324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5.434722104253712E-323</v>
      </c>
      <c r="Q9" s="102" t="s">
        <v>129</v>
      </c>
    </row>
    <row r="10" spans="1:17" ht="14.4" customHeight="1" x14ac:dyDescent="0.3">
      <c r="A10" s="21" t="s">
        <v>25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5.434722104253712E-323</v>
      </c>
      <c r="Q10" s="102" t="s">
        <v>129</v>
      </c>
    </row>
    <row r="11" spans="1:17" ht="14.4" customHeight="1" x14ac:dyDescent="0.3">
      <c r="A11" s="21" t="s">
        <v>26</v>
      </c>
      <c r="B11" s="67">
        <v>1.4305906472650001</v>
      </c>
      <c r="C11" s="68">
        <v>0.119215887272</v>
      </c>
      <c r="D11" s="68">
        <v>4.9406564584124654E-324</v>
      </c>
      <c r="E11" s="68">
        <v>4.9406564584124654E-324</v>
      </c>
      <c r="F11" s="68">
        <v>4.9406564584124654E-324</v>
      </c>
      <c r="G11" s="68">
        <v>4.9406564584124654E-324</v>
      </c>
      <c r="H11" s="68">
        <v>4.9406564584124654E-324</v>
      </c>
      <c r="I11" s="68">
        <v>0.30370999999999998</v>
      </c>
      <c r="J11" s="68">
        <v>4.9406564584124654E-324</v>
      </c>
      <c r="K11" s="68">
        <v>4.9406564584124654E-324</v>
      </c>
      <c r="L11" s="68">
        <v>4.9406564584124654E-324</v>
      </c>
      <c r="M11" s="68">
        <v>4.9406564584124654E-324</v>
      </c>
      <c r="N11" s="68">
        <v>4.9406564584124654E-324</v>
      </c>
      <c r="O11" s="68">
        <v>4.9406564584124654E-324</v>
      </c>
      <c r="P11" s="69">
        <v>0.30370999999999998</v>
      </c>
      <c r="Q11" s="102">
        <v>0.23159664900099999</v>
      </c>
    </row>
    <row r="12" spans="1:17" ht="14.4" customHeight="1" x14ac:dyDescent="0.3">
      <c r="A12" s="21" t="s">
        <v>27</v>
      </c>
      <c r="B12" s="67">
        <v>0.175915623598</v>
      </c>
      <c r="C12" s="68">
        <v>1.4659635299000001E-2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4.9406564584124654E-324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5.434722104253712E-323</v>
      </c>
      <c r="Q12" s="102">
        <v>3.3596463917204765E-322</v>
      </c>
    </row>
    <row r="13" spans="1:17" ht="14.4" customHeight="1" x14ac:dyDescent="0.3">
      <c r="A13" s="21" t="s">
        <v>28</v>
      </c>
      <c r="B13" s="67">
        <v>0</v>
      </c>
      <c r="C13" s="68">
        <v>0</v>
      </c>
      <c r="D13" s="68">
        <v>4.9406564584124654E-324</v>
      </c>
      <c r="E13" s="68">
        <v>0.53544999999999998</v>
      </c>
      <c r="F13" s="68">
        <v>0.16350000000000001</v>
      </c>
      <c r="G13" s="68">
        <v>4.9406564584124654E-324</v>
      </c>
      <c r="H13" s="68">
        <v>4.9406564584124654E-324</v>
      </c>
      <c r="I13" s="68">
        <v>4.9406564584124654E-324</v>
      </c>
      <c r="J13" s="68">
        <v>4.9406564584124654E-324</v>
      </c>
      <c r="K13" s="68">
        <v>4.9406564584124654E-324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0.69894999999999996</v>
      </c>
      <c r="Q13" s="102" t="s">
        <v>129</v>
      </c>
    </row>
    <row r="14" spans="1:17" ht="14.4" customHeight="1" x14ac:dyDescent="0.3">
      <c r="A14" s="21" t="s">
        <v>29</v>
      </c>
      <c r="B14" s="67">
        <v>4.9406564584124654E-324</v>
      </c>
      <c r="C14" s="68">
        <v>0</v>
      </c>
      <c r="D14" s="68">
        <v>4.9406564584124654E-324</v>
      </c>
      <c r="E14" s="68">
        <v>4.9406564584124654E-324</v>
      </c>
      <c r="F14" s="68">
        <v>4.9406564584124654E-324</v>
      </c>
      <c r="G14" s="68">
        <v>4.9406564584124654E-324</v>
      </c>
      <c r="H14" s="68">
        <v>4.9406564584124654E-324</v>
      </c>
      <c r="I14" s="68">
        <v>4.9406564584124654E-324</v>
      </c>
      <c r="J14" s="68">
        <v>4.9406564584124654E-324</v>
      </c>
      <c r="K14" s="68">
        <v>4.9406564584124654E-324</v>
      </c>
      <c r="L14" s="68">
        <v>4.9406564584124654E-324</v>
      </c>
      <c r="M14" s="68">
        <v>4.9406564584124654E-324</v>
      </c>
      <c r="N14" s="68">
        <v>4.9406564584124654E-324</v>
      </c>
      <c r="O14" s="68">
        <v>4.9406564584124654E-324</v>
      </c>
      <c r="P14" s="69">
        <v>5.434722104253712E-323</v>
      </c>
      <c r="Q14" s="102" t="s">
        <v>129</v>
      </c>
    </row>
    <row r="15" spans="1:17" ht="14.4" customHeight="1" x14ac:dyDescent="0.3">
      <c r="A15" s="21" t="s">
        <v>30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5.434722104253712E-323</v>
      </c>
      <c r="Q15" s="102" t="s">
        <v>129</v>
      </c>
    </row>
    <row r="16" spans="1:17" ht="14.4" customHeight="1" x14ac:dyDescent="0.3">
      <c r="A16" s="21" t="s">
        <v>31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5.434722104253712E-323</v>
      </c>
      <c r="Q16" s="102" t="s">
        <v>129</v>
      </c>
    </row>
    <row r="17" spans="1:17" ht="14.4" customHeight="1" x14ac:dyDescent="0.3">
      <c r="A17" s="21" t="s">
        <v>32</v>
      </c>
      <c r="B17" s="67">
        <v>1.999852480828</v>
      </c>
      <c r="C17" s="68">
        <v>0.16665437340200001</v>
      </c>
      <c r="D17" s="68">
        <v>4.9406564584124654E-324</v>
      </c>
      <c r="E17" s="68">
        <v>4.9406564584124654E-324</v>
      </c>
      <c r="F17" s="68">
        <v>4.9406564584124654E-324</v>
      </c>
      <c r="G17" s="68">
        <v>4.9406564584124654E-324</v>
      </c>
      <c r="H17" s="68">
        <v>4.9406564584124654E-324</v>
      </c>
      <c r="I17" s="68">
        <v>4.9406564584124654E-324</v>
      </c>
      <c r="J17" s="68">
        <v>4.9406564584124654E-324</v>
      </c>
      <c r="K17" s="68">
        <v>4.9406564584124654E-324</v>
      </c>
      <c r="L17" s="68">
        <v>4.9406564584124654E-324</v>
      </c>
      <c r="M17" s="68">
        <v>4.9406564584124654E-324</v>
      </c>
      <c r="N17" s="68">
        <v>4.9406564584124654E-324</v>
      </c>
      <c r="O17" s="68">
        <v>4.9406564584124654E-324</v>
      </c>
      <c r="P17" s="69">
        <v>5.434722104253712E-323</v>
      </c>
      <c r="Q17" s="102">
        <v>2.9643938750474793E-323</v>
      </c>
    </row>
    <row r="18" spans="1:17" ht="14.4" customHeight="1" x14ac:dyDescent="0.3">
      <c r="A18" s="21" t="s">
        <v>33</v>
      </c>
      <c r="B18" s="67">
        <v>0</v>
      </c>
      <c r="C18" s="68">
        <v>0</v>
      </c>
      <c r="D18" s="68">
        <v>4.9406564584124654E-324</v>
      </c>
      <c r="E18" s="68">
        <v>4.9406564584124654E-324</v>
      </c>
      <c r="F18" s="68">
        <v>4.9406564584124654E-324</v>
      </c>
      <c r="G18" s="68">
        <v>4.9406564584124654E-324</v>
      </c>
      <c r="H18" s="68">
        <v>4.9406564584124654E-324</v>
      </c>
      <c r="I18" s="68">
        <v>4.9406564584124654E-324</v>
      </c>
      <c r="J18" s="68">
        <v>4.9406564584124654E-324</v>
      </c>
      <c r="K18" s="68">
        <v>4.9406564584124654E-324</v>
      </c>
      <c r="L18" s="68">
        <v>4.9406564584124654E-324</v>
      </c>
      <c r="M18" s="68">
        <v>4.9406564584124654E-324</v>
      </c>
      <c r="N18" s="68">
        <v>4.9406564584124654E-324</v>
      </c>
      <c r="O18" s="68">
        <v>4.9406564584124654E-324</v>
      </c>
      <c r="P18" s="69">
        <v>5.434722104253712E-323</v>
      </c>
      <c r="Q18" s="102" t="s">
        <v>129</v>
      </c>
    </row>
    <row r="19" spans="1:17" ht="14.4" customHeight="1" x14ac:dyDescent="0.3">
      <c r="A19" s="21" t="s">
        <v>34</v>
      </c>
      <c r="B19" s="67">
        <v>1.0110272795490001</v>
      </c>
      <c r="C19" s="68">
        <v>8.4252273294999999E-2</v>
      </c>
      <c r="D19" s="68">
        <v>-5.7299999999999999E-3</v>
      </c>
      <c r="E19" s="68">
        <v>4.9406564584124654E-324</v>
      </c>
      <c r="F19" s="68">
        <v>4.9406564584124654E-324</v>
      </c>
      <c r="G19" s="68">
        <v>4.9406564584124654E-324</v>
      </c>
      <c r="H19" s="68">
        <v>4.9406564584124654E-324</v>
      </c>
      <c r="I19" s="68">
        <v>4.9406564584124654E-324</v>
      </c>
      <c r="J19" s="68">
        <v>4.9406564584124654E-324</v>
      </c>
      <c r="K19" s="68">
        <v>4.9406564584124654E-324</v>
      </c>
      <c r="L19" s="68">
        <v>4.9406564584124654E-324</v>
      </c>
      <c r="M19" s="68">
        <v>4.9406564584124654E-324</v>
      </c>
      <c r="N19" s="68">
        <v>4.9406564584124654E-324</v>
      </c>
      <c r="O19" s="68">
        <v>4.9406564584124654E-324</v>
      </c>
      <c r="P19" s="69">
        <v>-5.7299999999999999E-3</v>
      </c>
      <c r="Q19" s="102">
        <v>-6.1827303940000002E-3</v>
      </c>
    </row>
    <row r="20" spans="1:17" ht="14.4" customHeight="1" x14ac:dyDescent="0.3">
      <c r="A20" s="21" t="s">
        <v>35</v>
      </c>
      <c r="B20" s="67">
        <v>1476.99960005362</v>
      </c>
      <c r="C20" s="68">
        <v>123.083300004469</v>
      </c>
      <c r="D20" s="68">
        <v>121.43199</v>
      </c>
      <c r="E20" s="68">
        <v>124.18931000000001</v>
      </c>
      <c r="F20" s="68">
        <v>124.36706</v>
      </c>
      <c r="G20" s="68">
        <v>124.34028000000001</v>
      </c>
      <c r="H20" s="68">
        <v>124.50530999999999</v>
      </c>
      <c r="I20" s="68">
        <v>123.98251999999999</v>
      </c>
      <c r="J20" s="68">
        <v>167.52207999999999</v>
      </c>
      <c r="K20" s="68">
        <v>125.89599</v>
      </c>
      <c r="L20" s="68">
        <v>125.23468</v>
      </c>
      <c r="M20" s="68">
        <v>133.56775999999999</v>
      </c>
      <c r="N20" s="68">
        <v>176.37352999999999</v>
      </c>
      <c r="O20" s="68">
        <v>4.9406564584124654E-324</v>
      </c>
      <c r="P20" s="69">
        <v>1471.4105099999999</v>
      </c>
      <c r="Q20" s="102">
        <v>1.0867809996419999</v>
      </c>
    </row>
    <row r="21" spans="1:17" ht="14.4" customHeight="1" x14ac:dyDescent="0.3">
      <c r="A21" s="22" t="s">
        <v>36</v>
      </c>
      <c r="B21" s="67">
        <v>1.4821969375237396E-323</v>
      </c>
      <c r="C21" s="68">
        <v>0</v>
      </c>
      <c r="D21" s="68">
        <v>1.4821969375237396E-323</v>
      </c>
      <c r="E21" s="68">
        <v>1.4821969375237396E-323</v>
      </c>
      <c r="F21" s="68">
        <v>1.4821969375237396E-323</v>
      </c>
      <c r="G21" s="68">
        <v>1.4821969375237396E-323</v>
      </c>
      <c r="H21" s="68">
        <v>1.4821969375237396E-323</v>
      </c>
      <c r="I21" s="68">
        <v>1.4821969375237396E-323</v>
      </c>
      <c r="J21" s="68">
        <v>1.4821969375237396E-323</v>
      </c>
      <c r="K21" s="68">
        <v>1.4821969375237396E-323</v>
      </c>
      <c r="L21" s="68">
        <v>1.4821969375237396E-323</v>
      </c>
      <c r="M21" s="68">
        <v>1.4821969375237396E-323</v>
      </c>
      <c r="N21" s="68">
        <v>1.4821969375237396E-323</v>
      </c>
      <c r="O21" s="68">
        <v>1.4821969375237396E-323</v>
      </c>
      <c r="P21" s="69">
        <v>1.6304166312761136E-322</v>
      </c>
      <c r="Q21" s="102" t="s">
        <v>129</v>
      </c>
    </row>
    <row r="22" spans="1:17" ht="14.4" customHeight="1" x14ac:dyDescent="0.3">
      <c r="A22" s="21" t="s">
        <v>37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4.9406564584124654E-324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5.434722104253712E-323</v>
      </c>
      <c r="Q22" s="102" t="s">
        <v>129</v>
      </c>
    </row>
    <row r="23" spans="1:17" ht="14.4" customHeight="1" x14ac:dyDescent="0.3">
      <c r="A23" s="22" t="s">
        <v>38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2.1738888417014848E-322</v>
      </c>
      <c r="Q23" s="102" t="s">
        <v>129</v>
      </c>
    </row>
    <row r="24" spans="1:17" ht="14.4" customHeight="1" x14ac:dyDescent="0.3">
      <c r="A24" s="22" t="s">
        <v>39</v>
      </c>
      <c r="B24" s="67">
        <v>0</v>
      </c>
      <c r="C24" s="68">
        <v>-1.4210854715202001E-14</v>
      </c>
      <c r="D24" s="68">
        <v>0</v>
      </c>
      <c r="E24" s="68">
        <v>0</v>
      </c>
      <c r="F24" s="68">
        <v>1.9</v>
      </c>
      <c r="G24" s="68">
        <v>0</v>
      </c>
      <c r="H24" s="68">
        <v>3.5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-1.0869444208507424E-322</v>
      </c>
      <c r="P24" s="69">
        <v>5.4</v>
      </c>
      <c r="Q24" s="102"/>
    </row>
    <row r="25" spans="1:17" ht="14.4" customHeight="1" x14ac:dyDescent="0.3">
      <c r="A25" s="23" t="s">
        <v>40</v>
      </c>
      <c r="B25" s="70">
        <v>1481.6169860848699</v>
      </c>
      <c r="C25" s="71">
        <v>123.46808217373901</v>
      </c>
      <c r="D25" s="71">
        <v>121.42626</v>
      </c>
      <c r="E25" s="71">
        <v>124.72476</v>
      </c>
      <c r="F25" s="71">
        <v>126.43056</v>
      </c>
      <c r="G25" s="71">
        <v>124.34028000000001</v>
      </c>
      <c r="H25" s="71">
        <v>128.00531000000001</v>
      </c>
      <c r="I25" s="71">
        <v>124.28623</v>
      </c>
      <c r="J25" s="71">
        <v>167.52207999999999</v>
      </c>
      <c r="K25" s="71">
        <v>125.89599</v>
      </c>
      <c r="L25" s="71">
        <v>125.23468</v>
      </c>
      <c r="M25" s="71">
        <v>133.56775999999999</v>
      </c>
      <c r="N25" s="71">
        <v>176.37352999999999</v>
      </c>
      <c r="O25" s="71">
        <v>4.9406564584124654E-324</v>
      </c>
      <c r="P25" s="72">
        <v>1477.80744</v>
      </c>
      <c r="Q25" s="103">
        <v>1.088104136258</v>
      </c>
    </row>
    <row r="26" spans="1:17" ht="14.4" customHeight="1" x14ac:dyDescent="0.3">
      <c r="A26" s="21" t="s">
        <v>41</v>
      </c>
      <c r="B26" s="67">
        <v>344.99999999999602</v>
      </c>
      <c r="C26" s="68">
        <v>28.749999999999002</v>
      </c>
      <c r="D26" s="68">
        <v>24.686810000000001</v>
      </c>
      <c r="E26" s="68">
        <v>21.1921</v>
      </c>
      <c r="F26" s="68">
        <v>18.803650000000001</v>
      </c>
      <c r="G26" s="68">
        <v>21.632809999999999</v>
      </c>
      <c r="H26" s="68">
        <v>23.50451</v>
      </c>
      <c r="I26" s="68">
        <v>38.839239999999997</v>
      </c>
      <c r="J26" s="68">
        <v>25.8126</v>
      </c>
      <c r="K26" s="68">
        <v>21.526579999999999</v>
      </c>
      <c r="L26" s="68">
        <v>21.117080000000001</v>
      </c>
      <c r="M26" s="68">
        <v>25.2105</v>
      </c>
      <c r="N26" s="68">
        <v>20.657440000000001</v>
      </c>
      <c r="O26" s="68">
        <v>4.9406564584124654E-324</v>
      </c>
      <c r="P26" s="69">
        <v>262.98331999999999</v>
      </c>
      <c r="Q26" s="102">
        <v>0.83156781027600002</v>
      </c>
    </row>
    <row r="27" spans="1:17" ht="14.4" customHeight="1" x14ac:dyDescent="0.3">
      <c r="A27" s="24" t="s">
        <v>42</v>
      </c>
      <c r="B27" s="70">
        <v>1826.6169860848599</v>
      </c>
      <c r="C27" s="71">
        <v>152.218082173738</v>
      </c>
      <c r="D27" s="71">
        <v>146.11306999999999</v>
      </c>
      <c r="E27" s="71">
        <v>145.91686000000001</v>
      </c>
      <c r="F27" s="71">
        <v>145.23420999999999</v>
      </c>
      <c r="G27" s="71">
        <v>145.97309000000001</v>
      </c>
      <c r="H27" s="71">
        <v>151.50981999999999</v>
      </c>
      <c r="I27" s="71">
        <v>163.12547000000001</v>
      </c>
      <c r="J27" s="71">
        <v>193.33467999999999</v>
      </c>
      <c r="K27" s="71">
        <v>147.42257000000001</v>
      </c>
      <c r="L27" s="71">
        <v>146.35176000000001</v>
      </c>
      <c r="M27" s="71">
        <v>158.77825999999999</v>
      </c>
      <c r="N27" s="71">
        <v>197.03097</v>
      </c>
      <c r="O27" s="71">
        <v>9.8813129168249309E-324</v>
      </c>
      <c r="P27" s="72">
        <v>1740.7907600000001</v>
      </c>
      <c r="Q27" s="103">
        <v>1.0396511583550001</v>
      </c>
    </row>
    <row r="28" spans="1:17" ht="14.4" customHeight="1" x14ac:dyDescent="0.3">
      <c r="A28" s="22" t="s">
        <v>43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1.358680526063428E-321</v>
      </c>
      <c r="Q28" s="102">
        <v>12.5</v>
      </c>
    </row>
    <row r="29" spans="1:17" ht="14.4" customHeight="1" x14ac:dyDescent="0.3">
      <c r="A29" s="22" t="s">
        <v>44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1.0869444208507424E-322</v>
      </c>
      <c r="Q29" s="102" t="s">
        <v>129</v>
      </c>
    </row>
    <row r="30" spans="1:17" ht="14.4" customHeight="1" x14ac:dyDescent="0.3">
      <c r="A30" s="22" t="s">
        <v>45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5.434722104253712E-322</v>
      </c>
      <c r="Q30" s="102">
        <v>0</v>
      </c>
    </row>
    <row r="31" spans="1:17" ht="14.4" customHeight="1" thickBot="1" x14ac:dyDescent="0.35">
      <c r="A31" s="25" t="s">
        <v>46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2.717361052126856E-322</v>
      </c>
      <c r="Q31" s="104" t="s">
        <v>129</v>
      </c>
    </row>
    <row r="32" spans="1:17" ht="14.4" customHeight="1" x14ac:dyDescent="0.3">
      <c r="A32" s="201" t="s">
        <v>47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1:17" ht="14.4" customHeight="1" x14ac:dyDescent="0.3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ht="14.4" customHeight="1" x14ac:dyDescent="0.3">
      <c r="A34" s="201" t="s">
        <v>48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1:17" ht="14.4" customHeight="1" x14ac:dyDescent="0.3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95"/>
      <c r="Q36" s="195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96" t="s">
        <v>49</v>
      </c>
      <c r="B1" s="196"/>
      <c r="C1" s="196"/>
      <c r="D1" s="196"/>
      <c r="E1" s="196"/>
      <c r="F1" s="196"/>
      <c r="G1" s="196"/>
      <c r="H1" s="202"/>
      <c r="I1" s="202"/>
      <c r="J1" s="202"/>
      <c r="K1" s="202"/>
    </row>
    <row r="2" spans="1:11" s="76" customFormat="1" ht="14.4" customHeight="1" thickBot="1" x14ac:dyDescent="0.35">
      <c r="A2" s="228" t="s">
        <v>128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97" t="s">
        <v>50</v>
      </c>
      <c r="C3" s="198"/>
      <c r="D3" s="198"/>
      <c r="E3" s="198"/>
      <c r="F3" s="205" t="s">
        <v>51</v>
      </c>
      <c r="G3" s="198"/>
      <c r="H3" s="198"/>
      <c r="I3" s="198"/>
      <c r="J3" s="198"/>
      <c r="K3" s="206"/>
    </row>
    <row r="4" spans="1:11" ht="14.4" customHeight="1" x14ac:dyDescent="0.3">
      <c r="A4" s="87"/>
      <c r="B4" s="203"/>
      <c r="C4" s="204"/>
      <c r="D4" s="204"/>
      <c r="E4" s="204"/>
      <c r="F4" s="207" t="s">
        <v>94</v>
      </c>
      <c r="G4" s="209" t="s">
        <v>52</v>
      </c>
      <c r="H4" s="54" t="s">
        <v>120</v>
      </c>
      <c r="I4" s="207" t="s">
        <v>53</v>
      </c>
      <c r="J4" s="209" t="s">
        <v>54</v>
      </c>
      <c r="K4" s="210" t="s">
        <v>55</v>
      </c>
    </row>
    <row r="5" spans="1:11" ht="42" thickBot="1" x14ac:dyDescent="0.35">
      <c r="A5" s="88"/>
      <c r="B5" s="30" t="s">
        <v>95</v>
      </c>
      <c r="C5" s="31" t="s">
        <v>56</v>
      </c>
      <c r="D5" s="32" t="s">
        <v>57</v>
      </c>
      <c r="E5" s="32" t="s">
        <v>58</v>
      </c>
      <c r="F5" s="208"/>
      <c r="G5" s="208"/>
      <c r="H5" s="31" t="s">
        <v>59</v>
      </c>
      <c r="I5" s="208"/>
      <c r="J5" s="208"/>
      <c r="K5" s="211"/>
    </row>
    <row r="6" spans="1:11" ht="14.4" customHeight="1" thickBot="1" x14ac:dyDescent="0.35">
      <c r="A6" s="247" t="s">
        <v>131</v>
      </c>
      <c r="B6" s="229">
        <v>1221.9557964246201</v>
      </c>
      <c r="C6" s="229">
        <v>1567.6723</v>
      </c>
      <c r="D6" s="230">
        <v>345.71650357537499</v>
      </c>
      <c r="E6" s="231">
        <v>1.2829206298510001</v>
      </c>
      <c r="F6" s="229">
        <v>1481.6169860848699</v>
      </c>
      <c r="G6" s="230">
        <v>1358.14890391113</v>
      </c>
      <c r="H6" s="232">
        <v>176.37352999999999</v>
      </c>
      <c r="I6" s="229">
        <v>1477.80744</v>
      </c>
      <c r="J6" s="230">
        <v>119.65853608887301</v>
      </c>
      <c r="K6" s="233">
        <v>0.997428791569</v>
      </c>
    </row>
    <row r="7" spans="1:11" ht="14.4" customHeight="1" thickBot="1" x14ac:dyDescent="0.35">
      <c r="A7" s="248" t="s">
        <v>132</v>
      </c>
      <c r="B7" s="229">
        <v>17.000038976407001</v>
      </c>
      <c r="C7" s="229">
        <v>1.6804399999999999</v>
      </c>
      <c r="D7" s="230">
        <v>-15.319598976407001</v>
      </c>
      <c r="E7" s="231">
        <v>9.8849185130000003E-2</v>
      </c>
      <c r="F7" s="229">
        <v>1.6065062708640001</v>
      </c>
      <c r="G7" s="230">
        <v>1.472630748292</v>
      </c>
      <c r="H7" s="232">
        <v>4.9406564584124654E-324</v>
      </c>
      <c r="I7" s="229">
        <v>1.0026600000000001</v>
      </c>
      <c r="J7" s="230">
        <v>-0.46997074829199997</v>
      </c>
      <c r="K7" s="233">
        <v>0.62412454789799998</v>
      </c>
    </row>
    <row r="8" spans="1:11" ht="14.4" customHeight="1" thickBot="1" x14ac:dyDescent="0.35">
      <c r="A8" s="249" t="s">
        <v>133</v>
      </c>
      <c r="B8" s="229">
        <v>17.000038976407001</v>
      </c>
      <c r="C8" s="229">
        <v>1.6804399999999999</v>
      </c>
      <c r="D8" s="230">
        <v>-15.319598976407001</v>
      </c>
      <c r="E8" s="231">
        <v>9.8849185130000003E-2</v>
      </c>
      <c r="F8" s="229">
        <v>1.6065062708640001</v>
      </c>
      <c r="G8" s="230">
        <v>1.472630748292</v>
      </c>
      <c r="H8" s="232">
        <v>4.9406564584124654E-324</v>
      </c>
      <c r="I8" s="229">
        <v>1.0026600000000001</v>
      </c>
      <c r="J8" s="230">
        <v>-0.46997074829199997</v>
      </c>
      <c r="K8" s="233">
        <v>0.62412454789799998</v>
      </c>
    </row>
    <row r="9" spans="1:11" ht="14.4" customHeight="1" thickBot="1" x14ac:dyDescent="0.35">
      <c r="A9" s="250" t="s">
        <v>134</v>
      </c>
      <c r="B9" s="234">
        <v>8.0000395183080002</v>
      </c>
      <c r="C9" s="234">
        <v>1.5014400000000001</v>
      </c>
      <c r="D9" s="235">
        <v>-6.4985995183079996</v>
      </c>
      <c r="E9" s="236">
        <v>0.18767907290499999</v>
      </c>
      <c r="F9" s="234">
        <v>1.4305906472650001</v>
      </c>
      <c r="G9" s="235">
        <v>1.3113747599929999</v>
      </c>
      <c r="H9" s="237">
        <v>4.9406564584124654E-324</v>
      </c>
      <c r="I9" s="234">
        <v>0.30370999999999998</v>
      </c>
      <c r="J9" s="235">
        <v>-1.007664759993</v>
      </c>
      <c r="K9" s="238">
        <v>0.21229692825099999</v>
      </c>
    </row>
    <row r="10" spans="1:11" ht="14.4" customHeight="1" thickBot="1" x14ac:dyDescent="0.35">
      <c r="A10" s="251" t="s">
        <v>135</v>
      </c>
      <c r="B10" s="229">
        <v>1.0000799397839999</v>
      </c>
      <c r="C10" s="229">
        <v>0.87744</v>
      </c>
      <c r="D10" s="230">
        <v>-0.12263993978399999</v>
      </c>
      <c r="E10" s="231">
        <v>0.87736986324199995</v>
      </c>
      <c r="F10" s="229">
        <v>0.87617985651100005</v>
      </c>
      <c r="G10" s="230">
        <v>0.80316486846799995</v>
      </c>
      <c r="H10" s="232">
        <v>4.9406564584124654E-324</v>
      </c>
      <c r="I10" s="229">
        <v>0.30370999999999998</v>
      </c>
      <c r="J10" s="230">
        <v>-0.49945486846800002</v>
      </c>
      <c r="K10" s="233">
        <v>0.34662974472899999</v>
      </c>
    </row>
    <row r="11" spans="1:11" ht="14.4" customHeight="1" thickBot="1" x14ac:dyDescent="0.35">
      <c r="A11" s="251" t="s">
        <v>136</v>
      </c>
      <c r="B11" s="229">
        <v>3.999959759157</v>
      </c>
      <c r="C11" s="229">
        <v>0.624</v>
      </c>
      <c r="D11" s="230">
        <v>-3.3759597591569999</v>
      </c>
      <c r="E11" s="231">
        <v>0.156001569408</v>
      </c>
      <c r="F11" s="229">
        <v>0.55441079075300004</v>
      </c>
      <c r="G11" s="230">
        <v>0.50820989152399998</v>
      </c>
      <c r="H11" s="232">
        <v>4.9406564584124654E-324</v>
      </c>
      <c r="I11" s="229">
        <v>5.434722104253712E-323</v>
      </c>
      <c r="J11" s="230">
        <v>-0.50820989152399998</v>
      </c>
      <c r="K11" s="233">
        <v>9.8813129168249309E-323</v>
      </c>
    </row>
    <row r="12" spans="1:11" ht="14.4" customHeight="1" thickBot="1" x14ac:dyDescent="0.35">
      <c r="A12" s="250" t="s">
        <v>137</v>
      </c>
      <c r="B12" s="234">
        <v>4.9406564584124654E-324</v>
      </c>
      <c r="C12" s="234">
        <v>0.17899999999999999</v>
      </c>
      <c r="D12" s="235">
        <v>0.17899999999999999</v>
      </c>
      <c r="E12" s="239" t="s">
        <v>138</v>
      </c>
      <c r="F12" s="234">
        <v>0.175915623598</v>
      </c>
      <c r="G12" s="235">
        <v>0.16125598829900001</v>
      </c>
      <c r="H12" s="237">
        <v>4.9406564584124654E-324</v>
      </c>
      <c r="I12" s="234">
        <v>5.434722104253712E-323</v>
      </c>
      <c r="J12" s="235">
        <v>-0.16125598829900001</v>
      </c>
      <c r="K12" s="238">
        <v>3.1126135687998532E-322</v>
      </c>
    </row>
    <row r="13" spans="1:11" ht="14.4" customHeight="1" thickBot="1" x14ac:dyDescent="0.35">
      <c r="A13" s="251" t="s">
        <v>139</v>
      </c>
      <c r="B13" s="229">
        <v>4.9406564584124654E-324</v>
      </c>
      <c r="C13" s="229">
        <v>0.17899999999999999</v>
      </c>
      <c r="D13" s="230">
        <v>0.17899999999999999</v>
      </c>
      <c r="E13" s="240" t="s">
        <v>138</v>
      </c>
      <c r="F13" s="229">
        <v>0.175915623598</v>
      </c>
      <c r="G13" s="230">
        <v>0.16125598829900001</v>
      </c>
      <c r="H13" s="232">
        <v>4.9406564584124654E-324</v>
      </c>
      <c r="I13" s="229">
        <v>5.434722104253712E-323</v>
      </c>
      <c r="J13" s="230">
        <v>-0.16125598829900001</v>
      </c>
      <c r="K13" s="233">
        <v>3.1126135687998532E-322</v>
      </c>
    </row>
    <row r="14" spans="1:11" ht="14.4" customHeight="1" thickBot="1" x14ac:dyDescent="0.35">
      <c r="A14" s="250" t="s">
        <v>140</v>
      </c>
      <c r="B14" s="234">
        <v>8.9999994580989995</v>
      </c>
      <c r="C14" s="234">
        <v>4.9406564584124654E-324</v>
      </c>
      <c r="D14" s="235">
        <v>-8.9999994580989995</v>
      </c>
      <c r="E14" s="236">
        <v>0</v>
      </c>
      <c r="F14" s="234">
        <v>0</v>
      </c>
      <c r="G14" s="235">
        <v>0</v>
      </c>
      <c r="H14" s="237">
        <v>4.9406564584124654E-324</v>
      </c>
      <c r="I14" s="234">
        <v>0.69894999999999996</v>
      </c>
      <c r="J14" s="235">
        <v>0.69894999999999996</v>
      </c>
      <c r="K14" s="241" t="s">
        <v>129</v>
      </c>
    </row>
    <row r="15" spans="1:11" ht="14.4" customHeight="1" thickBot="1" x14ac:dyDescent="0.35">
      <c r="A15" s="251" t="s">
        <v>141</v>
      </c>
      <c r="B15" s="229">
        <v>8.9999994580989995</v>
      </c>
      <c r="C15" s="229">
        <v>4.9406564584124654E-324</v>
      </c>
      <c r="D15" s="230">
        <v>-8.9999994580989995</v>
      </c>
      <c r="E15" s="231">
        <v>0</v>
      </c>
      <c r="F15" s="229">
        <v>0</v>
      </c>
      <c r="G15" s="230">
        <v>0</v>
      </c>
      <c r="H15" s="232">
        <v>4.9406564584124654E-324</v>
      </c>
      <c r="I15" s="229">
        <v>0.69894999999999996</v>
      </c>
      <c r="J15" s="230">
        <v>0.69894999999999996</v>
      </c>
      <c r="K15" s="242" t="s">
        <v>129</v>
      </c>
    </row>
    <row r="16" spans="1:11" ht="14.4" customHeight="1" thickBot="1" x14ac:dyDescent="0.35">
      <c r="A16" s="252" t="s">
        <v>142</v>
      </c>
      <c r="B16" s="234">
        <v>7.9558295209700001</v>
      </c>
      <c r="C16" s="234">
        <v>1.6250899999999999</v>
      </c>
      <c r="D16" s="235">
        <v>-6.3307395209699999</v>
      </c>
      <c r="E16" s="236">
        <v>0.20426405514500001</v>
      </c>
      <c r="F16" s="234">
        <v>3.0108797603770001</v>
      </c>
      <c r="G16" s="235">
        <v>2.759973113679</v>
      </c>
      <c r="H16" s="237">
        <v>4.9406564584124654E-324</v>
      </c>
      <c r="I16" s="234">
        <v>-5.7299999999999999E-3</v>
      </c>
      <c r="J16" s="235">
        <v>-2.7657031136789998</v>
      </c>
      <c r="K16" s="238">
        <v>-1.9030982490000001E-3</v>
      </c>
    </row>
    <row r="17" spans="1:11" ht="14.4" customHeight="1" thickBot="1" x14ac:dyDescent="0.35">
      <c r="A17" s="253" t="s">
        <v>33</v>
      </c>
      <c r="B17" s="234">
        <v>2.9999998193659998</v>
      </c>
      <c r="C17" s="234">
        <v>1.587</v>
      </c>
      <c r="D17" s="235">
        <v>-1.4129998193660001</v>
      </c>
      <c r="E17" s="236">
        <v>0.52900003185099997</v>
      </c>
      <c r="F17" s="234">
        <v>0</v>
      </c>
      <c r="G17" s="235">
        <v>0</v>
      </c>
      <c r="H17" s="237">
        <v>4.9406564584124654E-324</v>
      </c>
      <c r="I17" s="234">
        <v>5.434722104253712E-323</v>
      </c>
      <c r="J17" s="235">
        <v>5.434722104253712E-323</v>
      </c>
      <c r="K17" s="241" t="s">
        <v>129</v>
      </c>
    </row>
    <row r="18" spans="1:11" ht="14.4" customHeight="1" thickBot="1" x14ac:dyDescent="0.35">
      <c r="A18" s="250" t="s">
        <v>143</v>
      </c>
      <c r="B18" s="234">
        <v>2.9999998193659998</v>
      </c>
      <c r="C18" s="234">
        <v>1.587</v>
      </c>
      <c r="D18" s="235">
        <v>-1.4129998193660001</v>
      </c>
      <c r="E18" s="236">
        <v>0.52900003185099997</v>
      </c>
      <c r="F18" s="234">
        <v>0</v>
      </c>
      <c r="G18" s="235">
        <v>0</v>
      </c>
      <c r="H18" s="237">
        <v>4.9406564584124654E-324</v>
      </c>
      <c r="I18" s="234">
        <v>5.434722104253712E-323</v>
      </c>
      <c r="J18" s="235">
        <v>5.434722104253712E-323</v>
      </c>
      <c r="K18" s="241" t="s">
        <v>129</v>
      </c>
    </row>
    <row r="19" spans="1:11" ht="14.4" customHeight="1" thickBot="1" x14ac:dyDescent="0.35">
      <c r="A19" s="251" t="s">
        <v>144</v>
      </c>
      <c r="B19" s="229">
        <v>2.9999998193659998</v>
      </c>
      <c r="C19" s="229">
        <v>0.78700000000000003</v>
      </c>
      <c r="D19" s="230">
        <v>-2.2129998193659999</v>
      </c>
      <c r="E19" s="231">
        <v>0.26233334912799999</v>
      </c>
      <c r="F19" s="229">
        <v>0</v>
      </c>
      <c r="G19" s="230">
        <v>0</v>
      </c>
      <c r="H19" s="232">
        <v>4.9406564584124654E-324</v>
      </c>
      <c r="I19" s="229">
        <v>5.434722104253712E-323</v>
      </c>
      <c r="J19" s="230">
        <v>5.434722104253712E-323</v>
      </c>
      <c r="K19" s="242" t="s">
        <v>129</v>
      </c>
    </row>
    <row r="20" spans="1:11" ht="14.4" customHeight="1" thickBot="1" x14ac:dyDescent="0.35">
      <c r="A20" s="251" t="s">
        <v>145</v>
      </c>
      <c r="B20" s="229">
        <v>4.9406564584124654E-324</v>
      </c>
      <c r="C20" s="229">
        <v>0.8</v>
      </c>
      <c r="D20" s="230">
        <v>0.8</v>
      </c>
      <c r="E20" s="240" t="s">
        <v>138</v>
      </c>
      <c r="F20" s="229">
        <v>0</v>
      </c>
      <c r="G20" s="230">
        <v>0</v>
      </c>
      <c r="H20" s="232">
        <v>4.9406564584124654E-324</v>
      </c>
      <c r="I20" s="229">
        <v>5.434722104253712E-323</v>
      </c>
      <c r="J20" s="230">
        <v>5.434722104253712E-323</v>
      </c>
      <c r="K20" s="242" t="s">
        <v>129</v>
      </c>
    </row>
    <row r="21" spans="1:11" ht="14.4" customHeight="1" thickBot="1" x14ac:dyDescent="0.35">
      <c r="A21" s="249" t="s">
        <v>34</v>
      </c>
      <c r="B21" s="229">
        <v>2.9559098220209998</v>
      </c>
      <c r="C21" s="229">
        <v>3.8089999999999999E-2</v>
      </c>
      <c r="D21" s="230">
        <v>-2.9178198220209999</v>
      </c>
      <c r="E21" s="231">
        <v>1.2886049403E-2</v>
      </c>
      <c r="F21" s="229">
        <v>1.0110272795490001</v>
      </c>
      <c r="G21" s="230">
        <v>0.92677500625300002</v>
      </c>
      <c r="H21" s="232">
        <v>4.9406564584124654E-324</v>
      </c>
      <c r="I21" s="229">
        <v>-5.7299999999999999E-3</v>
      </c>
      <c r="J21" s="230">
        <v>-0.93250500625300003</v>
      </c>
      <c r="K21" s="233">
        <v>-5.6675028610000001E-3</v>
      </c>
    </row>
    <row r="22" spans="1:11" ht="14.4" customHeight="1" thickBot="1" x14ac:dyDescent="0.35">
      <c r="A22" s="250" t="s">
        <v>146</v>
      </c>
      <c r="B22" s="234">
        <v>2.2116698668320001</v>
      </c>
      <c r="C22" s="234">
        <v>3.8089999999999999E-2</v>
      </c>
      <c r="D22" s="235">
        <v>-2.1735798668320001</v>
      </c>
      <c r="E22" s="236">
        <v>1.7222281033000001E-2</v>
      </c>
      <c r="F22" s="234">
        <v>1.0110272795490001</v>
      </c>
      <c r="G22" s="235">
        <v>0.92677500625300002</v>
      </c>
      <c r="H22" s="237">
        <v>4.9406564584124654E-324</v>
      </c>
      <c r="I22" s="234">
        <v>-5.7299999999999999E-3</v>
      </c>
      <c r="J22" s="235">
        <v>-0.93250500625300003</v>
      </c>
      <c r="K22" s="238">
        <v>-5.6675028610000001E-3</v>
      </c>
    </row>
    <row r="23" spans="1:11" ht="14.4" customHeight="1" thickBot="1" x14ac:dyDescent="0.35">
      <c r="A23" s="251" t="s">
        <v>147</v>
      </c>
      <c r="B23" s="229">
        <v>0.211629987257</v>
      </c>
      <c r="C23" s="229">
        <v>9.4999999999999998E-3</v>
      </c>
      <c r="D23" s="230">
        <v>-0.20212998725699999</v>
      </c>
      <c r="E23" s="231">
        <v>4.4889668628999999E-2</v>
      </c>
      <c r="F23" s="229">
        <v>1.0969533081E-2</v>
      </c>
      <c r="G23" s="230">
        <v>1.0055405324E-2</v>
      </c>
      <c r="H23" s="232">
        <v>4.9406564584124654E-324</v>
      </c>
      <c r="I23" s="229">
        <v>5.434722104253712E-323</v>
      </c>
      <c r="J23" s="230">
        <v>-1.0055405324E-2</v>
      </c>
      <c r="K23" s="233">
        <v>4.9554784277877028E-321</v>
      </c>
    </row>
    <row r="24" spans="1:11" ht="14.4" customHeight="1" thickBot="1" x14ac:dyDescent="0.35">
      <c r="A24" s="251" t="s">
        <v>148</v>
      </c>
      <c r="B24" s="229">
        <v>2.0000398795750001</v>
      </c>
      <c r="C24" s="229">
        <v>2.8590000000000001E-2</v>
      </c>
      <c r="D24" s="230">
        <v>-1.971449879575</v>
      </c>
      <c r="E24" s="231">
        <v>1.4294714966000001E-2</v>
      </c>
      <c r="F24" s="229">
        <v>1.000057746467</v>
      </c>
      <c r="G24" s="230">
        <v>0.91671960092799998</v>
      </c>
      <c r="H24" s="232">
        <v>4.9406564584124654E-324</v>
      </c>
      <c r="I24" s="229">
        <v>-5.7299999999999999E-3</v>
      </c>
      <c r="J24" s="230">
        <v>-0.92244960092799999</v>
      </c>
      <c r="K24" s="233">
        <v>-5.7296691309999996E-3</v>
      </c>
    </row>
    <row r="25" spans="1:11" ht="14.4" customHeight="1" thickBot="1" x14ac:dyDescent="0.35">
      <c r="A25" s="248" t="s">
        <v>35</v>
      </c>
      <c r="B25" s="229">
        <v>1196.9999279272499</v>
      </c>
      <c r="C25" s="229">
        <v>1559.46677</v>
      </c>
      <c r="D25" s="230">
        <v>362.46684207275302</v>
      </c>
      <c r="E25" s="231">
        <v>1.3028127517929999</v>
      </c>
      <c r="F25" s="229">
        <v>1476.99960005362</v>
      </c>
      <c r="G25" s="230">
        <v>1353.9163000491601</v>
      </c>
      <c r="H25" s="232">
        <v>176.37352999999999</v>
      </c>
      <c r="I25" s="229">
        <v>1471.4105099999999</v>
      </c>
      <c r="J25" s="230">
        <v>117.494209950844</v>
      </c>
      <c r="K25" s="233">
        <v>0.99621591633899997</v>
      </c>
    </row>
    <row r="26" spans="1:11" ht="14.4" customHeight="1" thickBot="1" x14ac:dyDescent="0.35">
      <c r="A26" s="253" t="s">
        <v>149</v>
      </c>
      <c r="B26" s="234">
        <v>885.99990665291796</v>
      </c>
      <c r="C26" s="234">
        <v>1159.4549999999999</v>
      </c>
      <c r="D26" s="235">
        <v>273.45509334708203</v>
      </c>
      <c r="E26" s="236">
        <v>1.308640092728</v>
      </c>
      <c r="F26" s="234">
        <v>1093.99999999994</v>
      </c>
      <c r="G26" s="235">
        <v>1002.8333333332801</v>
      </c>
      <c r="H26" s="237">
        <v>131.05699999999999</v>
      </c>
      <c r="I26" s="234">
        <v>1094.0930000000001</v>
      </c>
      <c r="J26" s="235">
        <v>91.259666666719994</v>
      </c>
      <c r="K26" s="238">
        <v>1.00008500914</v>
      </c>
    </row>
    <row r="27" spans="1:11" ht="14.4" customHeight="1" thickBot="1" x14ac:dyDescent="0.35">
      <c r="A27" s="250" t="s">
        <v>150</v>
      </c>
      <c r="B27" s="234">
        <v>882.99990683355099</v>
      </c>
      <c r="C27" s="234">
        <v>1159.4549999999999</v>
      </c>
      <c r="D27" s="235">
        <v>276.45509316644802</v>
      </c>
      <c r="E27" s="236">
        <v>1.3130862087599999</v>
      </c>
      <c r="F27" s="234">
        <v>1093.99999999994</v>
      </c>
      <c r="G27" s="235">
        <v>1002.8333333332801</v>
      </c>
      <c r="H27" s="237">
        <v>131.05699999999999</v>
      </c>
      <c r="I27" s="234">
        <v>1093.4369999999999</v>
      </c>
      <c r="J27" s="235">
        <v>90.603666666720002</v>
      </c>
      <c r="K27" s="238">
        <v>0.99948537477099997</v>
      </c>
    </row>
    <row r="28" spans="1:11" ht="14.4" customHeight="1" thickBot="1" x14ac:dyDescent="0.35">
      <c r="A28" s="251" t="s">
        <v>151</v>
      </c>
      <c r="B28" s="229">
        <v>882.99990683355099</v>
      </c>
      <c r="C28" s="229">
        <v>1159.4549999999999</v>
      </c>
      <c r="D28" s="230">
        <v>276.45509316644802</v>
      </c>
      <c r="E28" s="231">
        <v>1.3130862087599999</v>
      </c>
      <c r="F28" s="229">
        <v>1093.99999999994</v>
      </c>
      <c r="G28" s="230">
        <v>1002.8333333332801</v>
      </c>
      <c r="H28" s="232">
        <v>131.05699999999999</v>
      </c>
      <c r="I28" s="229">
        <v>1093.4369999999999</v>
      </c>
      <c r="J28" s="230">
        <v>90.603666666720002</v>
      </c>
      <c r="K28" s="233">
        <v>0.99948537477099997</v>
      </c>
    </row>
    <row r="29" spans="1:11" ht="14.4" customHeight="1" thickBot="1" x14ac:dyDescent="0.35">
      <c r="A29" s="250" t="s">
        <v>152</v>
      </c>
      <c r="B29" s="234">
        <v>2.9999998193659998</v>
      </c>
      <c r="C29" s="234">
        <v>4.9406564584124654E-324</v>
      </c>
      <c r="D29" s="235">
        <v>-2.9999998193659998</v>
      </c>
      <c r="E29" s="236">
        <v>0</v>
      </c>
      <c r="F29" s="234">
        <v>0</v>
      </c>
      <c r="G29" s="235">
        <v>0</v>
      </c>
      <c r="H29" s="237">
        <v>4.9406564584124654E-324</v>
      </c>
      <c r="I29" s="234">
        <v>0.65600000000000003</v>
      </c>
      <c r="J29" s="235">
        <v>0.65600000000000003</v>
      </c>
      <c r="K29" s="241" t="s">
        <v>129</v>
      </c>
    </row>
    <row r="30" spans="1:11" ht="14.4" customHeight="1" thickBot="1" x14ac:dyDescent="0.35">
      <c r="A30" s="251" t="s">
        <v>153</v>
      </c>
      <c r="B30" s="229">
        <v>2.9999998193659998</v>
      </c>
      <c r="C30" s="229">
        <v>4.9406564584124654E-324</v>
      </c>
      <c r="D30" s="230">
        <v>-2.9999998193659998</v>
      </c>
      <c r="E30" s="231">
        <v>0</v>
      </c>
      <c r="F30" s="229">
        <v>0</v>
      </c>
      <c r="G30" s="230">
        <v>0</v>
      </c>
      <c r="H30" s="232">
        <v>4.9406564584124654E-324</v>
      </c>
      <c r="I30" s="229">
        <v>0.65600000000000003</v>
      </c>
      <c r="J30" s="230">
        <v>0.65600000000000003</v>
      </c>
      <c r="K30" s="242" t="s">
        <v>129</v>
      </c>
    </row>
    <row r="31" spans="1:11" ht="14.4" customHeight="1" thickBot="1" x14ac:dyDescent="0.35">
      <c r="A31" s="249" t="s">
        <v>154</v>
      </c>
      <c r="B31" s="229">
        <v>302.00002181622801</v>
      </c>
      <c r="C31" s="229">
        <v>388.41608000000002</v>
      </c>
      <c r="D31" s="230">
        <v>86.416058183771</v>
      </c>
      <c r="E31" s="231">
        <v>1.286145867354</v>
      </c>
      <c r="F31" s="229">
        <v>371.99960005368399</v>
      </c>
      <c r="G31" s="230">
        <v>340.999633382544</v>
      </c>
      <c r="H31" s="232">
        <v>44.00591</v>
      </c>
      <c r="I31" s="229">
        <v>366.37641000000002</v>
      </c>
      <c r="J31" s="230">
        <v>25.376776617455999</v>
      </c>
      <c r="K31" s="233">
        <v>0.98488388145299999</v>
      </c>
    </row>
    <row r="32" spans="1:11" ht="14.4" customHeight="1" thickBot="1" x14ac:dyDescent="0.35">
      <c r="A32" s="250" t="s">
        <v>155</v>
      </c>
      <c r="B32" s="234">
        <v>80.000035183104998</v>
      </c>
      <c r="C32" s="234">
        <v>104.345</v>
      </c>
      <c r="D32" s="235">
        <v>24.344964816893999</v>
      </c>
      <c r="E32" s="236">
        <v>1.3043119263780001</v>
      </c>
      <c r="F32" s="234">
        <v>97.999999245702</v>
      </c>
      <c r="G32" s="235">
        <v>89.833332641892994</v>
      </c>
      <c r="H32" s="237">
        <v>11.79691</v>
      </c>
      <c r="I32" s="234">
        <v>98.407910000000001</v>
      </c>
      <c r="J32" s="235">
        <v>8.5745773581059996</v>
      </c>
      <c r="K32" s="238">
        <v>1.004162354667</v>
      </c>
    </row>
    <row r="33" spans="1:11" ht="14.4" customHeight="1" thickBot="1" x14ac:dyDescent="0.35">
      <c r="A33" s="251" t="s">
        <v>156</v>
      </c>
      <c r="B33" s="229">
        <v>80.000035183104998</v>
      </c>
      <c r="C33" s="229">
        <v>104.345</v>
      </c>
      <c r="D33" s="230">
        <v>24.344964816893999</v>
      </c>
      <c r="E33" s="231">
        <v>1.3043119263780001</v>
      </c>
      <c r="F33" s="229">
        <v>97.999999245702</v>
      </c>
      <c r="G33" s="230">
        <v>89.833332641892994</v>
      </c>
      <c r="H33" s="232">
        <v>11.79691</v>
      </c>
      <c r="I33" s="229">
        <v>98.407910000000001</v>
      </c>
      <c r="J33" s="230">
        <v>8.5745773581059996</v>
      </c>
      <c r="K33" s="233">
        <v>1.004162354667</v>
      </c>
    </row>
    <row r="34" spans="1:11" ht="14.4" customHeight="1" thickBot="1" x14ac:dyDescent="0.35">
      <c r="A34" s="250" t="s">
        <v>157</v>
      </c>
      <c r="B34" s="234">
        <v>221.999986633123</v>
      </c>
      <c r="C34" s="234">
        <v>284.07107999999999</v>
      </c>
      <c r="D34" s="235">
        <v>62.071093366875999</v>
      </c>
      <c r="E34" s="236">
        <v>1.2795995365049999</v>
      </c>
      <c r="F34" s="234">
        <v>273.99960080798201</v>
      </c>
      <c r="G34" s="235">
        <v>251.16630074065</v>
      </c>
      <c r="H34" s="237">
        <v>32.209000000000003</v>
      </c>
      <c r="I34" s="234">
        <v>267.96850000000001</v>
      </c>
      <c r="J34" s="235">
        <v>16.802199259348999</v>
      </c>
      <c r="K34" s="238">
        <v>0.97798865111400002</v>
      </c>
    </row>
    <row r="35" spans="1:11" ht="14.4" customHeight="1" thickBot="1" x14ac:dyDescent="0.35">
      <c r="A35" s="251" t="s">
        <v>158</v>
      </c>
      <c r="B35" s="229">
        <v>221.999986633123</v>
      </c>
      <c r="C35" s="229">
        <v>284.07107999999999</v>
      </c>
      <c r="D35" s="230">
        <v>62.071093366875999</v>
      </c>
      <c r="E35" s="231">
        <v>1.2795995365049999</v>
      </c>
      <c r="F35" s="229">
        <v>273.99960080798201</v>
      </c>
      <c r="G35" s="230">
        <v>251.16630074065</v>
      </c>
      <c r="H35" s="232">
        <v>32.209000000000003</v>
      </c>
      <c r="I35" s="229">
        <v>267.96850000000001</v>
      </c>
      <c r="J35" s="230">
        <v>16.802199259348999</v>
      </c>
      <c r="K35" s="233">
        <v>0.97798865111400002</v>
      </c>
    </row>
    <row r="36" spans="1:11" ht="14.4" customHeight="1" thickBot="1" x14ac:dyDescent="0.35">
      <c r="A36" s="249" t="s">
        <v>159</v>
      </c>
      <c r="B36" s="229">
        <v>8.9999994580989995</v>
      </c>
      <c r="C36" s="229">
        <v>11.595689999999999</v>
      </c>
      <c r="D36" s="230">
        <v>2.5956905418999998</v>
      </c>
      <c r="E36" s="231">
        <v>1.2884100775759999</v>
      </c>
      <c r="F36" s="229">
        <v>10.999999999999</v>
      </c>
      <c r="G36" s="230">
        <v>10.083333333332</v>
      </c>
      <c r="H36" s="232">
        <v>1.3106199999999999</v>
      </c>
      <c r="I36" s="229">
        <v>10.9411</v>
      </c>
      <c r="J36" s="230">
        <v>0.85776666666699997</v>
      </c>
      <c r="K36" s="233">
        <v>0.99464545454499997</v>
      </c>
    </row>
    <row r="37" spans="1:11" ht="14.4" customHeight="1" thickBot="1" x14ac:dyDescent="0.35">
      <c r="A37" s="250" t="s">
        <v>160</v>
      </c>
      <c r="B37" s="234">
        <v>8.9999994580989995</v>
      </c>
      <c r="C37" s="234">
        <v>11.595689999999999</v>
      </c>
      <c r="D37" s="235">
        <v>2.5956905418999998</v>
      </c>
      <c r="E37" s="236">
        <v>1.2884100775759999</v>
      </c>
      <c r="F37" s="234">
        <v>10.999999999999</v>
      </c>
      <c r="G37" s="235">
        <v>10.083333333332</v>
      </c>
      <c r="H37" s="237">
        <v>1.3106199999999999</v>
      </c>
      <c r="I37" s="234">
        <v>10.9411</v>
      </c>
      <c r="J37" s="235">
        <v>0.85776666666699997</v>
      </c>
      <c r="K37" s="238">
        <v>0.99464545454499997</v>
      </c>
    </row>
    <row r="38" spans="1:11" ht="14.4" customHeight="1" thickBot="1" x14ac:dyDescent="0.35">
      <c r="A38" s="251" t="s">
        <v>161</v>
      </c>
      <c r="B38" s="229">
        <v>8.9999994580989995</v>
      </c>
      <c r="C38" s="229">
        <v>11.595689999999999</v>
      </c>
      <c r="D38" s="230">
        <v>2.5956905418999998</v>
      </c>
      <c r="E38" s="231">
        <v>1.2884100775759999</v>
      </c>
      <c r="F38" s="229">
        <v>10.999999999999</v>
      </c>
      <c r="G38" s="230">
        <v>10.083333333332</v>
      </c>
      <c r="H38" s="232">
        <v>1.3106199999999999</v>
      </c>
      <c r="I38" s="229">
        <v>10.9411</v>
      </c>
      <c r="J38" s="230">
        <v>0.85776666666699997</v>
      </c>
      <c r="K38" s="233">
        <v>0.99464545454499997</v>
      </c>
    </row>
    <row r="39" spans="1:11" ht="14.4" customHeight="1" thickBot="1" x14ac:dyDescent="0.35">
      <c r="A39" s="248" t="s">
        <v>162</v>
      </c>
      <c r="B39" s="229">
        <v>4.9406564584124654E-324</v>
      </c>
      <c r="C39" s="229">
        <v>4.9000000000000004</v>
      </c>
      <c r="D39" s="230">
        <v>4.9000000000000004</v>
      </c>
      <c r="E39" s="240" t="s">
        <v>138</v>
      </c>
      <c r="F39" s="229">
        <v>0</v>
      </c>
      <c r="G39" s="230">
        <v>0</v>
      </c>
      <c r="H39" s="232">
        <v>4.9406564584124654E-324</v>
      </c>
      <c r="I39" s="229">
        <v>5.4</v>
      </c>
      <c r="J39" s="230">
        <v>5.4</v>
      </c>
      <c r="K39" s="242" t="s">
        <v>129</v>
      </c>
    </row>
    <row r="40" spans="1:11" ht="14.4" customHeight="1" thickBot="1" x14ac:dyDescent="0.35">
      <c r="A40" s="249" t="s">
        <v>163</v>
      </c>
      <c r="B40" s="229">
        <v>4.9406564584124654E-324</v>
      </c>
      <c r="C40" s="229">
        <v>4.9000000000000004</v>
      </c>
      <c r="D40" s="230">
        <v>4.9000000000000004</v>
      </c>
      <c r="E40" s="240" t="s">
        <v>138</v>
      </c>
      <c r="F40" s="229">
        <v>0</v>
      </c>
      <c r="G40" s="230">
        <v>0</v>
      </c>
      <c r="H40" s="232">
        <v>4.9406564584124654E-324</v>
      </c>
      <c r="I40" s="229">
        <v>5.4</v>
      </c>
      <c r="J40" s="230">
        <v>5.4</v>
      </c>
      <c r="K40" s="242" t="s">
        <v>129</v>
      </c>
    </row>
    <row r="41" spans="1:11" ht="14.4" customHeight="1" thickBot="1" x14ac:dyDescent="0.35">
      <c r="A41" s="250" t="s">
        <v>164</v>
      </c>
      <c r="B41" s="234">
        <v>4.9406564584124654E-324</v>
      </c>
      <c r="C41" s="234">
        <v>4.9000000000000004</v>
      </c>
      <c r="D41" s="235">
        <v>4.9000000000000004</v>
      </c>
      <c r="E41" s="239" t="s">
        <v>138</v>
      </c>
      <c r="F41" s="234">
        <v>0</v>
      </c>
      <c r="G41" s="235">
        <v>0</v>
      </c>
      <c r="H41" s="237">
        <v>4.9406564584124654E-324</v>
      </c>
      <c r="I41" s="234">
        <v>5.4</v>
      </c>
      <c r="J41" s="235">
        <v>5.4</v>
      </c>
      <c r="K41" s="241" t="s">
        <v>129</v>
      </c>
    </row>
    <row r="42" spans="1:11" ht="14.4" customHeight="1" thickBot="1" x14ac:dyDescent="0.35">
      <c r="A42" s="251" t="s">
        <v>165</v>
      </c>
      <c r="B42" s="229">
        <v>4.9406564584124654E-324</v>
      </c>
      <c r="C42" s="229">
        <v>4.9000000000000004</v>
      </c>
      <c r="D42" s="230">
        <v>4.9000000000000004</v>
      </c>
      <c r="E42" s="240" t="s">
        <v>138</v>
      </c>
      <c r="F42" s="229">
        <v>0</v>
      </c>
      <c r="G42" s="230">
        <v>0</v>
      </c>
      <c r="H42" s="232">
        <v>4.9406564584124654E-324</v>
      </c>
      <c r="I42" s="229">
        <v>3.5</v>
      </c>
      <c r="J42" s="230">
        <v>3.5</v>
      </c>
      <c r="K42" s="242" t="s">
        <v>129</v>
      </c>
    </row>
    <row r="43" spans="1:11" ht="14.4" customHeight="1" thickBot="1" x14ac:dyDescent="0.35">
      <c r="A43" s="251" t="s">
        <v>166</v>
      </c>
      <c r="B43" s="229">
        <v>4.9406564584124654E-324</v>
      </c>
      <c r="C43" s="229">
        <v>4.9406564584124654E-324</v>
      </c>
      <c r="D43" s="230">
        <v>0</v>
      </c>
      <c r="E43" s="231">
        <v>1</v>
      </c>
      <c r="F43" s="229">
        <v>4.9406564584124654E-324</v>
      </c>
      <c r="G43" s="230">
        <v>0</v>
      </c>
      <c r="H43" s="232">
        <v>4.9406564584124654E-324</v>
      </c>
      <c r="I43" s="229">
        <v>1.9</v>
      </c>
      <c r="J43" s="230">
        <v>1.9</v>
      </c>
      <c r="K43" s="242" t="s">
        <v>138</v>
      </c>
    </row>
    <row r="44" spans="1:11" ht="14.4" customHeight="1" thickBot="1" x14ac:dyDescent="0.35">
      <c r="A44" s="247" t="s">
        <v>167</v>
      </c>
      <c r="B44" s="229">
        <v>91.434055312256007</v>
      </c>
      <c r="C44" s="229">
        <v>54.099575694551</v>
      </c>
      <c r="D44" s="230">
        <v>-37.334479617703998</v>
      </c>
      <c r="E44" s="231">
        <v>0.591678620288</v>
      </c>
      <c r="F44" s="229">
        <v>63.057483413965002</v>
      </c>
      <c r="G44" s="230">
        <v>57.802693129467997</v>
      </c>
      <c r="H44" s="232">
        <v>4.0691600000000001</v>
      </c>
      <c r="I44" s="229">
        <v>45.054340000000003</v>
      </c>
      <c r="J44" s="230">
        <v>-12.748353129468001</v>
      </c>
      <c r="K44" s="233">
        <v>0.71449632241399996</v>
      </c>
    </row>
    <row r="45" spans="1:11" ht="14.4" customHeight="1" thickBot="1" x14ac:dyDescent="0.35">
      <c r="A45" s="248" t="s">
        <v>168</v>
      </c>
      <c r="B45" s="229">
        <v>87.999965112737002</v>
      </c>
      <c r="C45" s="229">
        <v>50.891245988342</v>
      </c>
      <c r="D45" s="230">
        <v>-37.108719124395002</v>
      </c>
      <c r="E45" s="231">
        <v>0.57830984277200004</v>
      </c>
      <c r="F45" s="229">
        <v>57.999999808725001</v>
      </c>
      <c r="G45" s="230">
        <v>53.166666491331</v>
      </c>
      <c r="H45" s="232">
        <v>4.0691600000000001</v>
      </c>
      <c r="I45" s="229">
        <v>45.054340000000003</v>
      </c>
      <c r="J45" s="230">
        <v>-8.1123264913310003</v>
      </c>
      <c r="K45" s="233">
        <v>0.77679896807799997</v>
      </c>
    </row>
    <row r="46" spans="1:11" ht="14.4" customHeight="1" thickBot="1" x14ac:dyDescent="0.35">
      <c r="A46" s="249" t="s">
        <v>169</v>
      </c>
      <c r="B46" s="229">
        <v>87.999965112737002</v>
      </c>
      <c r="C46" s="229">
        <v>50.891245988342</v>
      </c>
      <c r="D46" s="230">
        <v>-37.108719124395002</v>
      </c>
      <c r="E46" s="231">
        <v>0.57830984277200004</v>
      </c>
      <c r="F46" s="229">
        <v>57.999999808725001</v>
      </c>
      <c r="G46" s="230">
        <v>53.166666491331</v>
      </c>
      <c r="H46" s="232">
        <v>4.0691600000000001</v>
      </c>
      <c r="I46" s="229">
        <v>45.054340000000003</v>
      </c>
      <c r="J46" s="230">
        <v>-8.1123264913310003</v>
      </c>
      <c r="K46" s="233">
        <v>0.77679896807799997</v>
      </c>
    </row>
    <row r="47" spans="1:11" ht="14.4" customHeight="1" thickBot="1" x14ac:dyDescent="0.35">
      <c r="A47" s="250" t="s">
        <v>170</v>
      </c>
      <c r="B47" s="234">
        <v>4.9406564584124654E-324</v>
      </c>
      <c r="C47" s="234">
        <v>0.43919999999999998</v>
      </c>
      <c r="D47" s="235">
        <v>0.43919999999999998</v>
      </c>
      <c r="E47" s="239" t="s">
        <v>138</v>
      </c>
      <c r="F47" s="234">
        <v>0</v>
      </c>
      <c r="G47" s="235">
        <v>0</v>
      </c>
      <c r="H47" s="237">
        <v>4.9406564584124654E-324</v>
      </c>
      <c r="I47" s="234">
        <v>5.434722104253712E-323</v>
      </c>
      <c r="J47" s="235">
        <v>5.434722104253712E-323</v>
      </c>
      <c r="K47" s="241" t="s">
        <v>129</v>
      </c>
    </row>
    <row r="48" spans="1:11" ht="14.4" customHeight="1" thickBot="1" x14ac:dyDescent="0.35">
      <c r="A48" s="251" t="s">
        <v>171</v>
      </c>
      <c r="B48" s="229">
        <v>4.9406564584124654E-324</v>
      </c>
      <c r="C48" s="229">
        <v>0.43919999999999998</v>
      </c>
      <c r="D48" s="230">
        <v>0.43919999999999998</v>
      </c>
      <c r="E48" s="240" t="s">
        <v>138</v>
      </c>
      <c r="F48" s="229">
        <v>0</v>
      </c>
      <c r="G48" s="230">
        <v>0</v>
      </c>
      <c r="H48" s="232">
        <v>4.9406564584124654E-324</v>
      </c>
      <c r="I48" s="229">
        <v>5.434722104253712E-323</v>
      </c>
      <c r="J48" s="230">
        <v>5.434722104253712E-323</v>
      </c>
      <c r="K48" s="242" t="s">
        <v>129</v>
      </c>
    </row>
    <row r="49" spans="1:11" ht="14.4" customHeight="1" thickBot="1" x14ac:dyDescent="0.35">
      <c r="A49" s="250" t="s">
        <v>172</v>
      </c>
      <c r="B49" s="234">
        <v>4.9406564584124654E-324</v>
      </c>
      <c r="C49" s="234">
        <v>4.9406564584124654E-324</v>
      </c>
      <c r="D49" s="235">
        <v>0</v>
      </c>
      <c r="E49" s="236">
        <v>1</v>
      </c>
      <c r="F49" s="234">
        <v>4.9406564584124654E-324</v>
      </c>
      <c r="G49" s="235">
        <v>0</v>
      </c>
      <c r="H49" s="237">
        <v>4.9406564584124654E-324</v>
      </c>
      <c r="I49" s="234">
        <v>-1.6900000000000001E-3</v>
      </c>
      <c r="J49" s="235">
        <v>-1.6900000000000001E-3</v>
      </c>
      <c r="K49" s="241" t="s">
        <v>138</v>
      </c>
    </row>
    <row r="50" spans="1:11" ht="14.4" customHeight="1" thickBot="1" x14ac:dyDescent="0.35">
      <c r="A50" s="251" t="s">
        <v>173</v>
      </c>
      <c r="B50" s="229">
        <v>4.9406564584124654E-324</v>
      </c>
      <c r="C50" s="229">
        <v>4.9406564584124654E-324</v>
      </c>
      <c r="D50" s="230">
        <v>0</v>
      </c>
      <c r="E50" s="231">
        <v>1</v>
      </c>
      <c r="F50" s="229">
        <v>4.9406564584124654E-324</v>
      </c>
      <c r="G50" s="230">
        <v>0</v>
      </c>
      <c r="H50" s="232">
        <v>4.9406564584124654E-324</v>
      </c>
      <c r="I50" s="229">
        <v>-1.6900000000000001E-3</v>
      </c>
      <c r="J50" s="230">
        <v>-1.6900000000000001E-3</v>
      </c>
      <c r="K50" s="242" t="s">
        <v>138</v>
      </c>
    </row>
    <row r="51" spans="1:11" ht="14.4" customHeight="1" thickBot="1" x14ac:dyDescent="0.35">
      <c r="A51" s="250" t="s">
        <v>174</v>
      </c>
      <c r="B51" s="234">
        <v>87.000005054639999</v>
      </c>
      <c r="C51" s="234">
        <v>50.537146020652997</v>
      </c>
      <c r="D51" s="235">
        <v>-36.462859033987002</v>
      </c>
      <c r="E51" s="236">
        <v>0.58088670212000004</v>
      </c>
      <c r="F51" s="234">
        <v>57.999999808725001</v>
      </c>
      <c r="G51" s="235">
        <v>53.166666491331</v>
      </c>
      <c r="H51" s="237">
        <v>3.5129199999999998</v>
      </c>
      <c r="I51" s="234">
        <v>41.858130000000003</v>
      </c>
      <c r="J51" s="235">
        <v>-11.308536491330999</v>
      </c>
      <c r="K51" s="238">
        <v>0.72169189893100005</v>
      </c>
    </row>
    <row r="52" spans="1:11" ht="14.4" customHeight="1" thickBot="1" x14ac:dyDescent="0.35">
      <c r="A52" s="251" t="s">
        <v>175</v>
      </c>
      <c r="B52" s="229">
        <v>60.000003485958999</v>
      </c>
      <c r="C52" s="229">
        <v>24.195358040910001</v>
      </c>
      <c r="D52" s="230">
        <v>-35.804645445048003</v>
      </c>
      <c r="E52" s="231">
        <v>0.40325594391899999</v>
      </c>
      <c r="F52" s="229">
        <v>30.999999906542001</v>
      </c>
      <c r="G52" s="230">
        <v>28.416666580996999</v>
      </c>
      <c r="H52" s="232">
        <v>1.10381</v>
      </c>
      <c r="I52" s="229">
        <v>20.26155</v>
      </c>
      <c r="J52" s="230">
        <v>-8.1551165809969994</v>
      </c>
      <c r="K52" s="233">
        <v>0.65359838906699996</v>
      </c>
    </row>
    <row r="53" spans="1:11" ht="14.4" customHeight="1" thickBot="1" x14ac:dyDescent="0.35">
      <c r="A53" s="251" t="s">
        <v>176</v>
      </c>
      <c r="B53" s="229">
        <v>27.000001568681</v>
      </c>
      <c r="C53" s="229">
        <v>26.341787979742001</v>
      </c>
      <c r="D53" s="230">
        <v>-0.65821358893799997</v>
      </c>
      <c r="E53" s="231">
        <v>0.97562172034399997</v>
      </c>
      <c r="F53" s="229">
        <v>26.999999902182001</v>
      </c>
      <c r="G53" s="230">
        <v>24.749999910334001</v>
      </c>
      <c r="H53" s="232">
        <v>2.4091100000000001</v>
      </c>
      <c r="I53" s="229">
        <v>21.596579999999999</v>
      </c>
      <c r="J53" s="230">
        <v>-3.1534199103340002</v>
      </c>
      <c r="K53" s="233">
        <v>0.79987333623099999</v>
      </c>
    </row>
    <row r="54" spans="1:11" ht="14.4" customHeight="1" thickBot="1" x14ac:dyDescent="0.35">
      <c r="A54" s="250" t="s">
        <v>177</v>
      </c>
      <c r="B54" s="234">
        <v>4.9406564584124654E-324</v>
      </c>
      <c r="C54" s="234">
        <v>-8.5100032310000004E-2</v>
      </c>
      <c r="D54" s="235">
        <v>-8.5100032310000004E-2</v>
      </c>
      <c r="E54" s="239" t="s">
        <v>138</v>
      </c>
      <c r="F54" s="234">
        <v>0</v>
      </c>
      <c r="G54" s="235">
        <v>0</v>
      </c>
      <c r="H54" s="237">
        <v>0.55623999999999996</v>
      </c>
      <c r="I54" s="234">
        <v>3.1979000000000002</v>
      </c>
      <c r="J54" s="235">
        <v>3.1979000000000002</v>
      </c>
      <c r="K54" s="241" t="s">
        <v>129</v>
      </c>
    </row>
    <row r="55" spans="1:11" ht="14.4" customHeight="1" thickBot="1" x14ac:dyDescent="0.35">
      <c r="A55" s="251" t="s">
        <v>178</v>
      </c>
      <c r="B55" s="229">
        <v>4.9406564584124654E-324</v>
      </c>
      <c r="C55" s="229">
        <v>4.9406564584124654E-324</v>
      </c>
      <c r="D55" s="230">
        <v>0</v>
      </c>
      <c r="E55" s="231">
        <v>1</v>
      </c>
      <c r="F55" s="229">
        <v>4.9406564584124654E-324</v>
      </c>
      <c r="G55" s="230">
        <v>0</v>
      </c>
      <c r="H55" s="232">
        <v>0.46943000000000001</v>
      </c>
      <c r="I55" s="229">
        <v>1.8968499999999999</v>
      </c>
      <c r="J55" s="230">
        <v>1.8968499999999999</v>
      </c>
      <c r="K55" s="242" t="s">
        <v>138</v>
      </c>
    </row>
    <row r="56" spans="1:11" ht="14.4" customHeight="1" thickBot="1" x14ac:dyDescent="0.35">
      <c r="A56" s="251" t="s">
        <v>179</v>
      </c>
      <c r="B56" s="229">
        <v>4.9406564584124654E-324</v>
      </c>
      <c r="C56" s="229">
        <v>-8.5100032310000004E-2</v>
      </c>
      <c r="D56" s="230">
        <v>-8.5100032310000004E-2</v>
      </c>
      <c r="E56" s="240" t="s">
        <v>138</v>
      </c>
      <c r="F56" s="229">
        <v>0</v>
      </c>
      <c r="G56" s="230">
        <v>0</v>
      </c>
      <c r="H56" s="232">
        <v>8.6809999999999998E-2</v>
      </c>
      <c r="I56" s="229">
        <v>1.30105</v>
      </c>
      <c r="J56" s="230">
        <v>1.30105</v>
      </c>
      <c r="K56" s="242" t="s">
        <v>129</v>
      </c>
    </row>
    <row r="57" spans="1:11" ht="14.4" customHeight="1" thickBot="1" x14ac:dyDescent="0.35">
      <c r="A57" s="248" t="s">
        <v>180</v>
      </c>
      <c r="B57" s="229">
        <v>3.4340901995180002</v>
      </c>
      <c r="C57" s="229">
        <v>3.2083297062090002</v>
      </c>
      <c r="D57" s="230">
        <v>-0.22576049330799999</v>
      </c>
      <c r="E57" s="231">
        <v>0.93425900888000002</v>
      </c>
      <c r="F57" s="229">
        <v>5.0574836052389998</v>
      </c>
      <c r="G57" s="230">
        <v>4.6360266381360002</v>
      </c>
      <c r="H57" s="232">
        <v>4.9406564584124654E-324</v>
      </c>
      <c r="I57" s="229">
        <v>5.434722104253712E-323</v>
      </c>
      <c r="J57" s="230">
        <v>-4.6360266381360002</v>
      </c>
      <c r="K57" s="233">
        <v>9.8813129168249309E-324</v>
      </c>
    </row>
    <row r="58" spans="1:11" ht="14.4" customHeight="1" thickBot="1" x14ac:dyDescent="0.35">
      <c r="A58" s="253" t="s">
        <v>181</v>
      </c>
      <c r="B58" s="234">
        <v>1.4341700833240001</v>
      </c>
      <c r="C58" s="234">
        <v>3.2083297062090002</v>
      </c>
      <c r="D58" s="235">
        <v>1.7741596228850001</v>
      </c>
      <c r="E58" s="236">
        <v>2.2370636115710001</v>
      </c>
      <c r="F58" s="234">
        <v>3.0575046823230001</v>
      </c>
      <c r="G58" s="235">
        <v>2.8027126254630002</v>
      </c>
      <c r="H58" s="237">
        <v>4.9406564584124654E-324</v>
      </c>
      <c r="I58" s="234">
        <v>5.434722104253712E-323</v>
      </c>
      <c r="J58" s="235">
        <v>-2.8027126254630002</v>
      </c>
      <c r="K58" s="238">
        <v>1.9762625833649862E-323</v>
      </c>
    </row>
    <row r="59" spans="1:11" ht="14.4" customHeight="1" thickBot="1" x14ac:dyDescent="0.35">
      <c r="A59" s="250" t="s">
        <v>182</v>
      </c>
      <c r="B59" s="234">
        <v>4.9406564584124654E-324</v>
      </c>
      <c r="C59" s="234">
        <v>-3.9999996337154098E-5</v>
      </c>
      <c r="D59" s="235">
        <v>-3.9999996337154098E-5</v>
      </c>
      <c r="E59" s="239" t="s">
        <v>138</v>
      </c>
      <c r="F59" s="234">
        <v>0</v>
      </c>
      <c r="G59" s="235">
        <v>0</v>
      </c>
      <c r="H59" s="237">
        <v>4.9406564584124654E-324</v>
      </c>
      <c r="I59" s="234">
        <v>5.434722104253712E-323</v>
      </c>
      <c r="J59" s="235">
        <v>5.434722104253712E-323</v>
      </c>
      <c r="K59" s="241" t="s">
        <v>129</v>
      </c>
    </row>
    <row r="60" spans="1:11" ht="14.4" customHeight="1" thickBot="1" x14ac:dyDescent="0.35">
      <c r="A60" s="251" t="s">
        <v>183</v>
      </c>
      <c r="B60" s="229">
        <v>4.9406564584124654E-324</v>
      </c>
      <c r="C60" s="229">
        <v>-3.9999996337154098E-5</v>
      </c>
      <c r="D60" s="230">
        <v>-3.9999996337154098E-5</v>
      </c>
      <c r="E60" s="240" t="s">
        <v>138</v>
      </c>
      <c r="F60" s="229">
        <v>0</v>
      </c>
      <c r="G60" s="230">
        <v>0</v>
      </c>
      <c r="H60" s="232">
        <v>4.9406564584124654E-324</v>
      </c>
      <c r="I60" s="229">
        <v>5.434722104253712E-323</v>
      </c>
      <c r="J60" s="230">
        <v>5.434722104253712E-323</v>
      </c>
      <c r="K60" s="242" t="s">
        <v>129</v>
      </c>
    </row>
    <row r="61" spans="1:11" ht="14.4" customHeight="1" thickBot="1" x14ac:dyDescent="0.35">
      <c r="A61" s="250" t="s">
        <v>184</v>
      </c>
      <c r="B61" s="234">
        <v>1.4341700833240001</v>
      </c>
      <c r="C61" s="234">
        <v>3.2083697062050001</v>
      </c>
      <c r="D61" s="235">
        <v>1.774199622881</v>
      </c>
      <c r="E61" s="236">
        <v>2.237091502263</v>
      </c>
      <c r="F61" s="234">
        <v>3.0575046823230001</v>
      </c>
      <c r="G61" s="235">
        <v>2.8027126254630002</v>
      </c>
      <c r="H61" s="237">
        <v>4.9406564584124654E-324</v>
      </c>
      <c r="I61" s="234">
        <v>5.434722104253712E-323</v>
      </c>
      <c r="J61" s="235">
        <v>-2.8027126254630002</v>
      </c>
      <c r="K61" s="238">
        <v>1.9762625833649862E-323</v>
      </c>
    </row>
    <row r="62" spans="1:11" ht="14.4" customHeight="1" thickBot="1" x14ac:dyDescent="0.35">
      <c r="A62" s="251" t="s">
        <v>185</v>
      </c>
      <c r="B62" s="229">
        <v>1.4341700833240001</v>
      </c>
      <c r="C62" s="229">
        <v>3.2083697062050001</v>
      </c>
      <c r="D62" s="230">
        <v>1.774199622881</v>
      </c>
      <c r="E62" s="231">
        <v>2.237091502263</v>
      </c>
      <c r="F62" s="229">
        <v>3.0575046823230001</v>
      </c>
      <c r="G62" s="230">
        <v>2.8027126254630002</v>
      </c>
      <c r="H62" s="232">
        <v>4.9406564584124654E-324</v>
      </c>
      <c r="I62" s="229">
        <v>5.434722104253712E-323</v>
      </c>
      <c r="J62" s="230">
        <v>-2.8027126254630002</v>
      </c>
      <c r="K62" s="233">
        <v>1.9762625833649862E-323</v>
      </c>
    </row>
    <row r="63" spans="1:11" ht="14.4" customHeight="1" thickBot="1" x14ac:dyDescent="0.35">
      <c r="A63" s="247" t="s">
        <v>186</v>
      </c>
      <c r="B63" s="229">
        <v>297.99975360298299</v>
      </c>
      <c r="C63" s="229">
        <v>315.64785829148099</v>
      </c>
      <c r="D63" s="230">
        <v>17.648104688497</v>
      </c>
      <c r="E63" s="231">
        <v>1.0592218767799999</v>
      </c>
      <c r="F63" s="229">
        <v>344.99999999999602</v>
      </c>
      <c r="G63" s="230">
        <v>316.24999999999602</v>
      </c>
      <c r="H63" s="232">
        <v>20.657440000000001</v>
      </c>
      <c r="I63" s="229">
        <v>262.98331999999999</v>
      </c>
      <c r="J63" s="230">
        <v>-53.266679999994999</v>
      </c>
      <c r="K63" s="233">
        <v>0.76227049275299996</v>
      </c>
    </row>
    <row r="64" spans="1:11" ht="14.4" customHeight="1" thickBot="1" x14ac:dyDescent="0.35">
      <c r="A64" s="252" t="s">
        <v>187</v>
      </c>
      <c r="B64" s="234">
        <v>297.99975360298299</v>
      </c>
      <c r="C64" s="234">
        <v>315.64785829148099</v>
      </c>
      <c r="D64" s="235">
        <v>17.648104688497</v>
      </c>
      <c r="E64" s="236">
        <v>1.0592218767799999</v>
      </c>
      <c r="F64" s="234">
        <v>344.99999999999602</v>
      </c>
      <c r="G64" s="235">
        <v>316.24999999999602</v>
      </c>
      <c r="H64" s="237">
        <v>20.657440000000001</v>
      </c>
      <c r="I64" s="234">
        <v>262.98331999999999</v>
      </c>
      <c r="J64" s="235">
        <v>-53.266679999994999</v>
      </c>
      <c r="K64" s="238">
        <v>0.76227049275299996</v>
      </c>
    </row>
    <row r="65" spans="1:11" ht="14.4" customHeight="1" thickBot="1" x14ac:dyDescent="0.35">
      <c r="A65" s="253" t="s">
        <v>41</v>
      </c>
      <c r="B65" s="234">
        <v>297.99975360298299</v>
      </c>
      <c r="C65" s="234">
        <v>315.64785829148099</v>
      </c>
      <c r="D65" s="235">
        <v>17.648104688497</v>
      </c>
      <c r="E65" s="236">
        <v>1.0592218767799999</v>
      </c>
      <c r="F65" s="234">
        <v>344.99999999999602</v>
      </c>
      <c r="G65" s="235">
        <v>316.24999999999602</v>
      </c>
      <c r="H65" s="237">
        <v>20.657440000000001</v>
      </c>
      <c r="I65" s="234">
        <v>262.98331999999999</v>
      </c>
      <c r="J65" s="235">
        <v>-53.266679999994999</v>
      </c>
      <c r="K65" s="238">
        <v>0.76227049275299996</v>
      </c>
    </row>
    <row r="66" spans="1:11" ht="14.4" customHeight="1" thickBot="1" x14ac:dyDescent="0.35">
      <c r="A66" s="250" t="s">
        <v>188</v>
      </c>
      <c r="B66" s="234">
        <v>161.99988779757999</v>
      </c>
      <c r="C66" s="234">
        <v>144.07598049673999</v>
      </c>
      <c r="D66" s="235">
        <v>-17.92390730084</v>
      </c>
      <c r="E66" s="236">
        <v>0.88935852027700002</v>
      </c>
      <c r="F66" s="234">
        <v>143.99999999999801</v>
      </c>
      <c r="G66" s="235">
        <v>131.99999999999801</v>
      </c>
      <c r="H66" s="237">
        <v>8.4068100000000001</v>
      </c>
      <c r="I66" s="234">
        <v>116.38402000000001</v>
      </c>
      <c r="J66" s="235">
        <v>-15.615979999998</v>
      </c>
      <c r="K66" s="238">
        <v>0.80822236111099999</v>
      </c>
    </row>
    <row r="67" spans="1:11" ht="14.4" customHeight="1" thickBot="1" x14ac:dyDescent="0.35">
      <c r="A67" s="251" t="s">
        <v>189</v>
      </c>
      <c r="B67" s="229">
        <v>161.99988779757999</v>
      </c>
      <c r="C67" s="229">
        <v>143.982610503968</v>
      </c>
      <c r="D67" s="230">
        <v>-18.017277293610999</v>
      </c>
      <c r="E67" s="231">
        <v>0.88878216189799997</v>
      </c>
      <c r="F67" s="229">
        <v>143.99999999999801</v>
      </c>
      <c r="G67" s="230">
        <v>131.99999999999801</v>
      </c>
      <c r="H67" s="232">
        <v>8.4050399999999996</v>
      </c>
      <c r="I67" s="229">
        <v>116.36454999999999</v>
      </c>
      <c r="J67" s="230">
        <v>-15.635449999998</v>
      </c>
      <c r="K67" s="233">
        <v>0.80808715277700005</v>
      </c>
    </row>
    <row r="68" spans="1:11" ht="14.4" customHeight="1" thickBot="1" x14ac:dyDescent="0.35">
      <c r="A68" s="251" t="s">
        <v>190</v>
      </c>
      <c r="B68" s="229">
        <v>4.9406564584124654E-324</v>
      </c>
      <c r="C68" s="229">
        <v>9.3369992770999999E-2</v>
      </c>
      <c r="D68" s="230">
        <v>9.3369992770999999E-2</v>
      </c>
      <c r="E68" s="240" t="s">
        <v>138</v>
      </c>
      <c r="F68" s="229">
        <v>0</v>
      </c>
      <c r="G68" s="230">
        <v>0</v>
      </c>
      <c r="H68" s="232">
        <v>1.7700000000000001E-3</v>
      </c>
      <c r="I68" s="229">
        <v>1.9470000000000001E-2</v>
      </c>
      <c r="J68" s="230">
        <v>1.9470000000000001E-2</v>
      </c>
      <c r="K68" s="242" t="s">
        <v>129</v>
      </c>
    </row>
    <row r="69" spans="1:11" ht="14.4" customHeight="1" thickBot="1" x14ac:dyDescent="0.35">
      <c r="A69" s="250" t="s">
        <v>191</v>
      </c>
      <c r="B69" s="234">
        <v>135.999865805403</v>
      </c>
      <c r="C69" s="234">
        <v>171.571877794741</v>
      </c>
      <c r="D69" s="235">
        <v>35.572011989337</v>
      </c>
      <c r="E69" s="236">
        <v>1.261559169773</v>
      </c>
      <c r="F69" s="234">
        <v>200.99999999999699</v>
      </c>
      <c r="G69" s="235">
        <v>184.24999999999801</v>
      </c>
      <c r="H69" s="237">
        <v>12.250629999999999</v>
      </c>
      <c r="I69" s="234">
        <v>146.5993</v>
      </c>
      <c r="J69" s="235">
        <v>-37.650699999997002</v>
      </c>
      <c r="K69" s="238">
        <v>0.72934975124300006</v>
      </c>
    </row>
    <row r="70" spans="1:11" ht="14.4" customHeight="1" thickBot="1" x14ac:dyDescent="0.35">
      <c r="A70" s="251" t="s">
        <v>192</v>
      </c>
      <c r="B70" s="229">
        <v>135.999865805403</v>
      </c>
      <c r="C70" s="229">
        <v>171.571877794741</v>
      </c>
      <c r="D70" s="230">
        <v>35.572011989337</v>
      </c>
      <c r="E70" s="231">
        <v>1.261559169773</v>
      </c>
      <c r="F70" s="229">
        <v>200.99999999999699</v>
      </c>
      <c r="G70" s="230">
        <v>184.24999999999801</v>
      </c>
      <c r="H70" s="232">
        <v>12.250629999999999</v>
      </c>
      <c r="I70" s="229">
        <v>146.5993</v>
      </c>
      <c r="J70" s="230">
        <v>-37.650699999997002</v>
      </c>
      <c r="K70" s="233">
        <v>0.72934975124300006</v>
      </c>
    </row>
    <row r="71" spans="1:11" ht="14.4" customHeight="1" thickBot="1" x14ac:dyDescent="0.35">
      <c r="A71" s="254"/>
      <c r="B71" s="229">
        <v>-1428.5214947153499</v>
      </c>
      <c r="C71" s="229">
        <v>4.9406564584124654E-324</v>
      </c>
      <c r="D71" s="230">
        <v>1428.5214947153499</v>
      </c>
      <c r="E71" s="231">
        <v>0</v>
      </c>
      <c r="F71" s="229">
        <v>-1763.5595026709</v>
      </c>
      <c r="G71" s="230">
        <v>-1616.5962107816499</v>
      </c>
      <c r="H71" s="232">
        <v>-192.96181000000001</v>
      </c>
      <c r="I71" s="229">
        <v>-1695.73642</v>
      </c>
      <c r="J71" s="230">
        <v>-79.140209218345007</v>
      </c>
      <c r="K71" s="233">
        <v>0.96154193687900003</v>
      </c>
    </row>
    <row r="72" spans="1:11" ht="14.4" customHeight="1" thickBot="1" x14ac:dyDescent="0.35">
      <c r="A72" s="255" t="s">
        <v>60</v>
      </c>
      <c r="B72" s="243">
        <v>-1428.5214947153499</v>
      </c>
      <c r="C72" s="243">
        <v>-1829.2205825969299</v>
      </c>
      <c r="D72" s="244">
        <v>-400.69908788157699</v>
      </c>
      <c r="E72" s="245">
        <v>-1.750463886343</v>
      </c>
      <c r="F72" s="243">
        <v>-1763.5595026709</v>
      </c>
      <c r="G72" s="244">
        <v>-1616.5962107816499</v>
      </c>
      <c r="H72" s="243">
        <v>-192.96181000000001</v>
      </c>
      <c r="I72" s="243">
        <v>-1695.73642</v>
      </c>
      <c r="J72" s="244">
        <v>-79.140209218345007</v>
      </c>
      <c r="K72" s="246">
        <v>0.96154193687900003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17" customWidth="1"/>
    <col min="3" max="3" width="5.44140625" style="60" hidden="1" customWidth="1"/>
    <col min="4" max="4" width="7.77734375" style="117" customWidth="1"/>
    <col min="5" max="5" width="5.44140625" style="60" hidden="1" customWidth="1"/>
    <col min="6" max="6" width="7.77734375" style="117" customWidth="1"/>
    <col min="7" max="7" width="7.77734375" style="78" customWidth="1"/>
    <col min="8" max="8" width="7.77734375" style="117" customWidth="1"/>
    <col min="9" max="9" width="5.44140625" style="60" hidden="1" customWidth="1"/>
    <col min="10" max="10" width="7.77734375" style="117" customWidth="1"/>
    <col min="11" max="11" width="5.44140625" style="60" hidden="1" customWidth="1"/>
    <col min="12" max="12" width="7.77734375" style="117" customWidth="1"/>
    <col min="13" max="13" width="7.77734375" style="78" customWidth="1"/>
    <col min="14" max="14" width="7.77734375" style="117" customWidth="1"/>
    <col min="15" max="15" width="5" style="60" hidden="1" customWidth="1"/>
    <col min="16" max="16" width="7.77734375" style="117" customWidth="1"/>
    <col min="17" max="17" width="5" style="60" hidden="1" customWidth="1"/>
    <col min="18" max="18" width="7.77734375" style="117" customWidth="1"/>
    <col min="19" max="19" width="7.77734375" style="78" customWidth="1"/>
    <col min="20" max="16384" width="8.88671875" style="60"/>
  </cols>
  <sheetData>
    <row r="1" spans="1:19" ht="18.600000000000001" customHeight="1" thickBot="1" x14ac:dyDescent="0.4">
      <c r="A1" s="212" t="s">
        <v>113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</row>
    <row r="2" spans="1:19" ht="14.4" customHeight="1" thickBot="1" x14ac:dyDescent="0.35">
      <c r="A2" s="228" t="s">
        <v>128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4" t="s">
        <v>117</v>
      </c>
      <c r="B3" s="175">
        <f>SUBTOTAL(9,B6:B1048576)</f>
        <v>0</v>
      </c>
      <c r="C3" s="176">
        <f t="shared" ref="C3:R3" si="0">SUBTOTAL(9,C6:C1048576)</f>
        <v>0</v>
      </c>
      <c r="D3" s="176">
        <f t="shared" si="0"/>
        <v>0</v>
      </c>
      <c r="E3" s="176">
        <f t="shared" si="0"/>
        <v>0</v>
      </c>
      <c r="F3" s="176">
        <f t="shared" si="0"/>
        <v>327</v>
      </c>
      <c r="G3" s="178" t="str">
        <f>IF(B3&lt;&gt;0,F3/B3,"")</f>
        <v/>
      </c>
      <c r="H3" s="179">
        <f t="shared" si="0"/>
        <v>0</v>
      </c>
      <c r="I3" s="176">
        <f t="shared" si="0"/>
        <v>0</v>
      </c>
      <c r="J3" s="176">
        <f t="shared" si="0"/>
        <v>0</v>
      </c>
      <c r="K3" s="176">
        <f t="shared" si="0"/>
        <v>0</v>
      </c>
      <c r="L3" s="176">
        <f t="shared" si="0"/>
        <v>0</v>
      </c>
      <c r="M3" s="177" t="str">
        <f>IF(H3&lt;&gt;0,L3/H3,"")</f>
        <v/>
      </c>
      <c r="N3" s="175">
        <f t="shared" si="0"/>
        <v>0</v>
      </c>
      <c r="O3" s="176">
        <f t="shared" si="0"/>
        <v>0</v>
      </c>
      <c r="P3" s="176">
        <f t="shared" si="0"/>
        <v>0</v>
      </c>
      <c r="Q3" s="176">
        <f t="shared" si="0"/>
        <v>0</v>
      </c>
      <c r="R3" s="176">
        <f t="shared" si="0"/>
        <v>0</v>
      </c>
      <c r="S3" s="178" t="str">
        <f>IF(N3&lt;&gt;0,R3/N3,"")</f>
        <v/>
      </c>
    </row>
    <row r="4" spans="1:19" ht="14.4" customHeight="1" x14ac:dyDescent="0.3">
      <c r="A4" s="213" t="s">
        <v>90</v>
      </c>
      <c r="B4" s="214" t="s">
        <v>91</v>
      </c>
      <c r="C4" s="215"/>
      <c r="D4" s="215"/>
      <c r="E4" s="215"/>
      <c r="F4" s="215"/>
      <c r="G4" s="216"/>
      <c r="H4" s="214" t="s">
        <v>92</v>
      </c>
      <c r="I4" s="215"/>
      <c r="J4" s="215"/>
      <c r="K4" s="215"/>
      <c r="L4" s="215"/>
      <c r="M4" s="216"/>
      <c r="N4" s="214" t="s">
        <v>93</v>
      </c>
      <c r="O4" s="215"/>
      <c r="P4" s="215"/>
      <c r="Q4" s="215"/>
      <c r="R4" s="215"/>
      <c r="S4" s="216"/>
    </row>
    <row r="5" spans="1:19" ht="14.4" customHeight="1" thickBot="1" x14ac:dyDescent="0.35">
      <c r="A5" s="256"/>
      <c r="B5" s="257">
        <v>2011</v>
      </c>
      <c r="C5" s="258"/>
      <c r="D5" s="258">
        <v>2012</v>
      </c>
      <c r="E5" s="258"/>
      <c r="F5" s="258">
        <v>2013</v>
      </c>
      <c r="G5" s="259" t="s">
        <v>0</v>
      </c>
      <c r="H5" s="257">
        <v>2011</v>
      </c>
      <c r="I5" s="258"/>
      <c r="J5" s="258">
        <v>2012</v>
      </c>
      <c r="K5" s="258"/>
      <c r="L5" s="258">
        <v>2013</v>
      </c>
      <c r="M5" s="259" t="s">
        <v>0</v>
      </c>
      <c r="N5" s="257">
        <v>2011</v>
      </c>
      <c r="O5" s="258"/>
      <c r="P5" s="258">
        <v>2012</v>
      </c>
      <c r="Q5" s="258"/>
      <c r="R5" s="258">
        <v>2013</v>
      </c>
      <c r="S5" s="259" t="s">
        <v>0</v>
      </c>
    </row>
    <row r="6" spans="1:19" ht="14.4" customHeight="1" thickBot="1" x14ac:dyDescent="0.35">
      <c r="A6" s="265" t="s">
        <v>193</v>
      </c>
      <c r="B6" s="261"/>
      <c r="C6" s="262"/>
      <c r="D6" s="261"/>
      <c r="E6" s="262"/>
      <c r="F6" s="261">
        <v>327</v>
      </c>
      <c r="G6" s="263"/>
      <c r="H6" s="261"/>
      <c r="I6" s="262"/>
      <c r="J6" s="261"/>
      <c r="K6" s="262"/>
      <c r="L6" s="261"/>
      <c r="M6" s="263"/>
      <c r="N6" s="261"/>
      <c r="O6" s="262"/>
      <c r="P6" s="261"/>
      <c r="Q6" s="262"/>
      <c r="R6" s="261"/>
      <c r="S6" s="264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0" bestFit="1" customWidth="1"/>
    <col min="2" max="2" width="2.109375" style="60" bestFit="1" customWidth="1"/>
    <col min="3" max="3" width="8" style="60" bestFit="1" customWidth="1"/>
    <col min="4" max="4" width="50.88671875" style="60" bestFit="1" customWidth="1"/>
    <col min="5" max="6" width="11.109375" style="79" customWidth="1"/>
    <col min="7" max="8" width="9.33203125" style="60" hidden="1" customWidth="1"/>
    <col min="9" max="10" width="11.109375" style="79" customWidth="1"/>
    <col min="11" max="12" width="9.33203125" style="60" hidden="1" customWidth="1"/>
    <col min="13" max="14" width="11.109375" style="79" customWidth="1"/>
    <col min="15" max="15" width="11.109375" style="78" customWidth="1"/>
    <col min="16" max="16" width="11.109375" style="79" customWidth="1"/>
    <col min="17" max="16384" width="8.88671875" style="60"/>
  </cols>
  <sheetData>
    <row r="1" spans="1:16" ht="18.600000000000001" customHeight="1" thickBot="1" x14ac:dyDescent="0.4">
      <c r="A1" s="184" t="s">
        <v>114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14.4" customHeight="1" thickBot="1" x14ac:dyDescent="0.4">
      <c r="A2" s="228" t="s">
        <v>128</v>
      </c>
      <c r="B2" s="80"/>
      <c r="C2" s="80"/>
      <c r="D2" s="80"/>
      <c r="E2" s="118"/>
      <c r="F2" s="118"/>
      <c r="G2" s="80"/>
      <c r="H2" s="80"/>
      <c r="I2" s="118"/>
      <c r="J2" s="118"/>
      <c r="K2" s="80"/>
      <c r="L2" s="80"/>
      <c r="M2" s="118"/>
      <c r="N2" s="118"/>
      <c r="O2" s="122"/>
      <c r="P2" s="118"/>
    </row>
    <row r="3" spans="1:16" ht="14.4" customHeight="1" thickBot="1" x14ac:dyDescent="0.35">
      <c r="D3" s="89" t="s">
        <v>117</v>
      </c>
      <c r="E3" s="119">
        <f t="shared" ref="E3:N3" si="0">SUBTOTAL(9,E6:E1048576)</f>
        <v>0</v>
      </c>
      <c r="F3" s="120">
        <f t="shared" si="0"/>
        <v>0</v>
      </c>
      <c r="G3" s="81"/>
      <c r="H3" s="81"/>
      <c r="I3" s="120">
        <f t="shared" si="0"/>
        <v>0</v>
      </c>
      <c r="J3" s="120">
        <f t="shared" si="0"/>
        <v>0</v>
      </c>
      <c r="K3" s="81"/>
      <c r="L3" s="81"/>
      <c r="M3" s="120">
        <f t="shared" si="0"/>
        <v>1</v>
      </c>
      <c r="N3" s="120">
        <f t="shared" si="0"/>
        <v>327</v>
      </c>
      <c r="O3" s="82">
        <f>IF(F3=0,0,N3/F3)</f>
        <v>0</v>
      </c>
      <c r="P3" s="121">
        <f>IF(M3=0,0,N3/M3)</f>
        <v>327</v>
      </c>
    </row>
    <row r="4" spans="1:16" ht="14.4" customHeight="1" x14ac:dyDescent="0.3">
      <c r="A4" s="218" t="s">
        <v>86</v>
      </c>
      <c r="B4" s="219" t="s">
        <v>87</v>
      </c>
      <c r="C4" s="220" t="s">
        <v>88</v>
      </c>
      <c r="D4" s="221" t="s">
        <v>62</v>
      </c>
      <c r="E4" s="222">
        <v>2011</v>
      </c>
      <c r="F4" s="223"/>
      <c r="G4" s="116"/>
      <c r="H4" s="116"/>
      <c r="I4" s="222">
        <v>2012</v>
      </c>
      <c r="J4" s="223"/>
      <c r="K4" s="116"/>
      <c r="L4" s="116"/>
      <c r="M4" s="222">
        <v>2013</v>
      </c>
      <c r="N4" s="223"/>
      <c r="O4" s="224" t="s">
        <v>0</v>
      </c>
      <c r="P4" s="217" t="s">
        <v>89</v>
      </c>
    </row>
    <row r="5" spans="1:16" ht="14.4" customHeight="1" thickBot="1" x14ac:dyDescent="0.35">
      <c r="A5" s="266"/>
      <c r="B5" s="267"/>
      <c r="C5" s="268"/>
      <c r="D5" s="269"/>
      <c r="E5" s="270" t="s">
        <v>63</v>
      </c>
      <c r="F5" s="271" t="s">
        <v>2</v>
      </c>
      <c r="G5" s="272"/>
      <c r="H5" s="272"/>
      <c r="I5" s="270" t="s">
        <v>63</v>
      </c>
      <c r="J5" s="271" t="s">
        <v>2</v>
      </c>
      <c r="K5" s="272"/>
      <c r="L5" s="272"/>
      <c r="M5" s="270" t="s">
        <v>63</v>
      </c>
      <c r="N5" s="271" t="s">
        <v>2</v>
      </c>
      <c r="O5" s="273"/>
      <c r="P5" s="274"/>
    </row>
    <row r="6" spans="1:16" ht="14.4" customHeight="1" thickBot="1" x14ac:dyDescent="0.35">
      <c r="A6" s="260" t="s">
        <v>194</v>
      </c>
      <c r="B6" s="262" t="s">
        <v>195</v>
      </c>
      <c r="C6" s="262" t="s">
        <v>196</v>
      </c>
      <c r="D6" s="262" t="s">
        <v>197</v>
      </c>
      <c r="E6" s="275"/>
      <c r="F6" s="275"/>
      <c r="G6" s="262"/>
      <c r="H6" s="262"/>
      <c r="I6" s="275"/>
      <c r="J6" s="275"/>
      <c r="K6" s="262"/>
      <c r="L6" s="262"/>
      <c r="M6" s="275">
        <v>1</v>
      </c>
      <c r="N6" s="275">
        <v>327</v>
      </c>
      <c r="O6" s="263"/>
      <c r="P6" s="276">
        <v>327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17" customWidth="1"/>
    <col min="3" max="3" width="0.109375" style="60" hidden="1" customWidth="1"/>
    <col min="4" max="4" width="7.77734375" style="117" customWidth="1"/>
    <col min="5" max="5" width="5.44140625" style="60" hidden="1" customWidth="1"/>
    <col min="6" max="6" width="7.77734375" style="117" customWidth="1"/>
    <col min="7" max="7" width="7.77734375" style="78" customWidth="1"/>
    <col min="8" max="8" width="7.77734375" style="117" customWidth="1"/>
    <col min="9" max="9" width="5.44140625" style="60" hidden="1" customWidth="1"/>
    <col min="10" max="10" width="7.77734375" style="117" customWidth="1"/>
    <col min="11" max="11" width="5.44140625" style="60" hidden="1" customWidth="1"/>
    <col min="12" max="12" width="7.77734375" style="117" customWidth="1"/>
    <col min="13" max="13" width="7.77734375" style="78" customWidth="1"/>
    <col min="14" max="14" width="7.77734375" style="117" customWidth="1"/>
    <col min="15" max="15" width="5" style="60" hidden="1" customWidth="1"/>
    <col min="16" max="16" width="7.77734375" style="117" customWidth="1"/>
    <col min="17" max="17" width="5" style="60" hidden="1" customWidth="1"/>
    <col min="18" max="18" width="7.77734375" style="117" customWidth="1"/>
    <col min="19" max="19" width="7.77734375" style="78" customWidth="1"/>
    <col min="20" max="16384" width="8.88671875" style="60"/>
  </cols>
  <sheetData>
    <row r="1" spans="1:19" ht="18.600000000000001" customHeight="1" thickBot="1" x14ac:dyDescent="0.4">
      <c r="A1" s="196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</row>
    <row r="2" spans="1:19" ht="14.4" customHeight="1" thickBot="1" x14ac:dyDescent="0.35">
      <c r="A2" s="228" t="s">
        <v>128</v>
      </c>
      <c r="B2" s="108"/>
      <c r="C2" s="83"/>
      <c r="D2" s="108"/>
      <c r="E2" s="83"/>
      <c r="F2" s="108"/>
      <c r="G2" s="105"/>
      <c r="H2" s="108"/>
      <c r="I2" s="83"/>
      <c r="J2" s="108"/>
      <c r="K2" s="83"/>
      <c r="L2" s="108"/>
      <c r="M2" s="105"/>
      <c r="N2" s="108"/>
      <c r="O2" s="83"/>
      <c r="P2" s="108"/>
      <c r="Q2" s="83"/>
      <c r="R2" s="108"/>
      <c r="S2" s="105"/>
    </row>
    <row r="3" spans="1:19" ht="14.4" customHeight="1" thickBot="1" x14ac:dyDescent="0.35">
      <c r="A3" s="174" t="s">
        <v>117</v>
      </c>
      <c r="B3" s="175">
        <f>SUBTOTAL(9,B6:B1048576)</f>
        <v>59292</v>
      </c>
      <c r="C3" s="176">
        <f t="shared" ref="C3:R3" si="0">SUBTOTAL(9,C6:C1048576)</f>
        <v>12</v>
      </c>
      <c r="D3" s="176">
        <f t="shared" si="0"/>
        <v>61104</v>
      </c>
      <c r="E3" s="176">
        <f t="shared" si="0"/>
        <v>26.628320528991324</v>
      </c>
      <c r="F3" s="176">
        <f t="shared" si="0"/>
        <v>51160</v>
      </c>
      <c r="G3" s="177">
        <f>IF(B3&lt;&gt;0,F3/B3,"")</f>
        <v>0.86284827632732919</v>
      </c>
      <c r="H3" s="175">
        <f t="shared" si="0"/>
        <v>0</v>
      </c>
      <c r="I3" s="176">
        <f t="shared" si="0"/>
        <v>0</v>
      </c>
      <c r="J3" s="176">
        <f t="shared" si="0"/>
        <v>0</v>
      </c>
      <c r="K3" s="176">
        <f t="shared" si="0"/>
        <v>0</v>
      </c>
      <c r="L3" s="176">
        <f t="shared" si="0"/>
        <v>0</v>
      </c>
      <c r="M3" s="178" t="str">
        <f>IF(H3&lt;&gt;0,L3/H3,"")</f>
        <v/>
      </c>
      <c r="N3" s="179">
        <f t="shared" si="0"/>
        <v>0</v>
      </c>
      <c r="O3" s="176">
        <f t="shared" si="0"/>
        <v>0</v>
      </c>
      <c r="P3" s="176">
        <f t="shared" si="0"/>
        <v>0</v>
      </c>
      <c r="Q3" s="176">
        <f t="shared" si="0"/>
        <v>0</v>
      </c>
      <c r="R3" s="176">
        <f t="shared" si="0"/>
        <v>0</v>
      </c>
      <c r="S3" s="178" t="str">
        <f>IF(N3&lt;&gt;0,R3/N3,"")</f>
        <v/>
      </c>
    </row>
    <row r="4" spans="1:19" ht="14.4" customHeight="1" x14ac:dyDescent="0.3">
      <c r="A4" s="213" t="s">
        <v>99</v>
      </c>
      <c r="B4" s="214" t="s">
        <v>91</v>
      </c>
      <c r="C4" s="215"/>
      <c r="D4" s="215"/>
      <c r="E4" s="215"/>
      <c r="F4" s="215"/>
      <c r="G4" s="216"/>
      <c r="H4" s="214" t="s">
        <v>92</v>
      </c>
      <c r="I4" s="215"/>
      <c r="J4" s="215"/>
      <c r="K4" s="215"/>
      <c r="L4" s="215"/>
      <c r="M4" s="216"/>
      <c r="N4" s="214" t="s">
        <v>93</v>
      </c>
      <c r="O4" s="215"/>
      <c r="P4" s="215"/>
      <c r="Q4" s="215"/>
      <c r="R4" s="215"/>
      <c r="S4" s="216"/>
    </row>
    <row r="5" spans="1:19" ht="14.4" customHeight="1" thickBot="1" x14ac:dyDescent="0.35">
      <c r="A5" s="256"/>
      <c r="B5" s="257">
        <v>2011</v>
      </c>
      <c r="C5" s="258"/>
      <c r="D5" s="258">
        <v>2012</v>
      </c>
      <c r="E5" s="258"/>
      <c r="F5" s="258">
        <v>2013</v>
      </c>
      <c r="G5" s="259" t="s">
        <v>0</v>
      </c>
      <c r="H5" s="257">
        <v>2011</v>
      </c>
      <c r="I5" s="258"/>
      <c r="J5" s="258">
        <v>2012</v>
      </c>
      <c r="K5" s="258"/>
      <c r="L5" s="258">
        <v>2013</v>
      </c>
      <c r="M5" s="259" t="s">
        <v>0</v>
      </c>
      <c r="N5" s="257">
        <v>2011</v>
      </c>
      <c r="O5" s="258"/>
      <c r="P5" s="258">
        <v>2012</v>
      </c>
      <c r="Q5" s="258"/>
      <c r="R5" s="258">
        <v>2013</v>
      </c>
      <c r="S5" s="259" t="s">
        <v>0</v>
      </c>
    </row>
    <row r="6" spans="1:19" ht="14.4" customHeight="1" x14ac:dyDescent="0.3">
      <c r="A6" s="292" t="s">
        <v>198</v>
      </c>
      <c r="B6" s="278"/>
      <c r="C6" s="279"/>
      <c r="D6" s="278">
        <v>1466</v>
      </c>
      <c r="E6" s="279"/>
      <c r="F6" s="278">
        <v>4738</v>
      </c>
      <c r="G6" s="280"/>
      <c r="H6" s="278"/>
      <c r="I6" s="279"/>
      <c r="J6" s="278"/>
      <c r="K6" s="279"/>
      <c r="L6" s="278"/>
      <c r="M6" s="280"/>
      <c r="N6" s="278"/>
      <c r="O6" s="279"/>
      <c r="P6" s="278"/>
      <c r="Q6" s="279"/>
      <c r="R6" s="278"/>
      <c r="S6" s="281"/>
    </row>
    <row r="7" spans="1:19" ht="14.4" customHeight="1" x14ac:dyDescent="0.3">
      <c r="A7" s="293" t="s">
        <v>199</v>
      </c>
      <c r="B7" s="283">
        <v>52326</v>
      </c>
      <c r="C7" s="284">
        <v>1</v>
      </c>
      <c r="D7" s="283">
        <v>46928</v>
      </c>
      <c r="E7" s="284">
        <v>0.89683904750984211</v>
      </c>
      <c r="F7" s="283">
        <v>37924</v>
      </c>
      <c r="G7" s="285">
        <v>0.72476397966594042</v>
      </c>
      <c r="H7" s="283"/>
      <c r="I7" s="284"/>
      <c r="J7" s="283"/>
      <c r="K7" s="284"/>
      <c r="L7" s="283"/>
      <c r="M7" s="285"/>
      <c r="N7" s="283"/>
      <c r="O7" s="284"/>
      <c r="P7" s="283"/>
      <c r="Q7" s="284"/>
      <c r="R7" s="283"/>
      <c r="S7" s="286"/>
    </row>
    <row r="8" spans="1:19" ht="14.4" customHeight="1" x14ac:dyDescent="0.3">
      <c r="A8" s="293" t="s">
        <v>200</v>
      </c>
      <c r="B8" s="283">
        <v>1944</v>
      </c>
      <c r="C8" s="284">
        <v>1</v>
      </c>
      <c r="D8" s="283">
        <v>3096</v>
      </c>
      <c r="E8" s="284">
        <v>1.5925925925925926</v>
      </c>
      <c r="F8" s="283">
        <v>1634</v>
      </c>
      <c r="G8" s="285">
        <v>0.84053497942386834</v>
      </c>
      <c r="H8" s="283"/>
      <c r="I8" s="284"/>
      <c r="J8" s="283"/>
      <c r="K8" s="284"/>
      <c r="L8" s="283"/>
      <c r="M8" s="285"/>
      <c r="N8" s="283"/>
      <c r="O8" s="284"/>
      <c r="P8" s="283"/>
      <c r="Q8" s="284"/>
      <c r="R8" s="283"/>
      <c r="S8" s="286"/>
    </row>
    <row r="9" spans="1:19" ht="14.4" customHeight="1" x14ac:dyDescent="0.3">
      <c r="A9" s="293" t="s">
        <v>201</v>
      </c>
      <c r="B9" s="283">
        <v>648</v>
      </c>
      <c r="C9" s="284">
        <v>1</v>
      </c>
      <c r="D9" s="283"/>
      <c r="E9" s="284"/>
      <c r="F9" s="283"/>
      <c r="G9" s="285"/>
      <c r="H9" s="283"/>
      <c r="I9" s="284"/>
      <c r="J9" s="283"/>
      <c r="K9" s="284"/>
      <c r="L9" s="283"/>
      <c r="M9" s="285"/>
      <c r="N9" s="283"/>
      <c r="O9" s="284"/>
      <c r="P9" s="283"/>
      <c r="Q9" s="284"/>
      <c r="R9" s="283"/>
      <c r="S9" s="286"/>
    </row>
    <row r="10" spans="1:19" ht="14.4" customHeight="1" x14ac:dyDescent="0.3">
      <c r="A10" s="293" t="s">
        <v>202</v>
      </c>
      <c r="B10" s="283"/>
      <c r="C10" s="284"/>
      <c r="D10" s="283">
        <v>326</v>
      </c>
      <c r="E10" s="284"/>
      <c r="F10" s="283"/>
      <c r="G10" s="285"/>
      <c r="H10" s="283"/>
      <c r="I10" s="284"/>
      <c r="J10" s="283"/>
      <c r="K10" s="284"/>
      <c r="L10" s="283"/>
      <c r="M10" s="285"/>
      <c r="N10" s="283"/>
      <c r="O10" s="284"/>
      <c r="P10" s="283"/>
      <c r="Q10" s="284"/>
      <c r="R10" s="283"/>
      <c r="S10" s="286"/>
    </row>
    <row r="11" spans="1:19" ht="14.4" customHeight="1" x14ac:dyDescent="0.3">
      <c r="A11" s="293" t="s">
        <v>203</v>
      </c>
      <c r="B11" s="283">
        <v>648</v>
      </c>
      <c r="C11" s="284">
        <v>1</v>
      </c>
      <c r="D11" s="283">
        <v>326</v>
      </c>
      <c r="E11" s="284">
        <v>0.50308641975308643</v>
      </c>
      <c r="F11" s="283">
        <v>2615</v>
      </c>
      <c r="G11" s="285">
        <v>4.0354938271604937</v>
      </c>
      <c r="H11" s="283"/>
      <c r="I11" s="284"/>
      <c r="J11" s="283"/>
      <c r="K11" s="284"/>
      <c r="L11" s="283"/>
      <c r="M11" s="285"/>
      <c r="N11" s="283"/>
      <c r="O11" s="284"/>
      <c r="P11" s="283"/>
      <c r="Q11" s="284"/>
      <c r="R11" s="283"/>
      <c r="S11" s="286"/>
    </row>
    <row r="12" spans="1:19" ht="14.4" customHeight="1" x14ac:dyDescent="0.3">
      <c r="A12" s="293" t="s">
        <v>204</v>
      </c>
      <c r="B12" s="283"/>
      <c r="C12" s="284"/>
      <c r="D12" s="283">
        <v>652</v>
      </c>
      <c r="E12" s="284"/>
      <c r="F12" s="283">
        <v>327</v>
      </c>
      <c r="G12" s="285"/>
      <c r="H12" s="283"/>
      <c r="I12" s="284"/>
      <c r="J12" s="283"/>
      <c r="K12" s="284"/>
      <c r="L12" s="283"/>
      <c r="M12" s="285"/>
      <c r="N12" s="283"/>
      <c r="O12" s="284"/>
      <c r="P12" s="283"/>
      <c r="Q12" s="284"/>
      <c r="R12" s="283"/>
      <c r="S12" s="286"/>
    </row>
    <row r="13" spans="1:19" ht="14.4" customHeight="1" x14ac:dyDescent="0.3">
      <c r="A13" s="293" t="s">
        <v>205</v>
      </c>
      <c r="B13" s="283">
        <v>486</v>
      </c>
      <c r="C13" s="284">
        <v>1</v>
      </c>
      <c r="D13" s="283">
        <v>326</v>
      </c>
      <c r="E13" s="284">
        <v>0.67078189300411528</v>
      </c>
      <c r="F13" s="283"/>
      <c r="G13" s="285"/>
      <c r="H13" s="283"/>
      <c r="I13" s="284"/>
      <c r="J13" s="283"/>
      <c r="K13" s="284"/>
      <c r="L13" s="283"/>
      <c r="M13" s="285"/>
      <c r="N13" s="283"/>
      <c r="O13" s="284"/>
      <c r="P13" s="283"/>
      <c r="Q13" s="284"/>
      <c r="R13" s="283"/>
      <c r="S13" s="286"/>
    </row>
    <row r="14" spans="1:19" ht="14.4" customHeight="1" x14ac:dyDescent="0.3">
      <c r="A14" s="293" t="s">
        <v>206</v>
      </c>
      <c r="B14" s="283">
        <v>324</v>
      </c>
      <c r="C14" s="284">
        <v>1</v>
      </c>
      <c r="D14" s="283"/>
      <c r="E14" s="284"/>
      <c r="F14" s="283">
        <v>327</v>
      </c>
      <c r="G14" s="285">
        <v>1.0092592592592593</v>
      </c>
      <c r="H14" s="283"/>
      <c r="I14" s="284"/>
      <c r="J14" s="283"/>
      <c r="K14" s="284"/>
      <c r="L14" s="283"/>
      <c r="M14" s="285"/>
      <c r="N14" s="283"/>
      <c r="O14" s="284"/>
      <c r="P14" s="283"/>
      <c r="Q14" s="284"/>
      <c r="R14" s="283"/>
      <c r="S14" s="286"/>
    </row>
    <row r="15" spans="1:19" ht="14.4" customHeight="1" x14ac:dyDescent="0.3">
      <c r="A15" s="293" t="s">
        <v>207</v>
      </c>
      <c r="B15" s="283"/>
      <c r="C15" s="284"/>
      <c r="D15" s="283">
        <v>326</v>
      </c>
      <c r="E15" s="284"/>
      <c r="F15" s="283"/>
      <c r="G15" s="285"/>
      <c r="H15" s="283"/>
      <c r="I15" s="284"/>
      <c r="J15" s="283"/>
      <c r="K15" s="284"/>
      <c r="L15" s="283"/>
      <c r="M15" s="285"/>
      <c r="N15" s="283"/>
      <c r="O15" s="284"/>
      <c r="P15" s="283"/>
      <c r="Q15" s="284"/>
      <c r="R15" s="283"/>
      <c r="S15" s="286"/>
    </row>
    <row r="16" spans="1:19" ht="14.4" customHeight="1" x14ac:dyDescent="0.3">
      <c r="A16" s="293" t="s">
        <v>208</v>
      </c>
      <c r="B16" s="283"/>
      <c r="C16" s="284"/>
      <c r="D16" s="283"/>
      <c r="E16" s="284"/>
      <c r="F16" s="283">
        <v>327</v>
      </c>
      <c r="G16" s="285"/>
      <c r="H16" s="283"/>
      <c r="I16" s="284"/>
      <c r="J16" s="283"/>
      <c r="K16" s="284"/>
      <c r="L16" s="283"/>
      <c r="M16" s="285"/>
      <c r="N16" s="283"/>
      <c r="O16" s="284"/>
      <c r="P16" s="283"/>
      <c r="Q16" s="284"/>
      <c r="R16" s="283"/>
      <c r="S16" s="286"/>
    </row>
    <row r="17" spans="1:19" ht="14.4" customHeight="1" x14ac:dyDescent="0.3">
      <c r="A17" s="293" t="s">
        <v>209</v>
      </c>
      <c r="B17" s="283">
        <v>324</v>
      </c>
      <c r="C17" s="284">
        <v>1</v>
      </c>
      <c r="D17" s="283"/>
      <c r="E17" s="284"/>
      <c r="F17" s="283">
        <v>326</v>
      </c>
      <c r="G17" s="285">
        <v>1.0061728395061729</v>
      </c>
      <c r="H17" s="283"/>
      <c r="I17" s="284"/>
      <c r="J17" s="283"/>
      <c r="K17" s="284"/>
      <c r="L17" s="283"/>
      <c r="M17" s="285"/>
      <c r="N17" s="283"/>
      <c r="O17" s="284"/>
      <c r="P17" s="283"/>
      <c r="Q17" s="284"/>
      <c r="R17" s="283"/>
      <c r="S17" s="286"/>
    </row>
    <row r="18" spans="1:19" ht="14.4" customHeight="1" x14ac:dyDescent="0.3">
      <c r="A18" s="293" t="s">
        <v>210</v>
      </c>
      <c r="B18" s="283">
        <v>324</v>
      </c>
      <c r="C18" s="284">
        <v>1</v>
      </c>
      <c r="D18" s="283">
        <v>1956</v>
      </c>
      <c r="E18" s="284">
        <v>6.0370370370370372</v>
      </c>
      <c r="F18" s="283">
        <v>327</v>
      </c>
      <c r="G18" s="285">
        <v>1.0092592592592593</v>
      </c>
      <c r="H18" s="283"/>
      <c r="I18" s="284"/>
      <c r="J18" s="283"/>
      <c r="K18" s="284"/>
      <c r="L18" s="283"/>
      <c r="M18" s="285"/>
      <c r="N18" s="283"/>
      <c r="O18" s="284"/>
      <c r="P18" s="283"/>
      <c r="Q18" s="284"/>
      <c r="R18" s="283"/>
      <c r="S18" s="286"/>
    </row>
    <row r="19" spans="1:19" ht="14.4" customHeight="1" x14ac:dyDescent="0.3">
      <c r="A19" s="293" t="s">
        <v>211</v>
      </c>
      <c r="B19" s="283">
        <v>324</v>
      </c>
      <c r="C19" s="284">
        <v>1</v>
      </c>
      <c r="D19" s="283"/>
      <c r="E19" s="284"/>
      <c r="F19" s="283">
        <v>327</v>
      </c>
      <c r="G19" s="285">
        <v>1.0092592592592593</v>
      </c>
      <c r="H19" s="283"/>
      <c r="I19" s="284"/>
      <c r="J19" s="283"/>
      <c r="K19" s="284"/>
      <c r="L19" s="283"/>
      <c r="M19" s="285"/>
      <c r="N19" s="283"/>
      <c r="O19" s="284"/>
      <c r="P19" s="283"/>
      <c r="Q19" s="284"/>
      <c r="R19" s="283"/>
      <c r="S19" s="286"/>
    </row>
    <row r="20" spans="1:19" ht="14.4" customHeight="1" x14ac:dyDescent="0.3">
      <c r="A20" s="293" t="s">
        <v>212</v>
      </c>
      <c r="B20" s="283">
        <v>324</v>
      </c>
      <c r="C20" s="284">
        <v>1</v>
      </c>
      <c r="D20" s="283">
        <v>5376</v>
      </c>
      <c r="E20" s="284">
        <v>16.592592592592592</v>
      </c>
      <c r="F20" s="283">
        <v>1961</v>
      </c>
      <c r="G20" s="285">
        <v>6.0524691358024691</v>
      </c>
      <c r="H20" s="283"/>
      <c r="I20" s="284"/>
      <c r="J20" s="283"/>
      <c r="K20" s="284"/>
      <c r="L20" s="283"/>
      <c r="M20" s="285"/>
      <c r="N20" s="283"/>
      <c r="O20" s="284"/>
      <c r="P20" s="283"/>
      <c r="Q20" s="284"/>
      <c r="R20" s="283"/>
      <c r="S20" s="286"/>
    </row>
    <row r="21" spans="1:19" ht="14.4" customHeight="1" x14ac:dyDescent="0.3">
      <c r="A21" s="293" t="s">
        <v>213</v>
      </c>
      <c r="B21" s="283">
        <v>648</v>
      </c>
      <c r="C21" s="284">
        <v>1</v>
      </c>
      <c r="D21" s="283"/>
      <c r="E21" s="284"/>
      <c r="F21" s="283">
        <v>327</v>
      </c>
      <c r="G21" s="285">
        <v>0.50462962962962965</v>
      </c>
      <c r="H21" s="283"/>
      <c r="I21" s="284"/>
      <c r="J21" s="283"/>
      <c r="K21" s="284"/>
      <c r="L21" s="283"/>
      <c r="M21" s="285"/>
      <c r="N21" s="283"/>
      <c r="O21" s="284"/>
      <c r="P21" s="283"/>
      <c r="Q21" s="284"/>
      <c r="R21" s="283"/>
      <c r="S21" s="286"/>
    </row>
    <row r="22" spans="1:19" ht="14.4" customHeight="1" thickBot="1" x14ac:dyDescent="0.35">
      <c r="A22" s="294" t="s">
        <v>214</v>
      </c>
      <c r="B22" s="288">
        <v>972</v>
      </c>
      <c r="C22" s="289">
        <v>1</v>
      </c>
      <c r="D22" s="288">
        <v>326</v>
      </c>
      <c r="E22" s="289">
        <v>0.33539094650205764</v>
      </c>
      <c r="F22" s="288"/>
      <c r="G22" s="290"/>
      <c r="H22" s="288"/>
      <c r="I22" s="289"/>
      <c r="J22" s="288"/>
      <c r="K22" s="289"/>
      <c r="L22" s="288"/>
      <c r="M22" s="290"/>
      <c r="N22" s="288"/>
      <c r="O22" s="289"/>
      <c r="P22" s="288"/>
      <c r="Q22" s="289"/>
      <c r="R22" s="288"/>
      <c r="S22" s="29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Obsah</vt:lpstr>
      <vt:lpstr>Motivace</vt:lpstr>
      <vt:lpstr>HI</vt:lpstr>
      <vt:lpstr>HI Graf</vt:lpstr>
      <vt:lpstr>Man Tab</vt:lpstr>
      <vt:lpstr>HV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2013-12-28T11:43:56Z</dcterms:modified>
</cp:coreProperties>
</file>