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19" r:id="rId7"/>
    <sheet name="ON Data" sheetId="418" state="hidden" r:id="rId8"/>
    <sheet name="ZV Vykáz.-A" sheetId="344" r:id="rId9"/>
    <sheet name="ZV Vykáz.-A Lékaři" sheetId="429" r:id="rId10"/>
    <sheet name="ZV Vykáz.-A Detail" sheetId="345" r:id="rId11"/>
    <sheet name="ZV Vykáz.-H" sheetId="410" r:id="rId12"/>
    <sheet name="ZV Vykáz.-H Detail" sheetId="377" r:id="rId13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0" hidden="1">'ZV Vykáz.-A Detail'!$A$5:$Q$5</definedName>
    <definedName name="_xlnm._FilterDatabase" localSheetId="9" hidden="1">'ZV Vykáz.-A Lékaři'!$A$4:$A$5</definedName>
    <definedName name="_xlnm._FilterDatabase" localSheetId="12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N22" i="419"/>
  <c r="Z22" i="419"/>
  <c r="E22" i="419"/>
  <c r="H22" i="419"/>
  <c r="L22" i="419"/>
  <c r="P22" i="419"/>
  <c r="T22" i="419"/>
  <c r="X22" i="419"/>
  <c r="AB22" i="419"/>
  <c r="AF22" i="419"/>
  <c r="F22" i="419"/>
  <c r="R22" i="419"/>
  <c r="AG22" i="419"/>
  <c r="B22" i="419"/>
  <c r="I22" i="419"/>
  <c r="M22" i="419"/>
  <c r="Q22" i="419"/>
  <c r="U22" i="419"/>
  <c r="Y22" i="419"/>
  <c r="AC22" i="419"/>
  <c r="J22" i="419"/>
  <c r="V22" i="419"/>
  <c r="AD22" i="419"/>
  <c r="D22" i="419"/>
  <c r="G22" i="419"/>
  <c r="K22" i="419"/>
  <c r="O22" i="419"/>
  <c r="S22" i="419"/>
  <c r="W22" i="419"/>
  <c r="AA22" i="419"/>
  <c r="AE22" i="419"/>
  <c r="A15" i="383"/>
  <c r="G3" i="429"/>
  <c r="F3" i="429"/>
  <c r="E3" i="429"/>
  <c r="D3" i="429"/>
  <c r="C3" i="429"/>
  <c r="B3" i="429"/>
  <c r="AG26" i="419" l="1"/>
  <c r="AG25" i="419"/>
  <c r="C11" i="340" l="1"/>
  <c r="C12" i="414"/>
  <c r="D12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6" i="414" s="1"/>
  <c r="C11" i="339"/>
  <c r="H11" i="339" l="1"/>
  <c r="G11" i="339"/>
  <c r="A17" i="414"/>
  <c r="A16" i="414"/>
  <c r="A11" i="414"/>
  <c r="A7" i="414"/>
  <c r="A12" i="414"/>
  <c r="A4" i="414"/>
  <c r="A6" i="339" l="1"/>
  <c r="A5" i="339"/>
  <c r="D4" i="414"/>
  <c r="D15" i="414"/>
  <c r="C15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D18" i="414"/>
  <c r="C18" i="414"/>
  <c r="F13" i="339" l="1"/>
  <c r="E13" i="339"/>
  <c r="E15" i="339" s="1"/>
  <c r="H12" i="339"/>
  <c r="G12" i="339"/>
  <c r="A4" i="383"/>
  <c r="A18" i="383"/>
  <c r="A17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4" i="414"/>
  <c r="C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<sst xmlns="http://schemas.openxmlformats.org/spreadsheetml/2006/main" count="582" uniqueCount="327">
  <si>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</si>
  <si>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</si>
  <si>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</si>
  <si>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</si>
  <si>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</si>
  <si>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</si>
  <si>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</si>
  <si>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</si>
  <si>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</si>
  <si>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</si>
  <si>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</si>
  <si>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</si>
  <si>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</si>
  <si>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</si>
  <si>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</si>
  <si>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</si>
  <si>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</si>
  <si>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</si>
  <si>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</si>
  <si>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</si>
  <si>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</si>
  <si>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</si>
  <si>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</si>
  <si>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</si>
  <si>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</si>
  <si>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</si>
  <si>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</si>
  <si>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</si>
  <si>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</si>
  <si>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</si>
  <si>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</si>
  <si>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</si>
  <si>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</si>
  <si>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</si>
  <si>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</si>
  <si>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</si>
  <si>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</si>
  <si>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</si>
  <si>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</si>
  <si>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</si>
  <si>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</si>
  <si>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</si>
  <si>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</si>
  <si>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</si>
  <si>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</si>
  <si>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</si>
  <si>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</si>
  <si>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</si>
  <si>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</si>
  <si>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</si>
  <si>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</si>
  <si>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</si>
  <si>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</si>
  <si>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</si>
  <si>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</si>
  <si>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</si>
  <si>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</si>
  <si>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</si>
  <si>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</si>
  <si>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</si>
  <si>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</si>
  <si>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</si>
  <si>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</si>
  <si>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</si>
  <si>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</si>
  <si>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</si>
  <si>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</si>
  <si>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</si>
  <si>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</si>
  <si>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</si>
  <si>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</si>
  <si>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</si>
  <si>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</si>
  <si>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</si>
  <si>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</si>
  <si>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</si>
  <si>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</si>
  <si>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</si>
  <si>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</si>
  <si>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</si>
  <si>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</si>
  <si>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</si>
  <si>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</si>
  <si>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</si>
  <si>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</si>
  <si>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</si>
  <si>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</si>
  <si>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</si>
  <si>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</si>
  <si>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</si>
  <si>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</si>
  <si>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</si>
  <si>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</si>
  <si>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</si>
  <si>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</si>
  <si>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</si>
  <si>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</si>
  <si>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</si>
  <si>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</si>
  <si>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</si>
  <si>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</si>
  <si>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</si>
  <si>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</si>
  <si>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</si>
  <si>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</si>
  <si>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</si>
  <si>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</si>
  <si>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</si>
  <si>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</si>
  <si>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</si>
  <si>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</si>
  <si>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</si>
  <si>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</si>
  <si>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</si>
  <si>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</si>
  <si>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</si>
  <si>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</si>
  <si>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</si>
  <si>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</si>
  <si>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</si>
  <si>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</si>
  <si>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</si>
  <si>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</si>
  <si>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</si>
  <si>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</si>
  <si>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</si>
  <si>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</si>
  <si>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</si>
  <si>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</si>
  <si>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</si>
  <si>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</si>
  <si>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</si>
  <si>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</si>
  <si>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</si>
  <si>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</si>
  <si>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</si>
  <si>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</si>
  <si>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</si>
  <si>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</si>
  <si>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</si>
  <si>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</si>
  <si>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</si>
  <si>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</si>
  <si>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</si>
  <si>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</si>
  <si>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</si>
  <si>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</si>
  <si>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</si>
  <si>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</si>
  <si>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</si>
  <si>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</si>
  <si>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</si>
  <si>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</si>
  <si>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</si>
  <si>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</si>
  <si>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</si>
  <si>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</si>
  <si>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</si>
  <si>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</si>
  <si>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</si>
  <si>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</si>
  <si>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</si>
  <si>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</si>
  <si>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</si>
  <si>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</si>
  <si>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</si>
  <si>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</si>
  <si>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</si>
  <si>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</si>
  <si>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</si>
  <si>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</si>
  <si>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</si>
  <si>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</si>
  <si>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</si>
  <si>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</si>
  <si>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</si>
  <si>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</si>
  <si>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</si>
  <si>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</si>
  <si>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</si>
  <si>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</si>
  <si>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</si>
  <si>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</si>
  <si>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</si>
  <si>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</si>
  <si>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</si>
  <si>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</si>
  <si>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</si>
  <si>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</si>
  <si>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</si>
  <si>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</si>
  <si>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</si>
  <si>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</si>
  <si>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</si>
  <si>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</si>
  <si>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</si>
  <si>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</si>
  <si>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</si>
  <si>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</si>
  <si>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</si>
  <si>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</si>
  <si>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</si>
  <si>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</si>
  <si>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</si>
  <si>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</si>
  <si>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</si>
  <si>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</si>
  <si>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</si>
  <si>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</si>
  <si>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</si>
  <si>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</si>
  <si>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</si>
  <si>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</si>
  <si>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</si>
  <si>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</si>
  <si>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</si>
  <si>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</si>
  <si>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</si>
  <si>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</si>
  <si>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</si>
  <si>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</si>
  <si>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všeobecný materiál (sk.V30,32,33,34,42,43,Z510)</t>
  </si>
  <si>
    <t>--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</si>
  <si>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</si>
  <si>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</si>
  <si>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</si>
  <si>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50119     DDHM a textil</t>
  </si>
  <si>
    <t>50119077     OOPP a prádlo pro zaměstnance (sk.T14)</t>
  </si>
  <si>
    <t>51     Služby</t>
  </si>
  <si>
    <t>51802     Spoje</t>
  </si>
  <si>
    <t>51802003     spoje -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</si>
  <si>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</si>
  <si>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</si>
  <si>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</si>
  <si>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</si>
  <si>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</si>
  <si>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</si>
  <si>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</si>
  <si>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</si>
  <si>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</si>
  <si>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</si>
  <si>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</si>
  <si>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</si>
  <si>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</si>
  <si>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</si>
  <si>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</si>
  <si>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</si>
  <si>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</si>
  <si>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</si>
  <si>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6     Účtová třída 6 - Výnosy</t>
  </si>
  <si>
    <t>60     Tržby za vlastní výkony a zboží</t>
  </si>
  <si>
    <t>602     Výnosy z prodeje služeb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</si>
  <si>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</si>
  <si>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</si>
  <si>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</si>
  <si>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</si>
  <si>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</si>
  <si>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</si>
  <si>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</si>
  <si>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</si>
  <si>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</si>
  <si>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</si>
  <si>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</si>
  <si>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</si>
  <si>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</si>
  <si>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</si>
  <si>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</si>
  <si>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</si>
  <si>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</si>
  <si>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</si>
  <si>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</si>
  <si>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</si>
  <si>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</si>
  <si>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</si>
  <si>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</si>
  <si>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ON Data</t>
  </si>
  <si>
    <t>206 - Pracoviště klinické farmakologie (mimo laboratorní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</si>
  <si>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</si>
  <si>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</si>
  <si>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</si>
  <si>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</si>
  <si>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Matalová Petra</t>
  </si>
  <si>
    <t>Zdravotní výkony vykázané na pracovišti v rámci ambulantní péče dle lékařů *</t>
  </si>
  <si>
    <t>206</t>
  </si>
  <si>
    <t>V</t>
  </si>
  <si>
    <t>26022</t>
  </si>
  <si>
    <t>CÍLENÉ VYŠETŘENÍ KLINICKÝM FARMAKOLOGEM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</si>
  <si>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</si>
  <si>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</si>
  <si>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</si>
  <si>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</si>
  <si>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</si>
  <si>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</si>
  <si>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</si>
  <si>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</si>
  <si>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</si>
  <si>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</si>
  <si>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13 - Otolaryngologická klinika</t>
  </si>
  <si>
    <t>14 - Oční klinika</t>
  </si>
  <si>
    <t>16 - Klinika plicních nemocí a tuberkulózy</t>
  </si>
  <si>
    <t>17 - Neurologická klinika</t>
  </si>
  <si>
    <t>21 - Onkologická klinika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</si>
  <si>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</si>
  <si>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</si>
  <si>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</si>
  <si>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</si>
  <si>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</si>
  <si>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26023</t>
  </si>
  <si>
    <t>KONTROLNÍ VYŠETŘENÍ KLINICKÝM FARMAKOLOGEM</t>
  </si>
  <si>
    <t>02</t>
  </si>
  <si>
    <t>03</t>
  </si>
  <si>
    <t>06</t>
  </si>
  <si>
    <t>07</t>
  </si>
  <si>
    <t>08</t>
  </si>
  <si>
    <t>09</t>
  </si>
  <si>
    <t>10</t>
  </si>
  <si>
    <t>11</t>
  </si>
  <si>
    <t>13</t>
  </si>
  <si>
    <t>14</t>
  </si>
  <si>
    <t>16</t>
  </si>
  <si>
    <t>17</t>
  </si>
  <si>
    <t>21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</si>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</sst>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0">
    <xf numFmtId="0" fontId="0" fillId="0" borderId="0" xfId="0"/>
    <xf numFmtId="0" fontId="27" fillId="2" borderId="16" xfId="78" applyFont="1" applyFill="1" applyBorder="1"/>
    <xf numFmtId="0" fontId="28" fillId="2" borderId="17" xfId="78" applyFont="1" applyFill="1" applyBorder="1"/>
    <xf numFmtId="3" fontId="28" fillId="2" borderId="18" xfId="78" applyNumberFormat="1" applyFont="1" applyFill="1" applyBorder="1"/>
    <xf numFmtId="0" fontId="28" fillId="4" borderId="17" xfId="78" applyFont="1" applyFill="1" applyBorder="1"/>
    <xf numFmtId="3" fontId="28" fillId="4" borderId="18" xfId="78" applyNumberFormat="1" applyFont="1" applyFill="1" applyBorder="1"/>
    <xf numFmtId="172" fontId="28" fillId="3" borderId="18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78" applyNumberFormat="1" applyFont="1" applyFill="1" applyBorder="1"/>
    <xf numFmtId="3" fontId="27" fillId="5" borderId="7" xfId="78" applyNumberFormat="1" applyFont="1" applyFill="1" applyBorder="1"/>
    <xf numFmtId="3" fontId="27" fillId="5" borderId="11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78" applyNumberFormat="1" applyFont="1" applyFill="1" applyBorder="1"/>
    <xf numFmtId="3" fontId="27" fillId="5" borderId="28" xfId="78" applyNumberFormat="1" applyFont="1" applyFill="1" applyBorder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9" xfId="78" applyNumberFormat="1" applyFont="1" applyFill="1" applyBorder="1"/>
    <xf numFmtId="3" fontId="27" fillId="5" borderId="12" xfId="78" applyNumberFormat="1" applyFont="1" applyFill="1" applyBorder="1"/>
    <xf numFmtId="3" fontId="27" fillId="5" borderId="13" xfId="78" applyNumberFormat="1" applyFont="1" applyFill="1" applyBorder="1"/>
    <xf numFmtId="3" fontId="28" fillId="2" borderId="26" xfId="78" applyNumberFormat="1" applyFont="1" applyFill="1" applyBorder="1"/>
    <xf numFmtId="3" fontId="28" fillId="2" borderId="19" xfId="78" applyNumberFormat="1" applyFont="1" applyFill="1" applyBorder="1"/>
    <xf numFmtId="3" fontId="28" fillId="4" borderId="26" xfId="78" applyNumberFormat="1" applyFont="1" applyFill="1" applyBorder="1"/>
    <xf numFmtId="3" fontId="28" fillId="4" borderId="19" xfId="78" applyNumberFormat="1" applyFont="1" applyFill="1" applyBorder="1"/>
    <xf numFmtId="172" fontId="28" fillId="3" borderId="26" xfId="78" applyNumberFormat="1" applyFont="1" applyFill="1" applyBorder="1"/>
    <xf numFmtId="172" fontId="28" fillId="3" borderId="19" xfId="78" applyNumberFormat="1" applyFont="1" applyFill="1" applyBorder="1"/>
    <xf numFmtId="0" fontId="31" fillId="2" borderId="24" xfId="78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5" xfId="79" applyFont="1" applyFill="1" applyBorder="1" applyAlignment="1"/>
    <xf numFmtId="165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78" applyFont="1" applyFill="1" applyBorder="1"/>
    <xf numFmtId="0" fontId="31" fillId="2" borderId="22" xfId="78" applyFont="1" applyFill="1" applyBorder="1" applyAlignment="1">
      <alignment horizontal="center"/>
    </xf>
    <xf numFmtId="0" fontId="31" fillId="2" borderId="21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78" applyNumberFormat="1" applyFont="1" applyFill="1" applyBorder="1"/>
    <xf numFmtId="9" fontId="28" fillId="4" borderId="19" xfId="78" applyNumberFormat="1" applyFont="1" applyFill="1" applyBorder="1"/>
    <xf numFmtId="9" fontId="28" fillId="3" borderId="19" xfId="78" applyNumberFormat="1" applyFont="1" applyFill="1" applyBorder="1"/>
    <xf numFmtId="0" fontId="31" fillId="2" borderId="20" xfId="78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7" xfId="1" applyFont="1" applyFill="1" applyBorder="1"/>
    <xf numFmtId="0" fontId="44" fillId="2" borderId="3" xfId="1" applyFont="1" applyFill="1" applyBorder="1"/>
    <xf numFmtId="0" fontId="44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6" xfId="1" applyFont="1" applyFill="1" applyBorder="1" applyAlignment="1">
      <alignment horizontal="left"/>
    </xf>
    <xf numFmtId="0" fontId="44" fillId="4" borderId="33" xfId="1" applyFont="1" applyFill="1" applyBorder="1" applyAlignment="1">
      <alignment horizontal="left" indent="2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78" applyFont="1" applyFill="1"/>
    <xf numFmtId="0" fontId="49" fillId="0" borderId="35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70" fontId="39" fillId="0" borderId="18" xfId="0" applyNumberFormat="1" applyFont="1" applyFill="1" applyBorder="1" applyAlignment="1"/>
    <xf numFmtId="170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1" fillId="8" borderId="58" xfId="0" applyNumberFormat="1" applyFont="1" applyFill="1" applyBorder="1"/>
    <xf numFmtId="3" fontId="51" fillId="8" borderId="57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1" xfId="0" applyNumberFormat="1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3" fontId="53" fillId="2" borderId="64" xfId="0" applyNumberFormat="1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/>
    <xf numFmtId="0" fontId="39" fillId="2" borderId="69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7" xfId="0" applyFont="1" applyFill="1" applyBorder="1" applyAlignment="1"/>
    <xf numFmtId="0" fontId="39" fillId="4" borderId="69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69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7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3" fillId="2" borderId="81" xfId="0" applyNumberFormat="1" applyFont="1" applyFill="1" applyBorder="1" applyAlignment="1">
      <alignment horizontal="center" vertical="center" wrapText="1"/>
    </xf>
    <xf numFmtId="174" fontId="39" fillId="4" borderId="68" xfId="0" applyNumberFormat="1" applyFont="1" applyFill="1" applyBorder="1" applyAlignment="1"/>
    <xf numFmtId="174" fontId="39" fillId="4" borderId="61" xfId="0" applyNumberFormat="1" applyFont="1" applyFill="1" applyBorder="1" applyAlignment="1"/>
    <xf numFmtId="174" fontId="39" fillId="4" borderId="62" xfId="0" applyNumberFormat="1" applyFont="1" applyFill="1" applyBorder="1" applyAlignment="1"/>
    <xf numFmtId="174" fontId="39" fillId="0" borderId="70" xfId="0" applyNumberFormat="1" applyFont="1" applyBorder="1"/>
    <xf numFmtId="174" fontId="32" fillId="0" borderId="74" xfId="0" applyNumberFormat="1" applyFont="1" applyBorder="1"/>
    <xf numFmtId="174" fontId="32" fillId="0" borderId="72" xfId="0" applyNumberFormat="1" applyFont="1" applyBorder="1"/>
    <xf numFmtId="174" fontId="39" fillId="0" borderId="80" xfId="0" applyNumberFormat="1" applyFont="1" applyBorder="1"/>
    <xf numFmtId="174" fontId="32" fillId="0" borderId="81" xfId="0" applyNumberFormat="1" applyFont="1" applyBorder="1"/>
    <xf numFmtId="174" fontId="32" fillId="0" borderId="65" xfId="0" applyNumberFormat="1" applyFont="1" applyBorder="1"/>
    <xf numFmtId="174" fontId="39" fillId="2" borderId="82" xfId="0" applyNumberFormat="1" applyFont="1" applyFill="1" applyBorder="1" applyAlignment="1"/>
    <xf numFmtId="174" fontId="39" fillId="2" borderId="61" xfId="0" applyNumberFormat="1" applyFont="1" applyFill="1" applyBorder="1" applyAlignment="1"/>
    <xf numFmtId="174" fontId="39" fillId="2" borderId="62" xfId="0" applyNumberFormat="1" applyFont="1" applyFill="1" applyBorder="1" applyAlignment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174" fontId="39" fillId="0" borderId="68" xfId="0" applyNumberFormat="1" applyFont="1" applyBorder="1"/>
    <xf numFmtId="174" fontId="32" fillId="0" borderId="83" xfId="0" applyNumberFormat="1" applyFont="1" applyBorder="1"/>
    <xf numFmtId="174" fontId="32" fillId="0" borderId="62" xfId="0" applyNumberFormat="1" applyFont="1" applyBorder="1"/>
    <xf numFmtId="175" fontId="39" fillId="2" borderId="68" xfId="0" applyNumberFormat="1" applyFont="1" applyFill="1" applyBorder="1" applyAlignment="1"/>
    <xf numFmtId="175" fontId="32" fillId="2" borderId="61" xfId="0" applyNumberFormat="1" applyFont="1" applyFill="1" applyBorder="1" applyAlignment="1"/>
    <xf numFmtId="175" fontId="32" fillId="2" borderId="62" xfId="0" applyNumberFormat="1" applyFont="1" applyFill="1" applyBorder="1" applyAlignment="1"/>
    <xf numFmtId="175" fontId="39" fillId="0" borderId="70" xfId="0" applyNumberFormat="1" applyFont="1" applyBorder="1"/>
    <xf numFmtId="175" fontId="32" fillId="0" borderId="71" xfId="0" applyNumberFormat="1" applyFont="1" applyBorder="1"/>
    <xf numFmtId="175" fontId="32" fillId="0" borderId="72" xfId="0" applyNumberFormat="1" applyFont="1" applyBorder="1"/>
    <xf numFmtId="175" fontId="32" fillId="0" borderId="74" xfId="0" applyNumberFormat="1" applyFont="1" applyBorder="1"/>
    <xf numFmtId="175" fontId="39" fillId="0" borderId="76" xfId="0" applyNumberFormat="1" applyFont="1" applyBorder="1"/>
    <xf numFmtId="175" fontId="32" fillId="0" borderId="77" xfId="0" applyNumberFormat="1" applyFont="1" applyBorder="1"/>
    <xf numFmtId="175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8" xfId="0" applyNumberFormat="1" applyFont="1" applyFill="1" applyBorder="1" applyAlignment="1">
      <alignment horizontal="center"/>
    </xf>
    <xf numFmtId="176" fontId="39" fillId="0" borderId="76" xfId="0" applyNumberFormat="1" applyFont="1" applyBorder="1"/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32" fillId="0" borderId="84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70" fontId="39" fillId="0" borderId="19" xfId="0" applyNumberFormat="1" applyFont="1" applyFill="1" applyBorder="1" applyAlignment="1"/>
    <xf numFmtId="9" fontId="39" fillId="0" borderId="70" xfId="0" applyNumberFormat="1" applyFont="1" applyBorder="1"/>
    <xf numFmtId="9" fontId="32" fillId="0" borderId="74" xfId="0" applyNumberFormat="1" applyFont="1" applyBorder="1"/>
    <xf numFmtId="9" fontId="32" fillId="0" borderId="72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78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37" xfId="78" applyFont="1" applyFill="1" applyBorder="1" applyAlignment="1">
      <alignment horizontal="center"/>
    </xf>
    <xf numFmtId="0" fontId="31" fillId="2" borderId="56" xfId="78" applyFont="1" applyFill="1" applyBorder="1" applyAlignment="1">
      <alignment horizontal="center"/>
    </xf>
    <xf numFmtId="0" fontId="31" fillId="2" borderId="38" xfId="78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2" fillId="0" borderId="1" xfId="26" applyFont="1" applyFill="1" applyBorder="1" applyAlignment="1"/>
    <xf numFmtId="167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49" fontId="31" fillId="2" borderId="29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2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0" fontId="42" fillId="2" borderId="42" xfId="0" applyNumberFormat="1" applyFont="1" applyFill="1" applyBorder="1" applyAlignment="1">
      <alignment horizontal="center" vertical="top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7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7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7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7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7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7" xfId="0" applyFont="1" applyFill="1" applyBorder="1" applyAlignment="1">
      <alignment vertical="top"/>
    </xf>
    <xf numFmtId="174" fontId="39" fillId="4" borderId="103" xfId="0" applyNumberFormat="1" applyFont="1" applyFill="1" applyBorder="1" applyAlignment="1">
      <alignment horizontal="center"/>
    </xf>
    <xf numFmtId="174" fontId="39" fillId="4" borderId="104" xfId="0" applyNumberFormat="1" applyFont="1" applyFill="1" applyBorder="1" applyAlignment="1">
      <alignment horizontal="center"/>
    </xf>
    <xf numFmtId="174" fontId="32" fillId="0" borderId="105" xfId="0" applyNumberFormat="1" applyFont="1" applyBorder="1" applyAlignment="1">
      <alignment horizontal="right"/>
    </xf>
    <xf numFmtId="174" fontId="32" fillId="0" borderId="106" xfId="0" applyNumberFormat="1" applyFont="1" applyBorder="1" applyAlignment="1">
      <alignment horizontal="right"/>
    </xf>
    <xf numFmtId="174" fontId="32" fillId="0" borderId="106" xfId="0" applyNumberFormat="1" applyFont="1" applyBorder="1" applyAlignment="1">
      <alignment horizontal="right" wrapText="1"/>
    </xf>
    <xf numFmtId="176" fontId="32" fillId="0" borderId="105" xfId="0" applyNumberFormat="1" applyFont="1" applyBorder="1" applyAlignment="1">
      <alignment horizontal="right"/>
    </xf>
    <xf numFmtId="176" fontId="32" fillId="0" borderId="106" xfId="0" applyNumberFormat="1" applyFont="1" applyBorder="1" applyAlignment="1">
      <alignment horizontal="right"/>
    </xf>
    <xf numFmtId="174" fontId="32" fillId="0" borderId="107" xfId="0" applyNumberFormat="1" applyFont="1" applyBorder="1" applyAlignment="1">
      <alignment horizontal="right"/>
    </xf>
    <xf numFmtId="174" fontId="32" fillId="0" borderId="108" xfId="0" applyNumberFormat="1" applyFont="1" applyBorder="1" applyAlignment="1">
      <alignment horizontal="right"/>
    </xf>
    <xf numFmtId="0" fontId="39" fillId="2" borderId="87" xfId="0" applyFont="1" applyFill="1" applyBorder="1" applyAlignment="1">
      <alignment horizontal="center" vertical="center"/>
    </xf>
    <xf numFmtId="0" fontId="53" fillId="2" borderId="86" xfId="0" applyFont="1" applyFill="1" applyBorder="1" applyAlignment="1">
      <alignment horizontal="center" vertical="center" wrapText="1"/>
    </xf>
    <xf numFmtId="175" fontId="32" fillId="2" borderId="87" xfId="0" applyNumberFormat="1" applyFont="1" applyFill="1" applyBorder="1" applyAlignment="1"/>
    <xf numFmtId="175" fontId="32" fillId="0" borderId="85" xfId="0" applyNumberFormat="1" applyFont="1" applyBorder="1"/>
    <xf numFmtId="175" fontId="32" fillId="0" borderId="109" xfId="0" applyNumberFormat="1" applyFont="1" applyBorder="1"/>
    <xf numFmtId="174" fontId="39" fillId="4" borderId="87" xfId="0" applyNumberFormat="1" applyFont="1" applyFill="1" applyBorder="1" applyAlignment="1"/>
    <xf numFmtId="174" fontId="32" fillId="0" borderId="85" xfId="0" applyNumberFormat="1" applyFont="1" applyBorder="1"/>
    <xf numFmtId="174" fontId="32" fillId="0" borderId="86" xfId="0" applyNumberFormat="1" applyFont="1" applyBorder="1"/>
    <xf numFmtId="174" fontId="39" fillId="2" borderId="87" xfId="0" applyNumberFormat="1" applyFont="1" applyFill="1" applyBorder="1" applyAlignment="1"/>
    <xf numFmtId="174" fontId="32" fillId="0" borderId="109" xfId="0" applyNumberFormat="1" applyFont="1" applyBorder="1"/>
    <xf numFmtId="174" fontId="32" fillId="0" borderId="87" xfId="0" applyNumberFormat="1" applyFont="1" applyBorder="1"/>
    <xf numFmtId="9" fontId="32" fillId="0" borderId="85" xfId="0" applyNumberFormat="1" applyFont="1" applyBorder="1"/>
    <xf numFmtId="174" fontId="39" fillId="4" borderId="110" xfId="0" applyNumberFormat="1" applyFont="1" applyFill="1" applyBorder="1" applyAlignment="1">
      <alignment horizontal="center"/>
    </xf>
    <xf numFmtId="174" fontId="32" fillId="0" borderId="111" xfId="0" applyNumberFormat="1" applyFont="1" applyBorder="1" applyAlignment="1">
      <alignment horizontal="right"/>
    </xf>
    <xf numFmtId="176" fontId="32" fillId="0" borderId="111" xfId="0" applyNumberFormat="1" applyFont="1" applyBorder="1" applyAlignment="1">
      <alignment horizontal="right"/>
    </xf>
    <xf numFmtId="174" fontId="32" fillId="0" borderId="112" xfId="0" applyNumberFormat="1" applyFont="1" applyBorder="1" applyAlignment="1">
      <alignment horizontal="right"/>
    </xf>
    <xf numFmtId="0" fontId="0" fillId="0" borderId="14" xfId="0" applyBorder="1"/>
    <xf numFmtId="174" fontId="39" fillId="4" borderId="32" xfId="0" applyNumberFormat="1" applyFont="1" applyFill="1" applyBorder="1" applyAlignment="1">
      <alignment horizontal="center"/>
    </xf>
    <xf numFmtId="174" fontId="32" fillId="0" borderId="69" xfId="0" applyNumberFormat="1" applyFont="1" applyBorder="1" applyAlignment="1">
      <alignment horizontal="right"/>
    </xf>
    <xf numFmtId="176" fontId="32" fillId="0" borderId="69" xfId="0" applyNumberFormat="1" applyFont="1" applyBorder="1" applyAlignment="1">
      <alignment horizontal="right"/>
    </xf>
    <xf numFmtId="174" fontId="32" fillId="0" borderId="79" xfId="0" applyNumberFormat="1" applyFont="1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0" fontId="32" fillId="0" borderId="18" xfId="0" applyFont="1" applyFill="1" applyBorder="1"/>
    <xf numFmtId="170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7" fillId="0" borderId="0" xfId="0" applyFont="1" applyFill="1"/>
    <xf numFmtId="0" fontId="58" fillId="0" borderId="0" xfId="0" applyFont="1" applyFill="1"/>
    <xf numFmtId="0" fontId="31" fillId="2" borderId="15" xfId="26" applyNumberFormat="1" applyFont="1" applyFill="1" applyBorder="1"/>
    <xf numFmtId="3" fontId="32" fillId="0" borderId="26" xfId="0" applyNumberFormat="1" applyFont="1" applyFill="1" applyBorder="1"/>
    <xf numFmtId="170" fontId="32" fillId="0" borderId="19" xfId="0" applyNumberFormat="1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2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3" fontId="32" fillId="0" borderId="19" xfId="0" applyNumberFormat="1" applyFont="1" applyFill="1" applyBorder="1"/>
    <xf numFmtId="0" fontId="32" fillId="0" borderId="23" xfId="0" applyFont="1" applyFill="1" applyBorder="1"/>
    <xf numFmtId="170" fontId="32" fillId="0" borderId="62" xfId="0" applyNumberFormat="1" applyFont="1" applyFill="1" applyBorder="1"/>
    <xf numFmtId="0" fontId="32" fillId="0" borderId="62" xfId="0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2" fillId="0" borderId="71" xfId="0" applyFont="1" applyFill="1" applyBorder="1"/>
    <xf numFmtId="170" fontId="32" fillId="0" borderId="72" xfId="0" applyNumberFormat="1" applyFont="1" applyFill="1" applyBorder="1"/>
    <xf numFmtId="0" fontId="32" fillId="0" borderId="72" xfId="0" applyFont="1" applyFill="1" applyBorder="1"/>
    <xf numFmtId="9" fontId="32" fillId="0" borderId="72" xfId="0" applyNumberFormat="1" applyFont="1" applyFill="1" applyBorder="1"/>
    <xf numFmtId="9" fontId="32" fillId="0" borderId="73" xfId="0" applyNumberFormat="1" applyFont="1" applyFill="1" applyBorder="1"/>
    <xf numFmtId="0" fontId="32" fillId="0" borderId="64" xfId="0" applyFont="1" applyFill="1" applyBorder="1"/>
    <xf numFmtId="170" fontId="32" fillId="0" borderId="65" xfId="0" applyNumberFormat="1" applyFont="1" applyFill="1" applyBorder="1"/>
    <xf numFmtId="0" fontId="32" fillId="0" borderId="65" xfId="0" applyFont="1" applyFill="1" applyBorder="1"/>
    <xf numFmtId="9" fontId="32" fillId="0" borderId="65" xfId="0" applyNumberFormat="1" applyFont="1" applyFill="1" applyBorder="1"/>
    <xf numFmtId="9" fontId="32" fillId="0" borderId="66" xfId="0" applyNumberFormat="1" applyFont="1" applyFill="1" applyBorder="1"/>
    <xf numFmtId="0" fontId="39" fillId="0" borderId="23" xfId="0" applyFont="1" applyFill="1" applyBorder="1"/>
    <xf numFmtId="0" fontId="39" fillId="0" borderId="71" xfId="0" applyFont="1" applyFill="1" applyBorder="1"/>
    <xf numFmtId="0" fontId="39" fillId="0" borderId="64" xfId="0" applyFont="1" applyFill="1" applyBorder="1"/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2" fillId="2" borderId="15" xfId="0" applyNumberFormat="1" applyFont="1" applyFill="1" applyBorder="1" applyAlignment="1">
      <alignment horizontal="center" vertical="top"/>
    </xf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3" fontId="32" fillId="0" borderId="65" xfId="0" applyNumberFormat="1" applyFont="1" applyFill="1" applyBorder="1"/>
    <xf numFmtId="3" fontId="32" fillId="0" borderId="66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17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2.3666422427257063E-3</c:v>
                </c:pt>
                <c:pt idx="1">
                  <c:v>1.2083167220576989E-3</c:v>
                </c:pt>
                <c:pt idx="2">
                  <c:v>8.1129831399308773E-4</c:v>
                </c:pt>
                <c:pt idx="3">
                  <c:v>6.1608684134028505E-4</c:v>
                </c:pt>
                <c:pt idx="4">
                  <c:v>4.9291098288424583E-4</c:v>
                </c:pt>
                <c:pt idx="5">
                  <c:v>4.2926587160676107E-4</c:v>
                </c:pt>
                <c:pt idx="6">
                  <c:v>3.5355738902993127E-4</c:v>
                </c:pt>
                <c:pt idx="7">
                  <c:v>3.2297254846921599E-4</c:v>
                </c:pt>
                <c:pt idx="8">
                  <c:v>2.9680019168754128E-4</c:v>
                </c:pt>
                <c:pt idx="9">
                  <c:v>2.6981550881887019E-4</c:v>
                </c:pt>
                <c:pt idx="10">
                  <c:v>2.3128801779109855E-4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278720"/>
        <c:axId val="13254123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5413888"/>
        <c:axId val="1325415808"/>
      </c:scatterChart>
      <c:catAx>
        <c:axId val="132527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2541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54123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25278720"/>
        <c:crosses val="autoZero"/>
        <c:crossBetween val="between"/>
      </c:valAx>
      <c:valAx>
        <c:axId val="13254138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25415808"/>
        <c:crosses val="max"/>
        <c:crossBetween val="midCat"/>
      </c:valAx>
      <c:valAx>
        <c:axId val="13254158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254138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63" t="s">
        <v>84</v>
      </c>
      <c r="B1" s="263"/>
    </row>
    <row r="2" spans="1:3" ht="14.4" customHeight="1" thickBot="1" x14ac:dyDescent="0.35">
      <c r="A2" s="192" t="s">
        <v>214</v>
      </c>
      <c r="B2" s="41"/>
    </row>
    <row r="3" spans="1:3" ht="14.4" customHeight="1" thickBot="1" x14ac:dyDescent="0.35">
      <c r="A3" s="259" t="s">
        <v>101</v>
      </c>
      <c r="B3" s="260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91</v>
      </c>
      <c r="C4" s="42" t="s">
        <v>92</v>
      </c>
    </row>
    <row r="5" spans="1:3" ht="14.4" customHeight="1" x14ac:dyDescent="0.3">
      <c r="A5" s="115" t="str">
        <f t="shared" si="0"/>
        <v>HI</v>
      </c>
      <c r="B5" s="64" t="s">
        <v>100</v>
      </c>
      <c r="C5" s="42" t="s">
        <v>87</v>
      </c>
    </row>
    <row r="6" spans="1:3" ht="14.4" customHeight="1" x14ac:dyDescent="0.3">
      <c r="A6" s="116" t="str">
        <f t="shared" si="0"/>
        <v>HI Graf</v>
      </c>
      <c r="B6" s="65" t="s">
        <v>80</v>
      </c>
      <c r="C6" s="42" t="s">
        <v>88</v>
      </c>
    </row>
    <row r="7" spans="1:3" ht="14.4" customHeight="1" x14ac:dyDescent="0.3">
      <c r="A7" s="116" t="str">
        <f t="shared" si="0"/>
        <v>Man Tab</v>
      </c>
      <c r="B7" s="65" t="s">
        <v>216</v>
      </c>
      <c r="C7" s="42" t="s">
        <v>89</v>
      </c>
    </row>
    <row r="8" spans="1:3" ht="14.4" customHeight="1" thickBot="1" x14ac:dyDescent="0.35">
      <c r="A8" s="117" t="str">
        <f t="shared" si="0"/>
        <v>HV</v>
      </c>
      <c r="B8" s="66" t="s">
        <v>36</v>
      </c>
      <c r="C8" s="42" t="s">
        <v>41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1" t="s">
        <v>85</v>
      </c>
      <c r="B10" s="260"/>
    </row>
    <row r="11" spans="1:3" ht="14.4" customHeight="1" thickBot="1" x14ac:dyDescent="0.35">
      <c r="A11" s="118" t="str">
        <f t="shared" ref="A11" si="1">HYPERLINK("#'"&amp;C11&amp;"'!A1",C11)</f>
        <v>Osobní náklady</v>
      </c>
      <c r="B11" s="65" t="s">
        <v>82</v>
      </c>
      <c r="C11" s="42" t="s">
        <v>90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62" t="s">
        <v>86</v>
      </c>
      <c r="B13" s="260"/>
    </row>
    <row r="14" spans="1:3" ht="14.4" customHeight="1" x14ac:dyDescent="0.3">
      <c r="A14" s="119" t="str">
        <f t="shared" ref="A14:A18" si="2">HYPERLINK("#'"&amp;C14&amp;"'!A1",C14)</f>
        <v>ZV Vykáz.-A</v>
      </c>
      <c r="B14" s="64" t="s">
        <v>280</v>
      </c>
      <c r="C14" s="42" t="s">
        <v>93</v>
      </c>
    </row>
    <row r="15" spans="1:3" ht="14.4" customHeight="1" x14ac:dyDescent="0.3">
      <c r="A15" s="116" t="str">
        <f t="shared" ref="A15" si="3">HYPERLINK("#'"&amp;C15&amp;"'!A1",C15)</f>
        <v>ZV Vykáz.-A Lékaři</v>
      </c>
      <c r="B15" s="65" t="s">
        <v>282</v>
      </c>
      <c r="C15" s="42" t="s">
        <v>213</v>
      </c>
    </row>
    <row r="16" spans="1:3" ht="14.4" customHeight="1" x14ac:dyDescent="0.3">
      <c r="A16" s="116" t="str">
        <f t="shared" si="2"/>
        <v>ZV Vykáz.-A Detail</v>
      </c>
      <c r="B16" s="65" t="s">
        <v>287</v>
      </c>
      <c r="C16" s="42" t="s">
        <v>94</v>
      </c>
    </row>
    <row r="17" spans="1:3" ht="14.4" customHeight="1" x14ac:dyDescent="0.3">
      <c r="A17" s="116" t="str">
        <f t="shared" si="2"/>
        <v>ZV Vykáz.-H</v>
      </c>
      <c r="B17" s="65" t="s">
        <v>97</v>
      </c>
      <c r="C17" s="42" t="s">
        <v>95</v>
      </c>
    </row>
    <row r="18" spans="1:3" ht="14.4" customHeight="1" x14ac:dyDescent="0.3">
      <c r="A18" s="116" t="str">
        <f t="shared" si="2"/>
        <v>ZV Vykáz.-H Detail</v>
      </c>
      <c r="B18" s="65" t="s">
        <v>326</v>
      </c>
      <c r="C18" s="42" t="s">
        <v>96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6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291" t="s">
        <v>282</v>
      </c>
      <c r="B1" s="263"/>
      <c r="C1" s="263"/>
      <c r="D1" s="263"/>
      <c r="E1" s="263"/>
      <c r="F1" s="263"/>
      <c r="G1" s="263"/>
    </row>
    <row r="2" spans="1:7" ht="14.4" customHeight="1" thickBot="1" x14ac:dyDescent="0.35">
      <c r="A2" s="192" t="s">
        <v>214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78" t="s">
        <v>98</v>
      </c>
      <c r="B3" s="253">
        <f t="shared" ref="B3:G3" si="0">SUBTOTAL(9,B6:B1048576)</f>
        <v>0</v>
      </c>
      <c r="C3" s="254">
        <f t="shared" si="0"/>
        <v>1</v>
      </c>
      <c r="D3" s="254">
        <f t="shared" si="0"/>
        <v>1</v>
      </c>
      <c r="E3" s="182">
        <f t="shared" si="0"/>
        <v>0</v>
      </c>
      <c r="F3" s="180">
        <f t="shared" si="0"/>
        <v>327</v>
      </c>
      <c r="G3" s="255">
        <f t="shared" si="0"/>
        <v>327</v>
      </c>
    </row>
    <row r="4" spans="1:7" ht="14.4" customHeight="1" x14ac:dyDescent="0.3">
      <c r="A4" s="292" t="s">
        <v>99</v>
      </c>
      <c r="B4" s="293" t="s">
        <v>212</v>
      </c>
      <c r="C4" s="294"/>
      <c r="D4" s="294"/>
      <c r="E4" s="296" t="s">
        <v>75</v>
      </c>
      <c r="F4" s="297"/>
      <c r="G4" s="298"/>
    </row>
    <row r="5" spans="1:7" ht="14.4" customHeight="1" thickBot="1" x14ac:dyDescent="0.35">
      <c r="A5" s="368"/>
      <c r="B5" s="369">
        <v>2012</v>
      </c>
      <c r="C5" s="370">
        <v>2013</v>
      </c>
      <c r="D5" s="370">
        <v>2014</v>
      </c>
      <c r="E5" s="369">
        <v>2012</v>
      </c>
      <c r="F5" s="370">
        <v>2013</v>
      </c>
      <c r="G5" s="378">
        <v>2014</v>
      </c>
    </row>
    <row r="6" spans="1:7" ht="14.4" customHeight="1" thickBot="1" x14ac:dyDescent="0.35">
      <c r="A6" s="375" t="s">
        <v>281</v>
      </c>
      <c r="B6" s="379"/>
      <c r="C6" s="379">
        <v>1</v>
      </c>
      <c r="D6" s="379">
        <v>1</v>
      </c>
      <c r="E6" s="373"/>
      <c r="F6" s="373">
        <v>327</v>
      </c>
      <c r="G6" s="380">
        <v>327</v>
      </c>
    </row>
    <row r="7" spans="1:7" ht="14.4" customHeight="1" x14ac:dyDescent="0.3">
      <c r="A7" s="376" t="s">
        <v>277</v>
      </c>
    </row>
    <row r="8" spans="1:7" ht="14.4" customHeight="1" x14ac:dyDescent="0.3">
      <c r="A8" s="377" t="s">
        <v>278</v>
      </c>
    </row>
    <row r="9" spans="1:7" ht="14.4" customHeight="1" x14ac:dyDescent="0.3">
      <c r="A9" s="376" t="s">
        <v>279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2" bestFit="1" customWidth="1"/>
    <col min="2" max="2" width="2.109375" style="102" bestFit="1" customWidth="1"/>
    <col min="3" max="3" width="22.21875" style="102" customWidth="1"/>
    <col min="4" max="4" width="8" style="102" customWidth="1"/>
    <col min="5" max="5" width="50.88671875" style="102" bestFit="1" customWidth="1"/>
    <col min="6" max="7" width="11.109375" style="176" customWidth="1"/>
    <col min="8" max="9" width="9.33203125" style="102" hidden="1" customWidth="1"/>
    <col min="10" max="11" width="11.109375" style="176" customWidth="1"/>
    <col min="12" max="13" width="9.33203125" style="102" hidden="1" customWidth="1"/>
    <col min="14" max="15" width="11.109375" style="176" customWidth="1"/>
    <col min="16" max="16" width="11.109375" style="177" customWidth="1"/>
    <col min="17" max="17" width="11.109375" style="176" customWidth="1"/>
    <col min="18" max="16384" width="8.88671875" style="102"/>
  </cols>
  <sheetData>
    <row r="1" spans="1:17" ht="18.600000000000001" customHeight="1" thickBot="1" x14ac:dyDescent="0.4">
      <c r="A1" s="263" t="s">
        <v>287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ht="14.4" customHeight="1" thickBot="1" x14ac:dyDescent="0.35">
      <c r="A2" s="192" t="s">
        <v>214</v>
      </c>
      <c r="B2" s="103"/>
      <c r="C2" s="103"/>
      <c r="D2" s="252"/>
      <c r="E2" s="103"/>
      <c r="F2" s="186"/>
      <c r="G2" s="186"/>
      <c r="H2" s="103"/>
      <c r="I2" s="103"/>
      <c r="J2" s="186"/>
      <c r="K2" s="186"/>
      <c r="L2" s="103"/>
      <c r="M2" s="103"/>
      <c r="N2" s="186"/>
      <c r="O2" s="186"/>
      <c r="P2" s="187"/>
      <c r="Q2" s="186"/>
    </row>
    <row r="3" spans="1:17" ht="14.4" customHeight="1" thickBot="1" x14ac:dyDescent="0.35">
      <c r="E3" s="62" t="s">
        <v>98</v>
      </c>
      <c r="F3" s="74">
        <f t="shared" ref="F3:O3" si="0">SUBTOTAL(9,F6:F1048576)</f>
        <v>0</v>
      </c>
      <c r="G3" s="75">
        <f t="shared" si="0"/>
        <v>0</v>
      </c>
      <c r="H3" s="57"/>
      <c r="I3" s="57"/>
      <c r="J3" s="75">
        <f t="shared" si="0"/>
        <v>1</v>
      </c>
      <c r="K3" s="75">
        <f t="shared" si="0"/>
        <v>327</v>
      </c>
      <c r="L3" s="57"/>
      <c r="M3" s="57"/>
      <c r="N3" s="75">
        <f t="shared" si="0"/>
        <v>1</v>
      </c>
      <c r="O3" s="75">
        <f t="shared" si="0"/>
        <v>327</v>
      </c>
      <c r="P3" s="58">
        <f>IF(G3=0,0,O3/G3)</f>
        <v>0</v>
      </c>
      <c r="Q3" s="76">
        <f>IF(N3=0,0,O3/N3)</f>
        <v>327</v>
      </c>
    </row>
    <row r="4" spans="1:17" ht="14.4" customHeight="1" x14ac:dyDescent="0.3">
      <c r="A4" s="300" t="s">
        <v>70</v>
      </c>
      <c r="B4" s="301" t="s">
        <v>71</v>
      </c>
      <c r="C4" s="302" t="s">
        <v>99</v>
      </c>
      <c r="D4" s="307" t="s">
        <v>46</v>
      </c>
      <c r="E4" s="303" t="s">
        <v>45</v>
      </c>
      <c r="F4" s="304">
        <v>2012</v>
      </c>
      <c r="G4" s="305"/>
      <c r="H4" s="73"/>
      <c r="I4" s="73"/>
      <c r="J4" s="304">
        <v>2013</v>
      </c>
      <c r="K4" s="305"/>
      <c r="L4" s="73"/>
      <c r="M4" s="73"/>
      <c r="N4" s="304">
        <v>2014</v>
      </c>
      <c r="O4" s="305"/>
      <c r="P4" s="306" t="s">
        <v>0</v>
      </c>
      <c r="Q4" s="299" t="s">
        <v>73</v>
      </c>
    </row>
    <row r="5" spans="1:17" ht="14.4" customHeight="1" thickBot="1" x14ac:dyDescent="0.35">
      <c r="A5" s="381"/>
      <c r="B5" s="382"/>
      <c r="C5" s="383"/>
      <c r="D5" s="384"/>
      <c r="E5" s="385"/>
      <c r="F5" s="386" t="s">
        <v>47</v>
      </c>
      <c r="G5" s="387" t="s">
        <v>3</v>
      </c>
      <c r="H5" s="388"/>
      <c r="I5" s="388"/>
      <c r="J5" s="386" t="s">
        <v>47</v>
      </c>
      <c r="K5" s="387" t="s">
        <v>3</v>
      </c>
      <c r="L5" s="388"/>
      <c r="M5" s="388"/>
      <c r="N5" s="386" t="s">
        <v>47</v>
      </c>
      <c r="O5" s="387" t="s">
        <v>3</v>
      </c>
      <c r="P5" s="389"/>
      <c r="Q5" s="390"/>
    </row>
    <row r="6" spans="1:17" ht="14.4" customHeight="1" thickBot="1" x14ac:dyDescent="0.35">
      <c r="A6" s="372" t="s">
        <v>283</v>
      </c>
      <c r="B6" s="374" t="s">
        <v>284</v>
      </c>
      <c r="C6" s="374" t="s">
        <v>281</v>
      </c>
      <c r="D6" s="374" t="s">
        <v>285</v>
      </c>
      <c r="E6" s="374" t="s">
        <v>286</v>
      </c>
      <c r="F6" s="379"/>
      <c r="G6" s="379"/>
      <c r="H6" s="374"/>
      <c r="I6" s="374"/>
      <c r="J6" s="379">
        <v>1</v>
      </c>
      <c r="K6" s="379">
        <v>327</v>
      </c>
      <c r="L6" s="374"/>
      <c r="M6" s="374">
        <v>327</v>
      </c>
      <c r="N6" s="379">
        <v>1</v>
      </c>
      <c r="O6" s="379">
        <v>327</v>
      </c>
      <c r="P6" s="250"/>
      <c r="Q6" s="391">
        <v>327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7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7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7" customWidth="1"/>
    <col min="20" max="16384" width="8.88671875" style="102"/>
  </cols>
  <sheetData>
    <row r="1" spans="1:19" ht="18.600000000000001" customHeight="1" thickBot="1" x14ac:dyDescent="0.4">
      <c r="A1" s="272" t="s">
        <v>97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19" ht="14.4" customHeight="1" thickBot="1" x14ac:dyDescent="0.35">
      <c r="A2" s="192" t="s">
        <v>214</v>
      </c>
      <c r="B2" s="184"/>
      <c r="C2" s="83"/>
      <c r="D2" s="184"/>
      <c r="E2" s="83"/>
      <c r="F2" s="184"/>
      <c r="G2" s="185"/>
      <c r="H2" s="184"/>
      <c r="I2" s="83"/>
      <c r="J2" s="184"/>
      <c r="K2" s="83"/>
      <c r="L2" s="184"/>
      <c r="M2" s="185"/>
      <c r="N2" s="184"/>
      <c r="O2" s="83"/>
      <c r="P2" s="184"/>
      <c r="Q2" s="83"/>
      <c r="R2" s="184"/>
      <c r="S2" s="185"/>
    </row>
    <row r="3" spans="1:19" ht="14.4" customHeight="1" thickBot="1" x14ac:dyDescent="0.35">
      <c r="A3" s="178" t="s">
        <v>98</v>
      </c>
      <c r="B3" s="179">
        <f>SUBTOTAL(9,B6:B1048576)</f>
        <v>61104</v>
      </c>
      <c r="C3" s="180">
        <f t="shared" ref="C3:R3" si="0">SUBTOTAL(9,C6:C1048576)</f>
        <v>11</v>
      </c>
      <c r="D3" s="180">
        <f t="shared" si="0"/>
        <v>51160</v>
      </c>
      <c r="E3" s="180">
        <f t="shared" si="0"/>
        <v>13.622786379597036</v>
      </c>
      <c r="F3" s="180">
        <f t="shared" si="0"/>
        <v>40670</v>
      </c>
      <c r="G3" s="183">
        <f>IF(B3&lt;&gt;0,F3/B3,"")</f>
        <v>0.66558654097931391</v>
      </c>
      <c r="H3" s="179">
        <f t="shared" si="0"/>
        <v>0</v>
      </c>
      <c r="I3" s="180">
        <f t="shared" si="0"/>
        <v>0</v>
      </c>
      <c r="J3" s="180">
        <f t="shared" si="0"/>
        <v>0</v>
      </c>
      <c r="K3" s="180">
        <f t="shared" si="0"/>
        <v>0</v>
      </c>
      <c r="L3" s="180">
        <f t="shared" si="0"/>
        <v>0</v>
      </c>
      <c r="M3" s="181" t="str">
        <f>IF(H3&lt;&gt;0,L3/H3,"")</f>
        <v/>
      </c>
      <c r="N3" s="182">
        <f t="shared" si="0"/>
        <v>0</v>
      </c>
      <c r="O3" s="180">
        <f t="shared" si="0"/>
        <v>0</v>
      </c>
      <c r="P3" s="180">
        <f t="shared" si="0"/>
        <v>0</v>
      </c>
      <c r="Q3" s="180">
        <f t="shared" si="0"/>
        <v>0</v>
      </c>
      <c r="R3" s="180">
        <f t="shared" si="0"/>
        <v>0</v>
      </c>
      <c r="S3" s="181" t="str">
        <f>IF(N3&lt;&gt;0,R3/N3,"")</f>
        <v/>
      </c>
    </row>
    <row r="4" spans="1:19" ht="14.4" customHeight="1" x14ac:dyDescent="0.3">
      <c r="A4" s="292" t="s">
        <v>81</v>
      </c>
      <c r="B4" s="293" t="s">
        <v>75</v>
      </c>
      <c r="C4" s="294"/>
      <c r="D4" s="294"/>
      <c r="E4" s="294"/>
      <c r="F4" s="294"/>
      <c r="G4" s="295"/>
      <c r="H4" s="293" t="s">
        <v>76</v>
      </c>
      <c r="I4" s="294"/>
      <c r="J4" s="294"/>
      <c r="K4" s="294"/>
      <c r="L4" s="294"/>
      <c r="M4" s="295"/>
      <c r="N4" s="293" t="s">
        <v>77</v>
      </c>
      <c r="O4" s="294"/>
      <c r="P4" s="294"/>
      <c r="Q4" s="294"/>
      <c r="R4" s="294"/>
      <c r="S4" s="295"/>
    </row>
    <row r="5" spans="1:19" ht="14.4" customHeight="1" thickBot="1" x14ac:dyDescent="0.35">
      <c r="A5" s="368"/>
      <c r="B5" s="369">
        <v>2012</v>
      </c>
      <c r="C5" s="370"/>
      <c r="D5" s="370">
        <v>2013</v>
      </c>
      <c r="E5" s="370"/>
      <c r="F5" s="370">
        <v>2014</v>
      </c>
      <c r="G5" s="371" t="s">
        <v>0</v>
      </c>
      <c r="H5" s="369">
        <v>2012</v>
      </c>
      <c r="I5" s="370"/>
      <c r="J5" s="370">
        <v>2013</v>
      </c>
      <c r="K5" s="370"/>
      <c r="L5" s="370">
        <v>2014</v>
      </c>
      <c r="M5" s="371" t="s">
        <v>0</v>
      </c>
      <c r="N5" s="369">
        <v>2012</v>
      </c>
      <c r="O5" s="370"/>
      <c r="P5" s="370">
        <v>2013</v>
      </c>
      <c r="Q5" s="370"/>
      <c r="R5" s="370">
        <v>2014</v>
      </c>
      <c r="S5" s="371" t="s">
        <v>0</v>
      </c>
    </row>
    <row r="6" spans="1:19" ht="14.4" customHeight="1" x14ac:dyDescent="0.3">
      <c r="A6" s="407" t="s">
        <v>288</v>
      </c>
      <c r="B6" s="393">
        <v>1466</v>
      </c>
      <c r="C6" s="394">
        <v>1</v>
      </c>
      <c r="D6" s="393">
        <v>4738</v>
      </c>
      <c r="E6" s="394">
        <v>3.2319236016371078</v>
      </c>
      <c r="F6" s="393">
        <v>2144</v>
      </c>
      <c r="G6" s="395">
        <v>1.4624829467939973</v>
      </c>
      <c r="H6" s="393"/>
      <c r="I6" s="394"/>
      <c r="J6" s="393"/>
      <c r="K6" s="394"/>
      <c r="L6" s="393"/>
      <c r="M6" s="395"/>
      <c r="N6" s="393"/>
      <c r="O6" s="394"/>
      <c r="P6" s="393"/>
      <c r="Q6" s="394"/>
      <c r="R6" s="393"/>
      <c r="S6" s="396"/>
    </row>
    <row r="7" spans="1:19" ht="14.4" customHeight="1" x14ac:dyDescent="0.3">
      <c r="A7" s="408" t="s">
        <v>289</v>
      </c>
      <c r="B7" s="398">
        <v>46928</v>
      </c>
      <c r="C7" s="399">
        <v>1</v>
      </c>
      <c r="D7" s="398">
        <v>37924</v>
      </c>
      <c r="E7" s="399">
        <v>0.80813160586430277</v>
      </c>
      <c r="F7" s="398">
        <v>18597</v>
      </c>
      <c r="G7" s="400">
        <v>0.39628793044664168</v>
      </c>
      <c r="H7" s="398"/>
      <c r="I7" s="399"/>
      <c r="J7" s="398"/>
      <c r="K7" s="399"/>
      <c r="L7" s="398"/>
      <c r="M7" s="400"/>
      <c r="N7" s="398"/>
      <c r="O7" s="399"/>
      <c r="P7" s="398"/>
      <c r="Q7" s="399"/>
      <c r="R7" s="398"/>
      <c r="S7" s="401"/>
    </row>
    <row r="8" spans="1:19" ht="14.4" customHeight="1" x14ac:dyDescent="0.3">
      <c r="A8" s="408" t="s">
        <v>290</v>
      </c>
      <c r="B8" s="398">
        <v>3096</v>
      </c>
      <c r="C8" s="399">
        <v>1</v>
      </c>
      <c r="D8" s="398">
        <v>1634</v>
      </c>
      <c r="E8" s="399">
        <v>0.52777777777777779</v>
      </c>
      <c r="F8" s="398">
        <v>7585</v>
      </c>
      <c r="G8" s="400">
        <v>2.4499354005167957</v>
      </c>
      <c r="H8" s="398"/>
      <c r="I8" s="399"/>
      <c r="J8" s="398"/>
      <c r="K8" s="399"/>
      <c r="L8" s="398"/>
      <c r="M8" s="400"/>
      <c r="N8" s="398"/>
      <c r="O8" s="399"/>
      <c r="P8" s="398"/>
      <c r="Q8" s="399"/>
      <c r="R8" s="398"/>
      <c r="S8" s="401"/>
    </row>
    <row r="9" spans="1:19" ht="14.4" customHeight="1" x14ac:dyDescent="0.3">
      <c r="A9" s="408" t="s">
        <v>291</v>
      </c>
      <c r="B9" s="398">
        <v>326</v>
      </c>
      <c r="C9" s="399">
        <v>1</v>
      </c>
      <c r="D9" s="398"/>
      <c r="E9" s="399"/>
      <c r="F9" s="398"/>
      <c r="G9" s="400"/>
      <c r="H9" s="398"/>
      <c r="I9" s="399"/>
      <c r="J9" s="398"/>
      <c r="K9" s="399"/>
      <c r="L9" s="398"/>
      <c r="M9" s="400"/>
      <c r="N9" s="398"/>
      <c r="O9" s="399"/>
      <c r="P9" s="398"/>
      <c r="Q9" s="399"/>
      <c r="R9" s="398"/>
      <c r="S9" s="401"/>
    </row>
    <row r="10" spans="1:19" ht="14.4" customHeight="1" x14ac:dyDescent="0.3">
      <c r="A10" s="408" t="s">
        <v>292</v>
      </c>
      <c r="B10" s="398">
        <v>326</v>
      </c>
      <c r="C10" s="399">
        <v>1</v>
      </c>
      <c r="D10" s="398">
        <v>2615</v>
      </c>
      <c r="E10" s="399">
        <v>8.0214723926380369</v>
      </c>
      <c r="F10" s="398">
        <v>2638</v>
      </c>
      <c r="G10" s="400">
        <v>8.0920245398773005</v>
      </c>
      <c r="H10" s="398"/>
      <c r="I10" s="399"/>
      <c r="J10" s="398"/>
      <c r="K10" s="399"/>
      <c r="L10" s="398"/>
      <c r="M10" s="400"/>
      <c r="N10" s="398"/>
      <c r="O10" s="399"/>
      <c r="P10" s="398"/>
      <c r="Q10" s="399"/>
      <c r="R10" s="398"/>
      <c r="S10" s="401"/>
    </row>
    <row r="11" spans="1:19" ht="14.4" customHeight="1" x14ac:dyDescent="0.3">
      <c r="A11" s="408" t="s">
        <v>293</v>
      </c>
      <c r="B11" s="398">
        <v>652</v>
      </c>
      <c r="C11" s="399">
        <v>1</v>
      </c>
      <c r="D11" s="398">
        <v>327</v>
      </c>
      <c r="E11" s="399">
        <v>0.50153374233128833</v>
      </c>
      <c r="F11" s="398"/>
      <c r="G11" s="400"/>
      <c r="H11" s="398"/>
      <c r="I11" s="399"/>
      <c r="J11" s="398"/>
      <c r="K11" s="399"/>
      <c r="L11" s="398"/>
      <c r="M11" s="400"/>
      <c r="N11" s="398"/>
      <c r="O11" s="399"/>
      <c r="P11" s="398"/>
      <c r="Q11" s="399"/>
      <c r="R11" s="398"/>
      <c r="S11" s="401"/>
    </row>
    <row r="12" spans="1:19" ht="14.4" customHeight="1" x14ac:dyDescent="0.3">
      <c r="A12" s="408" t="s">
        <v>294</v>
      </c>
      <c r="B12" s="398">
        <v>326</v>
      </c>
      <c r="C12" s="399">
        <v>1</v>
      </c>
      <c r="D12" s="398"/>
      <c r="E12" s="399"/>
      <c r="F12" s="398"/>
      <c r="G12" s="400"/>
      <c r="H12" s="398"/>
      <c r="I12" s="399"/>
      <c r="J12" s="398"/>
      <c r="K12" s="399"/>
      <c r="L12" s="398"/>
      <c r="M12" s="400"/>
      <c r="N12" s="398"/>
      <c r="O12" s="399"/>
      <c r="P12" s="398"/>
      <c r="Q12" s="399"/>
      <c r="R12" s="398"/>
      <c r="S12" s="401"/>
    </row>
    <row r="13" spans="1:19" ht="14.4" customHeight="1" x14ac:dyDescent="0.3">
      <c r="A13" s="408" t="s">
        <v>295</v>
      </c>
      <c r="B13" s="398"/>
      <c r="C13" s="399"/>
      <c r="D13" s="398">
        <v>327</v>
      </c>
      <c r="E13" s="399"/>
      <c r="F13" s="398">
        <v>2302</v>
      </c>
      <c r="G13" s="400"/>
      <c r="H13" s="398"/>
      <c r="I13" s="399"/>
      <c r="J13" s="398"/>
      <c r="K13" s="399"/>
      <c r="L13" s="398"/>
      <c r="M13" s="400"/>
      <c r="N13" s="398"/>
      <c r="O13" s="399"/>
      <c r="P13" s="398"/>
      <c r="Q13" s="399"/>
      <c r="R13" s="398"/>
      <c r="S13" s="401"/>
    </row>
    <row r="14" spans="1:19" ht="14.4" customHeight="1" x14ac:dyDescent="0.3">
      <c r="A14" s="408" t="s">
        <v>296</v>
      </c>
      <c r="B14" s="398">
        <v>326</v>
      </c>
      <c r="C14" s="399">
        <v>1</v>
      </c>
      <c r="D14" s="398"/>
      <c r="E14" s="399"/>
      <c r="F14" s="398"/>
      <c r="G14" s="400"/>
      <c r="H14" s="398"/>
      <c r="I14" s="399"/>
      <c r="J14" s="398"/>
      <c r="K14" s="399"/>
      <c r="L14" s="398"/>
      <c r="M14" s="400"/>
      <c r="N14" s="398"/>
      <c r="O14" s="399"/>
      <c r="P14" s="398"/>
      <c r="Q14" s="399"/>
      <c r="R14" s="398"/>
      <c r="S14" s="401"/>
    </row>
    <row r="15" spans="1:19" ht="14.4" customHeight="1" x14ac:dyDescent="0.3">
      <c r="A15" s="408" t="s">
        <v>297</v>
      </c>
      <c r="B15" s="398"/>
      <c r="C15" s="399"/>
      <c r="D15" s="398">
        <v>327</v>
      </c>
      <c r="E15" s="399"/>
      <c r="F15" s="398"/>
      <c r="G15" s="400"/>
      <c r="H15" s="398"/>
      <c r="I15" s="399"/>
      <c r="J15" s="398"/>
      <c r="K15" s="399"/>
      <c r="L15" s="398"/>
      <c r="M15" s="400"/>
      <c r="N15" s="398"/>
      <c r="O15" s="399"/>
      <c r="P15" s="398"/>
      <c r="Q15" s="399"/>
      <c r="R15" s="398"/>
      <c r="S15" s="401"/>
    </row>
    <row r="16" spans="1:19" ht="14.4" customHeight="1" x14ac:dyDescent="0.3">
      <c r="A16" s="408" t="s">
        <v>298</v>
      </c>
      <c r="B16" s="398"/>
      <c r="C16" s="399"/>
      <c r="D16" s="398">
        <v>326</v>
      </c>
      <c r="E16" s="399"/>
      <c r="F16" s="398">
        <v>1484</v>
      </c>
      <c r="G16" s="400"/>
      <c r="H16" s="398"/>
      <c r="I16" s="399"/>
      <c r="J16" s="398"/>
      <c r="K16" s="399"/>
      <c r="L16" s="398"/>
      <c r="M16" s="400"/>
      <c r="N16" s="398"/>
      <c r="O16" s="399"/>
      <c r="P16" s="398"/>
      <c r="Q16" s="399"/>
      <c r="R16" s="398"/>
      <c r="S16" s="401"/>
    </row>
    <row r="17" spans="1:19" ht="14.4" customHeight="1" x14ac:dyDescent="0.3">
      <c r="A17" s="408" t="s">
        <v>299</v>
      </c>
      <c r="B17" s="398">
        <v>1956</v>
      </c>
      <c r="C17" s="399">
        <v>1</v>
      </c>
      <c r="D17" s="398">
        <v>327</v>
      </c>
      <c r="E17" s="399">
        <v>0.16717791411042945</v>
      </c>
      <c r="F17" s="398">
        <v>330</v>
      </c>
      <c r="G17" s="400">
        <v>0.16871165644171779</v>
      </c>
      <c r="H17" s="398"/>
      <c r="I17" s="399"/>
      <c r="J17" s="398"/>
      <c r="K17" s="399"/>
      <c r="L17" s="398"/>
      <c r="M17" s="400"/>
      <c r="N17" s="398"/>
      <c r="O17" s="399"/>
      <c r="P17" s="398"/>
      <c r="Q17" s="399"/>
      <c r="R17" s="398"/>
      <c r="S17" s="401"/>
    </row>
    <row r="18" spans="1:19" ht="14.4" customHeight="1" x14ac:dyDescent="0.3">
      <c r="A18" s="408" t="s">
        <v>300</v>
      </c>
      <c r="B18" s="398"/>
      <c r="C18" s="399"/>
      <c r="D18" s="398"/>
      <c r="E18" s="399"/>
      <c r="F18" s="398">
        <v>494</v>
      </c>
      <c r="G18" s="400"/>
      <c r="H18" s="398"/>
      <c r="I18" s="399"/>
      <c r="J18" s="398"/>
      <c r="K18" s="399"/>
      <c r="L18" s="398"/>
      <c r="M18" s="400"/>
      <c r="N18" s="398"/>
      <c r="O18" s="399"/>
      <c r="P18" s="398"/>
      <c r="Q18" s="399"/>
      <c r="R18" s="398"/>
      <c r="S18" s="401"/>
    </row>
    <row r="19" spans="1:19" ht="14.4" customHeight="1" x14ac:dyDescent="0.3">
      <c r="A19" s="408" t="s">
        <v>301</v>
      </c>
      <c r="B19" s="398"/>
      <c r="C19" s="399"/>
      <c r="D19" s="398">
        <v>327</v>
      </c>
      <c r="E19" s="399"/>
      <c r="F19" s="398">
        <v>987</v>
      </c>
      <c r="G19" s="400"/>
      <c r="H19" s="398"/>
      <c r="I19" s="399"/>
      <c r="J19" s="398"/>
      <c r="K19" s="399"/>
      <c r="L19" s="398"/>
      <c r="M19" s="400"/>
      <c r="N19" s="398"/>
      <c r="O19" s="399"/>
      <c r="P19" s="398"/>
      <c r="Q19" s="399"/>
      <c r="R19" s="398"/>
      <c r="S19" s="401"/>
    </row>
    <row r="20" spans="1:19" ht="14.4" customHeight="1" x14ac:dyDescent="0.3">
      <c r="A20" s="408" t="s">
        <v>302</v>
      </c>
      <c r="B20" s="398">
        <v>5376</v>
      </c>
      <c r="C20" s="399">
        <v>1</v>
      </c>
      <c r="D20" s="398">
        <v>1961</v>
      </c>
      <c r="E20" s="399">
        <v>0.36476934523809523</v>
      </c>
      <c r="F20" s="398">
        <v>3122</v>
      </c>
      <c r="G20" s="400">
        <v>0.58072916666666663</v>
      </c>
      <c r="H20" s="398"/>
      <c r="I20" s="399"/>
      <c r="J20" s="398"/>
      <c r="K20" s="399"/>
      <c r="L20" s="398"/>
      <c r="M20" s="400"/>
      <c r="N20" s="398"/>
      <c r="O20" s="399"/>
      <c r="P20" s="398"/>
      <c r="Q20" s="399"/>
      <c r="R20" s="398"/>
      <c r="S20" s="401"/>
    </row>
    <row r="21" spans="1:19" ht="14.4" customHeight="1" x14ac:dyDescent="0.3">
      <c r="A21" s="408" t="s">
        <v>303</v>
      </c>
      <c r="B21" s="398"/>
      <c r="C21" s="399"/>
      <c r="D21" s="398"/>
      <c r="E21" s="399"/>
      <c r="F21" s="398">
        <v>330</v>
      </c>
      <c r="G21" s="400"/>
      <c r="H21" s="398"/>
      <c r="I21" s="399"/>
      <c r="J21" s="398"/>
      <c r="K21" s="399"/>
      <c r="L21" s="398"/>
      <c r="M21" s="400"/>
      <c r="N21" s="398"/>
      <c r="O21" s="399"/>
      <c r="P21" s="398"/>
      <c r="Q21" s="399"/>
      <c r="R21" s="398"/>
      <c r="S21" s="401"/>
    </row>
    <row r="22" spans="1:19" ht="14.4" customHeight="1" x14ac:dyDescent="0.3">
      <c r="A22" s="408" t="s">
        <v>304</v>
      </c>
      <c r="B22" s="398"/>
      <c r="C22" s="399"/>
      <c r="D22" s="398">
        <v>327</v>
      </c>
      <c r="E22" s="399"/>
      <c r="F22" s="398">
        <v>330</v>
      </c>
      <c r="G22" s="400"/>
      <c r="H22" s="398"/>
      <c r="I22" s="399"/>
      <c r="J22" s="398"/>
      <c r="K22" s="399"/>
      <c r="L22" s="398"/>
      <c r="M22" s="400"/>
      <c r="N22" s="398"/>
      <c r="O22" s="399"/>
      <c r="P22" s="398"/>
      <c r="Q22" s="399"/>
      <c r="R22" s="398"/>
      <c r="S22" s="401"/>
    </row>
    <row r="23" spans="1:19" ht="14.4" customHeight="1" thickBot="1" x14ac:dyDescent="0.35">
      <c r="A23" s="409" t="s">
        <v>305</v>
      </c>
      <c r="B23" s="403">
        <v>326</v>
      </c>
      <c r="C23" s="404">
        <v>1</v>
      </c>
      <c r="D23" s="403"/>
      <c r="E23" s="404"/>
      <c r="F23" s="403">
        <v>327</v>
      </c>
      <c r="G23" s="405">
        <v>1.0030674846625767</v>
      </c>
      <c r="H23" s="403"/>
      <c r="I23" s="404"/>
      <c r="J23" s="403"/>
      <c r="K23" s="404"/>
      <c r="L23" s="403"/>
      <c r="M23" s="405"/>
      <c r="N23" s="403"/>
      <c r="O23" s="404"/>
      <c r="P23" s="403"/>
      <c r="Q23" s="404"/>
      <c r="R23" s="403"/>
      <c r="S23" s="40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6" customWidth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7" customWidth="1"/>
    <col min="17" max="17" width="11.109375" style="176" customWidth="1"/>
    <col min="18" max="16384" width="8.88671875" style="102"/>
  </cols>
  <sheetData>
    <row r="1" spans="1:17" ht="18.600000000000001" customHeight="1" thickBot="1" x14ac:dyDescent="0.4">
      <c r="A1" s="263" t="s">
        <v>326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ht="14.4" customHeight="1" thickBot="1" x14ac:dyDescent="0.35">
      <c r="A2" s="192" t="s">
        <v>214</v>
      </c>
      <c r="B2" s="103"/>
      <c r="C2" s="103"/>
      <c r="D2" s="103"/>
      <c r="E2" s="103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7"/>
      <c r="Q2" s="186"/>
    </row>
    <row r="3" spans="1:17" ht="14.4" customHeight="1" thickBot="1" x14ac:dyDescent="0.35">
      <c r="E3" s="62" t="s">
        <v>98</v>
      </c>
      <c r="F3" s="74">
        <f t="shared" ref="F3:O3" si="0">SUBTOTAL(9,F6:F1048576)</f>
        <v>198</v>
      </c>
      <c r="G3" s="75">
        <f t="shared" si="0"/>
        <v>61104</v>
      </c>
      <c r="H3" s="75"/>
      <c r="I3" s="75"/>
      <c r="J3" s="75">
        <f t="shared" si="0"/>
        <v>172</v>
      </c>
      <c r="K3" s="75">
        <f t="shared" si="0"/>
        <v>51160</v>
      </c>
      <c r="L3" s="75"/>
      <c r="M3" s="75"/>
      <c r="N3" s="75">
        <f t="shared" si="0"/>
        <v>134</v>
      </c>
      <c r="O3" s="75">
        <f t="shared" si="0"/>
        <v>40670</v>
      </c>
      <c r="P3" s="58">
        <f>IF(G3=0,0,O3/G3)</f>
        <v>0.66558654097931391</v>
      </c>
      <c r="Q3" s="76">
        <f>IF(N3=0,0,O3/N3)</f>
        <v>303.50746268656718</v>
      </c>
    </row>
    <row r="4" spans="1:17" ht="14.4" customHeight="1" x14ac:dyDescent="0.3">
      <c r="A4" s="301" t="s">
        <v>44</v>
      </c>
      <c r="B4" s="300" t="s">
        <v>70</v>
      </c>
      <c r="C4" s="301" t="s">
        <v>71</v>
      </c>
      <c r="D4" s="302" t="s">
        <v>72</v>
      </c>
      <c r="E4" s="303" t="s">
        <v>45</v>
      </c>
      <c r="F4" s="308">
        <v>2012</v>
      </c>
      <c r="G4" s="309"/>
      <c r="H4" s="77"/>
      <c r="I4" s="77"/>
      <c r="J4" s="308">
        <v>2013</v>
      </c>
      <c r="K4" s="309"/>
      <c r="L4" s="77"/>
      <c r="M4" s="77"/>
      <c r="N4" s="308">
        <v>2014</v>
      </c>
      <c r="O4" s="309"/>
      <c r="P4" s="310" t="s">
        <v>0</v>
      </c>
      <c r="Q4" s="299" t="s">
        <v>73</v>
      </c>
    </row>
    <row r="5" spans="1:17" ht="14.4" customHeight="1" thickBot="1" x14ac:dyDescent="0.35">
      <c r="A5" s="382"/>
      <c r="B5" s="381"/>
      <c r="C5" s="382"/>
      <c r="D5" s="383"/>
      <c r="E5" s="385"/>
      <c r="F5" s="410" t="s">
        <v>47</v>
      </c>
      <c r="G5" s="411" t="s">
        <v>3</v>
      </c>
      <c r="H5" s="412"/>
      <c r="I5" s="412"/>
      <c r="J5" s="410" t="s">
        <v>47</v>
      </c>
      <c r="K5" s="411" t="s">
        <v>3</v>
      </c>
      <c r="L5" s="412"/>
      <c r="M5" s="412"/>
      <c r="N5" s="410" t="s">
        <v>47</v>
      </c>
      <c r="O5" s="411" t="s">
        <v>3</v>
      </c>
      <c r="P5" s="413"/>
      <c r="Q5" s="390"/>
    </row>
    <row r="6" spans="1:17" ht="14.4" customHeight="1" x14ac:dyDescent="0.3">
      <c r="A6" s="392" t="s">
        <v>306</v>
      </c>
      <c r="B6" s="394" t="s">
        <v>283</v>
      </c>
      <c r="C6" s="394" t="s">
        <v>284</v>
      </c>
      <c r="D6" s="394" t="s">
        <v>285</v>
      </c>
      <c r="E6" s="394" t="s">
        <v>286</v>
      </c>
      <c r="F6" s="414">
        <v>4</v>
      </c>
      <c r="G6" s="414">
        <v>1304</v>
      </c>
      <c r="H6" s="414">
        <v>1</v>
      </c>
      <c r="I6" s="414">
        <v>326</v>
      </c>
      <c r="J6" s="414">
        <v>11</v>
      </c>
      <c r="K6" s="414">
        <v>3597</v>
      </c>
      <c r="L6" s="414">
        <v>2.7584355828220857</v>
      </c>
      <c r="M6" s="414">
        <v>327</v>
      </c>
      <c r="N6" s="414">
        <v>6</v>
      </c>
      <c r="O6" s="414">
        <v>1980</v>
      </c>
      <c r="P6" s="395">
        <v>1.51840490797546</v>
      </c>
      <c r="Q6" s="415">
        <v>330</v>
      </c>
    </row>
    <row r="7" spans="1:17" ht="14.4" customHeight="1" x14ac:dyDescent="0.3">
      <c r="A7" s="397" t="s">
        <v>306</v>
      </c>
      <c r="B7" s="399" t="s">
        <v>283</v>
      </c>
      <c r="C7" s="399" t="s">
        <v>284</v>
      </c>
      <c r="D7" s="399" t="s">
        <v>307</v>
      </c>
      <c r="E7" s="399" t="s">
        <v>308</v>
      </c>
      <c r="F7" s="416">
        <v>1</v>
      </c>
      <c r="G7" s="416">
        <v>162</v>
      </c>
      <c r="H7" s="416">
        <v>1</v>
      </c>
      <c r="I7" s="416">
        <v>162</v>
      </c>
      <c r="J7" s="416">
        <v>7</v>
      </c>
      <c r="K7" s="416">
        <v>1141</v>
      </c>
      <c r="L7" s="416">
        <v>7.0432098765432096</v>
      </c>
      <c r="M7" s="416">
        <v>163</v>
      </c>
      <c r="N7" s="416">
        <v>1</v>
      </c>
      <c r="O7" s="416">
        <v>164</v>
      </c>
      <c r="P7" s="400">
        <v>1.0123456790123457</v>
      </c>
      <c r="Q7" s="417">
        <v>164</v>
      </c>
    </row>
    <row r="8" spans="1:17" ht="14.4" customHeight="1" x14ac:dyDescent="0.3">
      <c r="A8" s="397" t="s">
        <v>309</v>
      </c>
      <c r="B8" s="399" t="s">
        <v>283</v>
      </c>
      <c r="C8" s="399" t="s">
        <v>284</v>
      </c>
      <c r="D8" s="399" t="s">
        <v>285</v>
      </c>
      <c r="E8" s="399" t="s">
        <v>286</v>
      </c>
      <c r="F8" s="416">
        <v>136</v>
      </c>
      <c r="G8" s="416">
        <v>44336</v>
      </c>
      <c r="H8" s="416">
        <v>1</v>
      </c>
      <c r="I8" s="416">
        <v>326</v>
      </c>
      <c r="J8" s="416">
        <v>108</v>
      </c>
      <c r="K8" s="416">
        <v>35316</v>
      </c>
      <c r="L8" s="416">
        <v>0.79655359076145793</v>
      </c>
      <c r="M8" s="416">
        <v>327</v>
      </c>
      <c r="N8" s="416">
        <v>52</v>
      </c>
      <c r="O8" s="416">
        <v>17124</v>
      </c>
      <c r="P8" s="400">
        <v>0.38623240707325873</v>
      </c>
      <c r="Q8" s="417">
        <v>329.30769230769232</v>
      </c>
    </row>
    <row r="9" spans="1:17" ht="14.4" customHeight="1" x14ac:dyDescent="0.3">
      <c r="A9" s="397" t="s">
        <v>309</v>
      </c>
      <c r="B9" s="399" t="s">
        <v>283</v>
      </c>
      <c r="C9" s="399" t="s">
        <v>284</v>
      </c>
      <c r="D9" s="399" t="s">
        <v>307</v>
      </c>
      <c r="E9" s="399" t="s">
        <v>308</v>
      </c>
      <c r="F9" s="416">
        <v>16</v>
      </c>
      <c r="G9" s="416">
        <v>2592</v>
      </c>
      <c r="H9" s="416">
        <v>1</v>
      </c>
      <c r="I9" s="416">
        <v>162</v>
      </c>
      <c r="J9" s="416">
        <v>16</v>
      </c>
      <c r="K9" s="416">
        <v>2608</v>
      </c>
      <c r="L9" s="416">
        <v>1.0061728395061729</v>
      </c>
      <c r="M9" s="416">
        <v>163</v>
      </c>
      <c r="N9" s="416">
        <v>9</v>
      </c>
      <c r="O9" s="416">
        <v>1473</v>
      </c>
      <c r="P9" s="400">
        <v>0.56828703703703709</v>
      </c>
      <c r="Q9" s="417">
        <v>163.66666666666666</v>
      </c>
    </row>
    <row r="10" spans="1:17" ht="14.4" customHeight="1" x14ac:dyDescent="0.3">
      <c r="A10" s="397" t="s">
        <v>310</v>
      </c>
      <c r="B10" s="399" t="s">
        <v>283</v>
      </c>
      <c r="C10" s="399" t="s">
        <v>284</v>
      </c>
      <c r="D10" s="399" t="s">
        <v>285</v>
      </c>
      <c r="E10" s="399" t="s">
        <v>286</v>
      </c>
      <c r="F10" s="416">
        <v>9</v>
      </c>
      <c r="G10" s="416">
        <v>2934</v>
      </c>
      <c r="H10" s="416">
        <v>1</v>
      </c>
      <c r="I10" s="416">
        <v>326</v>
      </c>
      <c r="J10" s="416">
        <v>4</v>
      </c>
      <c r="K10" s="416">
        <v>1308</v>
      </c>
      <c r="L10" s="416">
        <v>0.44580777096114521</v>
      </c>
      <c r="M10" s="416">
        <v>327</v>
      </c>
      <c r="N10" s="416">
        <v>22</v>
      </c>
      <c r="O10" s="416">
        <v>7257</v>
      </c>
      <c r="P10" s="400">
        <v>2.4734151329243352</v>
      </c>
      <c r="Q10" s="417">
        <v>329.86363636363637</v>
      </c>
    </row>
    <row r="11" spans="1:17" ht="14.4" customHeight="1" x14ac:dyDescent="0.3">
      <c r="A11" s="397" t="s">
        <v>310</v>
      </c>
      <c r="B11" s="399" t="s">
        <v>283</v>
      </c>
      <c r="C11" s="399" t="s">
        <v>284</v>
      </c>
      <c r="D11" s="399" t="s">
        <v>307</v>
      </c>
      <c r="E11" s="399" t="s">
        <v>308</v>
      </c>
      <c r="F11" s="416">
        <v>1</v>
      </c>
      <c r="G11" s="416">
        <v>162</v>
      </c>
      <c r="H11" s="416">
        <v>1</v>
      </c>
      <c r="I11" s="416">
        <v>162</v>
      </c>
      <c r="J11" s="416">
        <v>2</v>
      </c>
      <c r="K11" s="416">
        <v>326</v>
      </c>
      <c r="L11" s="416">
        <v>2.0123456790123457</v>
      </c>
      <c r="M11" s="416">
        <v>163</v>
      </c>
      <c r="N11" s="416">
        <v>2</v>
      </c>
      <c r="O11" s="416">
        <v>328</v>
      </c>
      <c r="P11" s="400">
        <v>2.0246913580246915</v>
      </c>
      <c r="Q11" s="417">
        <v>164</v>
      </c>
    </row>
    <row r="12" spans="1:17" ht="14.4" customHeight="1" x14ac:dyDescent="0.3">
      <c r="A12" s="397" t="s">
        <v>311</v>
      </c>
      <c r="B12" s="399" t="s">
        <v>283</v>
      </c>
      <c r="C12" s="399" t="s">
        <v>284</v>
      </c>
      <c r="D12" s="399" t="s">
        <v>285</v>
      </c>
      <c r="E12" s="399" t="s">
        <v>286</v>
      </c>
      <c r="F12" s="416">
        <v>1</v>
      </c>
      <c r="G12" s="416">
        <v>326</v>
      </c>
      <c r="H12" s="416">
        <v>1</v>
      </c>
      <c r="I12" s="416">
        <v>326</v>
      </c>
      <c r="J12" s="416"/>
      <c r="K12" s="416"/>
      <c r="L12" s="416"/>
      <c r="M12" s="416"/>
      <c r="N12" s="416"/>
      <c r="O12" s="416"/>
      <c r="P12" s="400"/>
      <c r="Q12" s="417"/>
    </row>
    <row r="13" spans="1:17" ht="14.4" customHeight="1" x14ac:dyDescent="0.3">
      <c r="A13" s="397" t="s">
        <v>312</v>
      </c>
      <c r="B13" s="399" t="s">
        <v>283</v>
      </c>
      <c r="C13" s="399" t="s">
        <v>284</v>
      </c>
      <c r="D13" s="399" t="s">
        <v>285</v>
      </c>
      <c r="E13" s="399" t="s">
        <v>286</v>
      </c>
      <c r="F13" s="416">
        <v>1</v>
      </c>
      <c r="G13" s="416">
        <v>326</v>
      </c>
      <c r="H13" s="416">
        <v>1</v>
      </c>
      <c r="I13" s="416">
        <v>326</v>
      </c>
      <c r="J13" s="416">
        <v>7</v>
      </c>
      <c r="K13" s="416">
        <v>2289</v>
      </c>
      <c r="L13" s="416">
        <v>7.0214723926380369</v>
      </c>
      <c r="M13" s="416">
        <v>327</v>
      </c>
      <c r="N13" s="416">
        <v>7</v>
      </c>
      <c r="O13" s="416">
        <v>2310</v>
      </c>
      <c r="P13" s="400">
        <v>7.0858895705521476</v>
      </c>
      <c r="Q13" s="417">
        <v>330</v>
      </c>
    </row>
    <row r="14" spans="1:17" ht="14.4" customHeight="1" x14ac:dyDescent="0.3">
      <c r="A14" s="397" t="s">
        <v>312</v>
      </c>
      <c r="B14" s="399" t="s">
        <v>283</v>
      </c>
      <c r="C14" s="399" t="s">
        <v>284</v>
      </c>
      <c r="D14" s="399" t="s">
        <v>307</v>
      </c>
      <c r="E14" s="399" t="s">
        <v>308</v>
      </c>
      <c r="F14" s="416"/>
      <c r="G14" s="416"/>
      <c r="H14" s="416"/>
      <c r="I14" s="416"/>
      <c r="J14" s="416">
        <v>2</v>
      </c>
      <c r="K14" s="416">
        <v>326</v>
      </c>
      <c r="L14" s="416"/>
      <c r="M14" s="416">
        <v>163</v>
      </c>
      <c r="N14" s="416">
        <v>2</v>
      </c>
      <c r="O14" s="416">
        <v>328</v>
      </c>
      <c r="P14" s="400"/>
      <c r="Q14" s="417">
        <v>164</v>
      </c>
    </row>
    <row r="15" spans="1:17" ht="14.4" customHeight="1" x14ac:dyDescent="0.3">
      <c r="A15" s="397" t="s">
        <v>313</v>
      </c>
      <c r="B15" s="399" t="s">
        <v>283</v>
      </c>
      <c r="C15" s="399" t="s">
        <v>284</v>
      </c>
      <c r="D15" s="399" t="s">
        <v>285</v>
      </c>
      <c r="E15" s="399" t="s">
        <v>286</v>
      </c>
      <c r="F15" s="416">
        <v>2</v>
      </c>
      <c r="G15" s="416">
        <v>652</v>
      </c>
      <c r="H15" s="416">
        <v>1</v>
      </c>
      <c r="I15" s="416">
        <v>326</v>
      </c>
      <c r="J15" s="416">
        <v>1</v>
      </c>
      <c r="K15" s="416">
        <v>327</v>
      </c>
      <c r="L15" s="416">
        <v>0.50153374233128833</v>
      </c>
      <c r="M15" s="416">
        <v>327</v>
      </c>
      <c r="N15" s="416"/>
      <c r="O15" s="416"/>
      <c r="P15" s="400"/>
      <c r="Q15" s="417"/>
    </row>
    <row r="16" spans="1:17" ht="14.4" customHeight="1" x14ac:dyDescent="0.3">
      <c r="A16" s="397" t="s">
        <v>314</v>
      </c>
      <c r="B16" s="399" t="s">
        <v>283</v>
      </c>
      <c r="C16" s="399" t="s">
        <v>284</v>
      </c>
      <c r="D16" s="399" t="s">
        <v>285</v>
      </c>
      <c r="E16" s="399" t="s">
        <v>286</v>
      </c>
      <c r="F16" s="416">
        <v>1</v>
      </c>
      <c r="G16" s="416">
        <v>326</v>
      </c>
      <c r="H16" s="416">
        <v>1</v>
      </c>
      <c r="I16" s="416">
        <v>326</v>
      </c>
      <c r="J16" s="416"/>
      <c r="K16" s="416"/>
      <c r="L16" s="416"/>
      <c r="M16" s="416"/>
      <c r="N16" s="416"/>
      <c r="O16" s="416"/>
      <c r="P16" s="400"/>
      <c r="Q16" s="417"/>
    </row>
    <row r="17" spans="1:17" ht="14.4" customHeight="1" x14ac:dyDescent="0.3">
      <c r="A17" s="397" t="s">
        <v>315</v>
      </c>
      <c r="B17" s="399" t="s">
        <v>283</v>
      </c>
      <c r="C17" s="399" t="s">
        <v>284</v>
      </c>
      <c r="D17" s="399" t="s">
        <v>285</v>
      </c>
      <c r="E17" s="399" t="s">
        <v>286</v>
      </c>
      <c r="F17" s="416"/>
      <c r="G17" s="416"/>
      <c r="H17" s="416"/>
      <c r="I17" s="416"/>
      <c r="J17" s="416">
        <v>1</v>
      </c>
      <c r="K17" s="416">
        <v>327</v>
      </c>
      <c r="L17" s="416"/>
      <c r="M17" s="416">
        <v>327</v>
      </c>
      <c r="N17" s="416">
        <v>5</v>
      </c>
      <c r="O17" s="416">
        <v>1647</v>
      </c>
      <c r="P17" s="400"/>
      <c r="Q17" s="417">
        <v>329.4</v>
      </c>
    </row>
    <row r="18" spans="1:17" ht="14.4" customHeight="1" x14ac:dyDescent="0.3">
      <c r="A18" s="397" t="s">
        <v>315</v>
      </c>
      <c r="B18" s="399" t="s">
        <v>283</v>
      </c>
      <c r="C18" s="399" t="s">
        <v>284</v>
      </c>
      <c r="D18" s="399" t="s">
        <v>307</v>
      </c>
      <c r="E18" s="399" t="s">
        <v>308</v>
      </c>
      <c r="F18" s="416"/>
      <c r="G18" s="416"/>
      <c r="H18" s="416"/>
      <c r="I18" s="416"/>
      <c r="J18" s="416"/>
      <c r="K18" s="416"/>
      <c r="L18" s="416"/>
      <c r="M18" s="416"/>
      <c r="N18" s="416">
        <v>4</v>
      </c>
      <c r="O18" s="416">
        <v>655</v>
      </c>
      <c r="P18" s="400"/>
      <c r="Q18" s="417">
        <v>163.75</v>
      </c>
    </row>
    <row r="19" spans="1:17" ht="14.4" customHeight="1" x14ac:dyDescent="0.3">
      <c r="A19" s="397" t="s">
        <v>316</v>
      </c>
      <c r="B19" s="399" t="s">
        <v>283</v>
      </c>
      <c r="C19" s="399" t="s">
        <v>284</v>
      </c>
      <c r="D19" s="399" t="s">
        <v>285</v>
      </c>
      <c r="E19" s="399" t="s">
        <v>286</v>
      </c>
      <c r="F19" s="416">
        <v>1</v>
      </c>
      <c r="G19" s="416">
        <v>326</v>
      </c>
      <c r="H19" s="416">
        <v>1</v>
      </c>
      <c r="I19" s="416">
        <v>326</v>
      </c>
      <c r="J19" s="416"/>
      <c r="K19" s="416"/>
      <c r="L19" s="416"/>
      <c r="M19" s="416"/>
      <c r="N19" s="416"/>
      <c r="O19" s="416"/>
      <c r="P19" s="400"/>
      <c r="Q19" s="417"/>
    </row>
    <row r="20" spans="1:17" ht="14.4" customHeight="1" x14ac:dyDescent="0.3">
      <c r="A20" s="397" t="s">
        <v>317</v>
      </c>
      <c r="B20" s="399" t="s">
        <v>283</v>
      </c>
      <c r="C20" s="399" t="s">
        <v>284</v>
      </c>
      <c r="D20" s="399" t="s">
        <v>285</v>
      </c>
      <c r="E20" s="399" t="s">
        <v>286</v>
      </c>
      <c r="F20" s="416"/>
      <c r="G20" s="416"/>
      <c r="H20" s="416"/>
      <c r="I20" s="416"/>
      <c r="J20" s="416">
        <v>1</v>
      </c>
      <c r="K20" s="416">
        <v>327</v>
      </c>
      <c r="L20" s="416"/>
      <c r="M20" s="416">
        <v>327</v>
      </c>
      <c r="N20" s="416"/>
      <c r="O20" s="416"/>
      <c r="P20" s="400"/>
      <c r="Q20" s="417"/>
    </row>
    <row r="21" spans="1:17" ht="14.4" customHeight="1" x14ac:dyDescent="0.3">
      <c r="A21" s="397" t="s">
        <v>318</v>
      </c>
      <c r="B21" s="399" t="s">
        <v>283</v>
      </c>
      <c r="C21" s="399" t="s">
        <v>284</v>
      </c>
      <c r="D21" s="399" t="s">
        <v>285</v>
      </c>
      <c r="E21" s="399" t="s">
        <v>286</v>
      </c>
      <c r="F21" s="416"/>
      <c r="G21" s="416"/>
      <c r="H21" s="416"/>
      <c r="I21" s="416"/>
      <c r="J21" s="416"/>
      <c r="K21" s="416"/>
      <c r="L21" s="416"/>
      <c r="M21" s="416"/>
      <c r="N21" s="416">
        <v>4</v>
      </c>
      <c r="O21" s="416">
        <v>1320</v>
      </c>
      <c r="P21" s="400"/>
      <c r="Q21" s="417">
        <v>330</v>
      </c>
    </row>
    <row r="22" spans="1:17" ht="14.4" customHeight="1" x14ac:dyDescent="0.3">
      <c r="A22" s="397" t="s">
        <v>318</v>
      </c>
      <c r="B22" s="399" t="s">
        <v>283</v>
      </c>
      <c r="C22" s="399" t="s">
        <v>284</v>
      </c>
      <c r="D22" s="399" t="s">
        <v>307</v>
      </c>
      <c r="E22" s="399" t="s">
        <v>308</v>
      </c>
      <c r="F22" s="416"/>
      <c r="G22" s="416"/>
      <c r="H22" s="416"/>
      <c r="I22" s="416"/>
      <c r="J22" s="416">
        <v>2</v>
      </c>
      <c r="K22" s="416">
        <v>326</v>
      </c>
      <c r="L22" s="416"/>
      <c r="M22" s="416">
        <v>163</v>
      </c>
      <c r="N22" s="416">
        <v>1</v>
      </c>
      <c r="O22" s="416">
        <v>164</v>
      </c>
      <c r="P22" s="400"/>
      <c r="Q22" s="417">
        <v>164</v>
      </c>
    </row>
    <row r="23" spans="1:17" ht="14.4" customHeight="1" x14ac:dyDescent="0.3">
      <c r="A23" s="397" t="s">
        <v>319</v>
      </c>
      <c r="B23" s="399" t="s">
        <v>283</v>
      </c>
      <c r="C23" s="399" t="s">
        <v>284</v>
      </c>
      <c r="D23" s="399" t="s">
        <v>285</v>
      </c>
      <c r="E23" s="399" t="s">
        <v>286</v>
      </c>
      <c r="F23" s="416">
        <v>6</v>
      </c>
      <c r="G23" s="416">
        <v>1956</v>
      </c>
      <c r="H23" s="416">
        <v>1</v>
      </c>
      <c r="I23" s="416">
        <v>326</v>
      </c>
      <c r="J23" s="416">
        <v>1</v>
      </c>
      <c r="K23" s="416">
        <v>327</v>
      </c>
      <c r="L23" s="416">
        <v>0.16717791411042945</v>
      </c>
      <c r="M23" s="416">
        <v>327</v>
      </c>
      <c r="N23" s="416">
        <v>1</v>
      </c>
      <c r="O23" s="416">
        <v>330</v>
      </c>
      <c r="P23" s="400">
        <v>0.16871165644171779</v>
      </c>
      <c r="Q23" s="417">
        <v>330</v>
      </c>
    </row>
    <row r="24" spans="1:17" ht="14.4" customHeight="1" x14ac:dyDescent="0.3">
      <c r="A24" s="397" t="s">
        <v>320</v>
      </c>
      <c r="B24" s="399" t="s">
        <v>283</v>
      </c>
      <c r="C24" s="399" t="s">
        <v>284</v>
      </c>
      <c r="D24" s="399" t="s">
        <v>285</v>
      </c>
      <c r="E24" s="399" t="s">
        <v>286</v>
      </c>
      <c r="F24" s="416"/>
      <c r="G24" s="416"/>
      <c r="H24" s="416"/>
      <c r="I24" s="416"/>
      <c r="J24" s="416"/>
      <c r="K24" s="416"/>
      <c r="L24" s="416"/>
      <c r="M24" s="416"/>
      <c r="N24" s="416">
        <v>1</v>
      </c>
      <c r="O24" s="416">
        <v>330</v>
      </c>
      <c r="P24" s="400"/>
      <c r="Q24" s="417">
        <v>330</v>
      </c>
    </row>
    <row r="25" spans="1:17" ht="14.4" customHeight="1" x14ac:dyDescent="0.3">
      <c r="A25" s="397" t="s">
        <v>320</v>
      </c>
      <c r="B25" s="399" t="s">
        <v>283</v>
      </c>
      <c r="C25" s="399" t="s">
        <v>284</v>
      </c>
      <c r="D25" s="399" t="s">
        <v>307</v>
      </c>
      <c r="E25" s="399" t="s">
        <v>308</v>
      </c>
      <c r="F25" s="416"/>
      <c r="G25" s="416"/>
      <c r="H25" s="416"/>
      <c r="I25" s="416"/>
      <c r="J25" s="416"/>
      <c r="K25" s="416"/>
      <c r="L25" s="416"/>
      <c r="M25" s="416"/>
      <c r="N25" s="416">
        <v>1</v>
      </c>
      <c r="O25" s="416">
        <v>164</v>
      </c>
      <c r="P25" s="400"/>
      <c r="Q25" s="417">
        <v>164</v>
      </c>
    </row>
    <row r="26" spans="1:17" ht="14.4" customHeight="1" x14ac:dyDescent="0.3">
      <c r="A26" s="397" t="s">
        <v>321</v>
      </c>
      <c r="B26" s="399" t="s">
        <v>283</v>
      </c>
      <c r="C26" s="399" t="s">
        <v>284</v>
      </c>
      <c r="D26" s="399" t="s">
        <v>285</v>
      </c>
      <c r="E26" s="399" t="s">
        <v>286</v>
      </c>
      <c r="F26" s="416"/>
      <c r="G26" s="416"/>
      <c r="H26" s="416"/>
      <c r="I26" s="416"/>
      <c r="J26" s="416">
        <v>1</v>
      </c>
      <c r="K26" s="416">
        <v>327</v>
      </c>
      <c r="L26" s="416"/>
      <c r="M26" s="416">
        <v>327</v>
      </c>
      <c r="N26" s="416">
        <v>3</v>
      </c>
      <c r="O26" s="416">
        <v>987</v>
      </c>
      <c r="P26" s="400"/>
      <c r="Q26" s="417">
        <v>329</v>
      </c>
    </row>
    <row r="27" spans="1:17" ht="14.4" customHeight="1" x14ac:dyDescent="0.3">
      <c r="A27" s="397" t="s">
        <v>322</v>
      </c>
      <c r="B27" s="399" t="s">
        <v>283</v>
      </c>
      <c r="C27" s="399" t="s">
        <v>284</v>
      </c>
      <c r="D27" s="399" t="s">
        <v>285</v>
      </c>
      <c r="E27" s="399" t="s">
        <v>286</v>
      </c>
      <c r="F27" s="416">
        <v>15</v>
      </c>
      <c r="G27" s="416">
        <v>4890</v>
      </c>
      <c r="H27" s="416">
        <v>1</v>
      </c>
      <c r="I27" s="416">
        <v>326</v>
      </c>
      <c r="J27" s="416">
        <v>5</v>
      </c>
      <c r="K27" s="416">
        <v>1635</v>
      </c>
      <c r="L27" s="416">
        <v>0.33435582822085891</v>
      </c>
      <c r="M27" s="416">
        <v>327</v>
      </c>
      <c r="N27" s="416">
        <v>9</v>
      </c>
      <c r="O27" s="416">
        <v>2958</v>
      </c>
      <c r="P27" s="400">
        <v>0.60490797546012265</v>
      </c>
      <c r="Q27" s="417">
        <v>328.66666666666669</v>
      </c>
    </row>
    <row r="28" spans="1:17" ht="14.4" customHeight="1" x14ac:dyDescent="0.3">
      <c r="A28" s="397" t="s">
        <v>322</v>
      </c>
      <c r="B28" s="399" t="s">
        <v>283</v>
      </c>
      <c r="C28" s="399" t="s">
        <v>284</v>
      </c>
      <c r="D28" s="399" t="s">
        <v>307</v>
      </c>
      <c r="E28" s="399" t="s">
        <v>308</v>
      </c>
      <c r="F28" s="416">
        <v>3</v>
      </c>
      <c r="G28" s="416">
        <v>486</v>
      </c>
      <c r="H28" s="416">
        <v>1</v>
      </c>
      <c r="I28" s="416">
        <v>162</v>
      </c>
      <c r="J28" s="416">
        <v>2</v>
      </c>
      <c r="K28" s="416">
        <v>326</v>
      </c>
      <c r="L28" s="416">
        <v>0.67078189300411528</v>
      </c>
      <c r="M28" s="416">
        <v>163</v>
      </c>
      <c r="N28" s="416">
        <v>1</v>
      </c>
      <c r="O28" s="416">
        <v>164</v>
      </c>
      <c r="P28" s="400">
        <v>0.33744855967078191</v>
      </c>
      <c r="Q28" s="417">
        <v>164</v>
      </c>
    </row>
    <row r="29" spans="1:17" ht="14.4" customHeight="1" x14ac:dyDescent="0.3">
      <c r="A29" s="397" t="s">
        <v>323</v>
      </c>
      <c r="B29" s="399" t="s">
        <v>283</v>
      </c>
      <c r="C29" s="399" t="s">
        <v>284</v>
      </c>
      <c r="D29" s="399" t="s">
        <v>285</v>
      </c>
      <c r="E29" s="399" t="s">
        <v>286</v>
      </c>
      <c r="F29" s="416"/>
      <c r="G29" s="416"/>
      <c r="H29" s="416"/>
      <c r="I29" s="416"/>
      <c r="J29" s="416"/>
      <c r="K29" s="416"/>
      <c r="L29" s="416"/>
      <c r="M29" s="416"/>
      <c r="N29" s="416">
        <v>1</v>
      </c>
      <c r="O29" s="416">
        <v>330</v>
      </c>
      <c r="P29" s="400"/>
      <c r="Q29" s="417">
        <v>330</v>
      </c>
    </row>
    <row r="30" spans="1:17" ht="14.4" customHeight="1" x14ac:dyDescent="0.3">
      <c r="A30" s="397" t="s">
        <v>324</v>
      </c>
      <c r="B30" s="399" t="s">
        <v>283</v>
      </c>
      <c r="C30" s="399" t="s">
        <v>284</v>
      </c>
      <c r="D30" s="399" t="s">
        <v>285</v>
      </c>
      <c r="E30" s="399" t="s">
        <v>286</v>
      </c>
      <c r="F30" s="416"/>
      <c r="G30" s="416"/>
      <c r="H30" s="416"/>
      <c r="I30" s="416"/>
      <c r="J30" s="416">
        <v>1</v>
      </c>
      <c r="K30" s="416">
        <v>327</v>
      </c>
      <c r="L30" s="416"/>
      <c r="M30" s="416">
        <v>327</v>
      </c>
      <c r="N30" s="416">
        <v>1</v>
      </c>
      <c r="O30" s="416">
        <v>330</v>
      </c>
      <c r="P30" s="400"/>
      <c r="Q30" s="417">
        <v>330</v>
      </c>
    </row>
    <row r="31" spans="1:17" ht="14.4" customHeight="1" thickBot="1" x14ac:dyDescent="0.35">
      <c r="A31" s="402" t="s">
        <v>325</v>
      </c>
      <c r="B31" s="404" t="s">
        <v>283</v>
      </c>
      <c r="C31" s="404" t="s">
        <v>284</v>
      </c>
      <c r="D31" s="404" t="s">
        <v>285</v>
      </c>
      <c r="E31" s="404" t="s">
        <v>286</v>
      </c>
      <c r="F31" s="418">
        <v>1</v>
      </c>
      <c r="G31" s="418">
        <v>326</v>
      </c>
      <c r="H31" s="418">
        <v>1</v>
      </c>
      <c r="I31" s="418">
        <v>326</v>
      </c>
      <c r="J31" s="418"/>
      <c r="K31" s="418"/>
      <c r="L31" s="418"/>
      <c r="M31" s="418"/>
      <c r="N31" s="418">
        <v>1</v>
      </c>
      <c r="O31" s="418">
        <v>327</v>
      </c>
      <c r="P31" s="405">
        <v>1.0030674846625767</v>
      </c>
      <c r="Q31" s="419">
        <v>327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63" t="s">
        <v>91</v>
      </c>
      <c r="B1" s="263"/>
      <c r="C1" s="264"/>
      <c r="D1" s="264"/>
      <c r="E1" s="264"/>
    </row>
    <row r="2" spans="1:5" ht="14.4" customHeight="1" thickBot="1" x14ac:dyDescent="0.35">
      <c r="A2" s="192" t="s">
        <v>214</v>
      </c>
      <c r="B2" s="121"/>
    </row>
    <row r="3" spans="1:5" ht="14.4" customHeight="1" thickBot="1" x14ac:dyDescent="0.35">
      <c r="A3" s="124"/>
      <c r="C3" s="125" t="s">
        <v>83</v>
      </c>
      <c r="D3" s="126" t="s">
        <v>48</v>
      </c>
      <c r="E3" s="127" t="s">
        <v>50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1588.5483138042264</v>
      </c>
      <c r="D4" s="130">
        <f ca="1">IF(ISERROR(VLOOKUP("Náklady celkem",INDIRECT("HI!$A:$G"),5,0)),0,VLOOKUP("Náklady celkem",INDIRECT("HI!$A:$G"),5,0))</f>
        <v>1413.8216200000011</v>
      </c>
      <c r="E4" s="131">
        <f ca="1">IF(C4=0,0,D4/C4)</f>
        <v>0.89000857431538039</v>
      </c>
    </row>
    <row r="5" spans="1:5" ht="14.4" customHeight="1" x14ac:dyDescent="0.3">
      <c r="A5" s="132" t="s">
        <v>103</v>
      </c>
      <c r="B5" s="133"/>
      <c r="C5" s="134"/>
      <c r="D5" s="134"/>
      <c r="E5" s="135"/>
    </row>
    <row r="6" spans="1:5" ht="14.4" customHeight="1" x14ac:dyDescent="0.3">
      <c r="A6" s="136" t="s">
        <v>108</v>
      </c>
      <c r="B6" s="137"/>
      <c r="C6" s="138"/>
      <c r="D6" s="138"/>
      <c r="E6" s="135"/>
    </row>
    <row r="7" spans="1:5" ht="14.4" customHeight="1" x14ac:dyDescent="0.3">
      <c r="A7" s="1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87</v>
      </c>
      <c r="C7" s="138">
        <f>IF(ISERROR(HI!F5),"",HI!F5)</f>
        <v>0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1" t="s">
        <v>104</v>
      </c>
      <c r="B8" s="137"/>
      <c r="C8" s="138"/>
      <c r="D8" s="138"/>
      <c r="E8" s="135"/>
    </row>
    <row r="9" spans="1:5" ht="14.4" customHeight="1" x14ac:dyDescent="0.3">
      <c r="A9" s="141" t="s">
        <v>105</v>
      </c>
      <c r="B9" s="137"/>
      <c r="C9" s="138"/>
      <c r="D9" s="138"/>
      <c r="E9" s="135"/>
    </row>
    <row r="10" spans="1:5" ht="14.4" customHeight="1" x14ac:dyDescent="0.3">
      <c r="A10" s="142" t="s">
        <v>109</v>
      </c>
      <c r="B10" s="137"/>
      <c r="C10" s="134"/>
      <c r="D10" s="134"/>
      <c r="E10" s="135"/>
    </row>
    <row r="11" spans="1:5" ht="14.4" customHeight="1" x14ac:dyDescent="0.3">
      <c r="A11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87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4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1587.6745754307424</v>
      </c>
      <c r="D12" s="134">
        <f ca="1">IF(ISERROR(VLOOKUP("Osobní náklady (Kč) *",INDIRECT("HI!$A:$G"),5,0)),0,VLOOKUP("Osobní náklady (Kč) *",INDIRECT("HI!$A:$G"),5,0))</f>
        <v>1408.7086600000011</v>
      </c>
      <c r="E12" s="135">
        <f ca="1">IF(C12=0,0,D12/C12)</f>
        <v>0.88727796098757383</v>
      </c>
    </row>
    <row r="13" spans="1:5" ht="14.4" customHeight="1" thickBot="1" x14ac:dyDescent="0.35">
      <c r="A13" s="148"/>
      <c r="B13" s="149"/>
      <c r="C13" s="150"/>
      <c r="D13" s="150"/>
      <c r="E13" s="151"/>
    </row>
    <row r="14" spans="1:5" ht="14.4" customHeight="1" thickBot="1" x14ac:dyDescent="0.35">
      <c r="A14" s="152" t="str">
        <f>HYPERLINK("#HI!A1","VÝNOSY CELKEM (v tisících)")</f>
        <v>VÝNOSY CELKEM (v tisících)</v>
      </c>
      <c r="B14" s="153"/>
      <c r="C14" s="154">
        <f ca="1">IF(ISERROR(VLOOKUP("Výnosy celkem",INDIRECT("HI!$A:$G"),6,0)),0,VLOOKUP("Výnosy celkem",INDIRECT("HI!$A:$G"),6,0))</f>
        <v>0</v>
      </c>
      <c r="D14" s="154">
        <f ca="1">IF(ISERROR(VLOOKUP("Výnosy celkem",INDIRECT("HI!$A:$G"),5,0)),0,VLOOKUP("Výnosy celkem",INDIRECT("HI!$A:$G"),5,0))</f>
        <v>0.32700000000000001</v>
      </c>
      <c r="E14" s="155">
        <f t="shared" ref="E14:E17" ca="1" si="1">IF(C14=0,0,D14/C14)</f>
        <v>0</v>
      </c>
    </row>
    <row r="15" spans="1:5" ht="14.4" customHeight="1" x14ac:dyDescent="0.3">
      <c r="A15" s="156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0</v>
      </c>
      <c r="D15" s="134">
        <f ca="1">IF(ISERROR(VLOOKUP("Ambulance *",INDIRECT("HI!$A:$G"),5,0)),0,VLOOKUP("Ambulance *",INDIRECT("HI!$A:$G"),5,0))</f>
        <v>0.32700000000000001</v>
      </c>
      <c r="E15" s="135">
        <f t="shared" ca="1" si="1"/>
        <v>0</v>
      </c>
    </row>
    <row r="16" spans="1:5" ht="14.4" customHeight="1" x14ac:dyDescent="0.3">
      <c r="A16" s="157" t="str">
        <f>HYPERLINK("#'ZV Vykáz.-A'!A1","Zdravotní výkony vykázané u ambulantních pacientů (min. 100 %)")</f>
        <v>Zdravotní výkony vykázané u ambulantních pacientů (min. 100 %)</v>
      </c>
      <c r="B16" s="120" t="s">
        <v>93</v>
      </c>
      <c r="C16" s="140">
        <v>1</v>
      </c>
      <c r="D16" s="140" t="str">
        <f>IF(ISERROR(VLOOKUP("Celkem:",'ZV Vykáz.-A'!$A:$S,7,0)),"",VLOOKUP("Celkem:",'ZV Vykáz.-A'!$A:$S,7,0))</f>
        <v/>
      </c>
      <c r="E16" s="135" t="e">
        <f t="shared" si="1"/>
        <v>#VALUE!</v>
      </c>
    </row>
    <row r="17" spans="1:5" ht="14.4" customHeight="1" x14ac:dyDescent="0.3">
      <c r="A17" s="157" t="str">
        <f>HYPERLINK("#'ZV Vykáz.-H'!A1","Zdravotní výkony vykázané u hospitalizovaných pacientů (max. 85 %)")</f>
        <v>Zdravotní výkony vykázané u hospitalizovaných pacientů (max. 85 %)</v>
      </c>
      <c r="B17" s="120" t="s">
        <v>95</v>
      </c>
      <c r="C17" s="140">
        <v>0.85</v>
      </c>
      <c r="D17" s="140">
        <f>IF(ISERROR(VLOOKUP("Celkem:",'ZV Vykáz.-H'!$A:$S,7,0)),"",VLOOKUP("Celkem:",'ZV Vykáz.-H'!$A:$S,7,0))</f>
        <v>0.66558654097931391</v>
      </c>
      <c r="E17" s="135">
        <f t="shared" si="1"/>
        <v>0.78304298938742811</v>
      </c>
    </row>
    <row r="18" spans="1:5" ht="14.4" customHeight="1" x14ac:dyDescent="0.3">
      <c r="A18" s="158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9" t="s">
        <v>106</v>
      </c>
      <c r="B19" s="145"/>
      <c r="C19" s="146"/>
      <c r="D19" s="146"/>
      <c r="E19" s="147"/>
    </row>
    <row r="20" spans="1:5" ht="14.4" customHeight="1" thickBot="1" x14ac:dyDescent="0.35">
      <c r="A20" s="160"/>
      <c r="B20" s="161"/>
      <c r="C20" s="162"/>
      <c r="D20" s="162"/>
      <c r="E20" s="163"/>
    </row>
    <row r="21" spans="1:5" ht="14.4" customHeight="1" thickBot="1" x14ac:dyDescent="0.35">
      <c r="A21" s="164" t="s">
        <v>107</v>
      </c>
      <c r="B21" s="165"/>
      <c r="C21" s="166"/>
      <c r="D21" s="166"/>
      <c r="E21" s="167"/>
    </row>
  </sheetData>
  <mergeCells count="1">
    <mergeCell ref="A1:E1"/>
  </mergeCells>
  <conditionalFormatting sqref="E5">
    <cfRule type="cellIs" dxfId="1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1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1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10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63" t="s">
        <v>100</v>
      </c>
      <c r="B1" s="263"/>
      <c r="C1" s="263"/>
      <c r="D1" s="263"/>
      <c r="E1" s="263"/>
      <c r="F1" s="263"/>
      <c r="G1" s="264"/>
      <c r="H1" s="264"/>
    </row>
    <row r="2" spans="1:8" ht="14.4" customHeight="1" thickBot="1" x14ac:dyDescent="0.35">
      <c r="A2" s="192" t="s">
        <v>214</v>
      </c>
      <c r="B2" s="83"/>
      <c r="C2" s="83"/>
      <c r="D2" s="83"/>
      <c r="E2" s="83"/>
      <c r="F2" s="83"/>
    </row>
    <row r="3" spans="1:8" ht="14.4" customHeight="1" x14ac:dyDescent="0.3">
      <c r="A3" s="265"/>
      <c r="B3" s="79">
        <v>2012</v>
      </c>
      <c r="C3" s="40">
        <v>2013</v>
      </c>
      <c r="D3" s="7"/>
      <c r="E3" s="269">
        <v>2014</v>
      </c>
      <c r="F3" s="270"/>
      <c r="G3" s="270"/>
      <c r="H3" s="271"/>
    </row>
    <row r="4" spans="1:8" ht="14.4" customHeight="1" thickBot="1" x14ac:dyDescent="0.35">
      <c r="A4" s="266"/>
      <c r="B4" s="267" t="s">
        <v>48</v>
      </c>
      <c r="C4" s="268"/>
      <c r="D4" s="7"/>
      <c r="E4" s="100" t="s">
        <v>48</v>
      </c>
      <c r="F4" s="81" t="s">
        <v>49</v>
      </c>
      <c r="G4" s="81" t="s">
        <v>43</v>
      </c>
      <c r="H4" s="82" t="s">
        <v>50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1429.77487</v>
      </c>
      <c r="C7" s="31">
        <v>1471.4105099999999</v>
      </c>
      <c r="D7" s="8"/>
      <c r="E7" s="90">
        <v>1408.7086600000011</v>
      </c>
      <c r="F7" s="30">
        <v>1587.6745754307424</v>
      </c>
      <c r="G7" s="91">
        <f>E7-F7</f>
        <v>-178.96591543074123</v>
      </c>
      <c r="H7" s="95">
        <f>IF(F7&lt;0.00000001,"",E7/F7)</f>
        <v>0.88727796098757383</v>
      </c>
    </row>
    <row r="8" spans="1:8" ht="14.4" customHeight="1" thickBot="1" x14ac:dyDescent="0.35">
      <c r="A8" s="1" t="s">
        <v>51</v>
      </c>
      <c r="B8" s="11">
        <v>8.2036200000000008</v>
      </c>
      <c r="C8" s="33">
        <v>6.3969300000001112</v>
      </c>
      <c r="D8" s="8"/>
      <c r="E8" s="92">
        <v>5.11295999999993</v>
      </c>
      <c r="F8" s="32">
        <v>0.8737383734840023</v>
      </c>
      <c r="G8" s="93">
        <f>E8-F8</f>
        <v>4.2392216265159277</v>
      </c>
      <c r="H8" s="96">
        <f>IF(F8&lt;0.00000001,"",E8/F8)</f>
        <v>5.8518203562608502</v>
      </c>
    </row>
    <row r="9" spans="1:8" ht="14.4" customHeight="1" thickBot="1" x14ac:dyDescent="0.35">
      <c r="A9" s="2" t="s">
        <v>52</v>
      </c>
      <c r="B9" s="3">
        <v>1437.97849</v>
      </c>
      <c r="C9" s="35">
        <v>1477.80744</v>
      </c>
      <c r="D9" s="8"/>
      <c r="E9" s="3">
        <v>1413.8216200000011</v>
      </c>
      <c r="F9" s="34">
        <v>1588.5483138042264</v>
      </c>
      <c r="G9" s="34">
        <f>E9-F9</f>
        <v>-174.72669380422531</v>
      </c>
      <c r="H9" s="97">
        <f>IF(F9&lt;0.00000001,"",E9/F9)</f>
        <v>0.89000857431538039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0</v>
      </c>
      <c r="C11" s="29">
        <f>IF(ISERROR(VLOOKUP("Celkem:",'ZV Vykáz.-A'!A:F,4,0)),0,VLOOKUP("Celkem:",'ZV Vykáz.-A'!A:F,4,0)/1000)</f>
        <v>0.32700000000000001</v>
      </c>
      <c r="D11" s="8"/>
      <c r="E11" s="89">
        <f>IF(ISERROR(VLOOKUP("Celkem:",'ZV Vykáz.-A'!A:F,6,0)),0,VLOOKUP("Celkem:",'ZV Vykáz.-A'!A:F,6,0)/1000)</f>
        <v>0.32700000000000001</v>
      </c>
      <c r="F11" s="28">
        <f>B11</f>
        <v>0</v>
      </c>
      <c r="G11" s="88">
        <f>E11-F11</f>
        <v>0.32700000000000001</v>
      </c>
      <c r="H11" s="94" t="str">
        <f>IF(F11&lt;0.00000001,"",E11/F11)</f>
        <v/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55</v>
      </c>
      <c r="B13" s="5">
        <f>SUM(B11:B12)</f>
        <v>0</v>
      </c>
      <c r="C13" s="37">
        <f>SUM(C11:C12)</f>
        <v>0.32700000000000001</v>
      </c>
      <c r="D13" s="8"/>
      <c r="E13" s="5">
        <f>SUM(E11:E12)</f>
        <v>0.32700000000000001</v>
      </c>
      <c r="F13" s="36">
        <f>SUM(F11:F12)</f>
        <v>0</v>
      </c>
      <c r="G13" s="36">
        <f>E13-F13</f>
        <v>0.32700000000000001</v>
      </c>
      <c r="H13" s="98" t="str">
        <f>IF(F13&lt;0.00000001,"",E13/F13)</f>
        <v/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2.2127375404200158E-4</v>
      </c>
      <c r="D15" s="8"/>
      <c r="E15" s="6">
        <f>IF(E9=0,"",E13/E9)</f>
        <v>2.3128801779109855E-4</v>
      </c>
      <c r="F15" s="38">
        <f>IF(F9=0,"",F13/F9)</f>
        <v>0</v>
      </c>
      <c r="G15" s="38">
        <f>IF(ISERROR(F15-E15),"",E15-F15)</f>
        <v>2.3128801779109855E-4</v>
      </c>
      <c r="H15" s="99" t="str">
        <f>IF(ISERROR(F15-E15),"",IF(F15&lt;0.00000001,"",E15/F15))</f>
        <v/>
      </c>
    </row>
    <row r="17" spans="1:8" ht="14.4" customHeight="1" x14ac:dyDescent="0.3">
      <c r="A17" s="85" t="s">
        <v>110</v>
      </c>
    </row>
    <row r="18" spans="1:8" ht="14.4" customHeight="1" x14ac:dyDescent="0.3">
      <c r="A18" s="245" t="s">
        <v>169</v>
      </c>
      <c r="B18" s="246"/>
      <c r="C18" s="246"/>
      <c r="D18" s="246"/>
      <c r="E18" s="246"/>
      <c r="F18" s="246"/>
      <c r="G18" s="246"/>
      <c r="H18" s="246"/>
    </row>
    <row r="19" spans="1:8" x14ac:dyDescent="0.3">
      <c r="A19" s="244" t="s">
        <v>168</v>
      </c>
      <c r="B19" s="246"/>
      <c r="C19" s="246"/>
      <c r="D19" s="246"/>
      <c r="E19" s="246"/>
      <c r="F19" s="246"/>
      <c r="G19" s="246"/>
      <c r="H19" s="246"/>
    </row>
    <row r="20" spans="1:8" ht="14.4" customHeight="1" x14ac:dyDescent="0.3">
      <c r="A20" s="86" t="s">
        <v>211</v>
      </c>
    </row>
    <row r="21" spans="1:8" ht="14.4" customHeight="1" x14ac:dyDescent="0.3">
      <c r="A21" s="86" t="s">
        <v>111</v>
      </c>
    </row>
    <row r="22" spans="1:8" ht="14.4" customHeight="1" x14ac:dyDescent="0.3">
      <c r="A22" s="87" t="s">
        <v>112</v>
      </c>
    </row>
    <row r="23" spans="1:8" ht="14.4" customHeight="1" x14ac:dyDescent="0.3">
      <c r="A23" s="87" t="s">
        <v>113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" priority="4" operator="greaterThan">
      <formula>0</formula>
    </cfRule>
  </conditionalFormatting>
  <conditionalFormatting sqref="G11:G13 G15">
    <cfRule type="cellIs" dxfId="7" priority="3" operator="lessThan">
      <formula>0</formula>
    </cfRule>
  </conditionalFormatting>
  <conditionalFormatting sqref="H5:H9">
    <cfRule type="cellIs" dxfId="6" priority="2" operator="greaterThan">
      <formula>1</formula>
    </cfRule>
  </conditionalFormatting>
  <conditionalFormatting sqref="H11:H13 H15">
    <cfRule type="cellIs" dxfId="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63" t="s">
        <v>80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ht="14.4" customHeight="1" x14ac:dyDescent="0.3">
      <c r="A2" s="192" t="s">
        <v>214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8"/>
      <c r="B3" s="169" t="s">
        <v>57</v>
      </c>
      <c r="C3" s="170" t="s">
        <v>58</v>
      </c>
      <c r="D3" s="170" t="s">
        <v>59</v>
      </c>
      <c r="E3" s="169" t="s">
        <v>60</v>
      </c>
      <c r="F3" s="170" t="s">
        <v>61</v>
      </c>
      <c r="G3" s="170" t="s">
        <v>62</v>
      </c>
      <c r="H3" s="170" t="s">
        <v>63</v>
      </c>
      <c r="I3" s="170" t="s">
        <v>64</v>
      </c>
      <c r="J3" s="170" t="s">
        <v>65</v>
      </c>
      <c r="K3" s="170" t="s">
        <v>66</v>
      </c>
      <c r="L3" s="170" t="s">
        <v>67</v>
      </c>
      <c r="M3" s="170" t="s">
        <v>68</v>
      </c>
    </row>
    <row r="4" spans="1:13" ht="14.4" customHeight="1" x14ac:dyDescent="0.3">
      <c r="A4" s="168" t="s">
        <v>56</v>
      </c>
      <c r="B4" s="171">
        <f>(B10+B8)/B6</f>
        <v>2.3666422427257063E-3</v>
      </c>
      <c r="C4" s="171">
        <f t="shared" ref="C4:M4" si="0">(C10+C8)/C6</f>
        <v>1.2083167220576989E-3</v>
      </c>
      <c r="D4" s="171">
        <f t="shared" si="0"/>
        <v>8.1129831399308773E-4</v>
      </c>
      <c r="E4" s="171">
        <f t="shared" si="0"/>
        <v>6.1608684134028505E-4</v>
      </c>
      <c r="F4" s="171">
        <f t="shared" si="0"/>
        <v>4.9291098288424583E-4</v>
      </c>
      <c r="G4" s="171">
        <f t="shared" si="0"/>
        <v>4.2926587160676107E-4</v>
      </c>
      <c r="H4" s="171">
        <f t="shared" si="0"/>
        <v>3.5355738902993127E-4</v>
      </c>
      <c r="I4" s="171">
        <f t="shared" si="0"/>
        <v>3.2297254846921599E-4</v>
      </c>
      <c r="J4" s="171">
        <f t="shared" si="0"/>
        <v>2.9680019168754128E-4</v>
      </c>
      <c r="K4" s="171">
        <f t="shared" si="0"/>
        <v>2.6981550881887019E-4</v>
      </c>
      <c r="L4" s="171">
        <f t="shared" si="0"/>
        <v>2.3128801779109855E-4</v>
      </c>
      <c r="M4" s="171">
        <f t="shared" si="0"/>
        <v>2.3128801779109855E-4</v>
      </c>
    </row>
    <row r="5" spans="1:13" ht="14.4" customHeight="1" x14ac:dyDescent="0.3">
      <c r="A5" s="172" t="s">
        <v>28</v>
      </c>
      <c r="B5" s="171">
        <f>IF(ISERROR(VLOOKUP($A5,'Man Tab'!$A:$Q,COLUMN()+2,0)),0,VLOOKUP($A5,'Man Tab'!$A:$Q,COLUMN()+2,0))</f>
        <v>138.17044000000101</v>
      </c>
      <c r="C5" s="171">
        <f>IF(ISERROR(VLOOKUP($A5,'Man Tab'!$A:$Q,COLUMN()+2,0)),0,VLOOKUP($A5,'Man Tab'!$A:$Q,COLUMN()+2,0))</f>
        <v>132.45397</v>
      </c>
      <c r="D5" s="171">
        <f>IF(ISERROR(VLOOKUP($A5,'Man Tab'!$A:$Q,COLUMN()+2,0)),0,VLOOKUP($A5,'Man Tab'!$A:$Q,COLUMN()+2,0))</f>
        <v>132.43324999999999</v>
      </c>
      <c r="E5" s="171">
        <f>IF(ISERROR(VLOOKUP($A5,'Man Tab'!$A:$Q,COLUMN()+2,0)),0,VLOOKUP($A5,'Man Tab'!$A:$Q,COLUMN()+2,0))</f>
        <v>127.71167</v>
      </c>
      <c r="F5" s="171">
        <f>IF(ISERROR(VLOOKUP($A5,'Man Tab'!$A:$Q,COLUMN()+2,0)),0,VLOOKUP($A5,'Man Tab'!$A:$Q,COLUMN()+2,0))</f>
        <v>132.63646</v>
      </c>
      <c r="G5" s="171">
        <f>IF(ISERROR(VLOOKUP($A5,'Man Tab'!$A:$Q,COLUMN()+2,0)),0,VLOOKUP($A5,'Man Tab'!$A:$Q,COLUMN()+2,0))</f>
        <v>98.359870000000001</v>
      </c>
      <c r="H5" s="171">
        <f>IF(ISERROR(VLOOKUP($A5,'Man Tab'!$A:$Q,COLUMN()+2,0)),0,VLOOKUP($A5,'Man Tab'!$A:$Q,COLUMN()+2,0))</f>
        <v>163.11955</v>
      </c>
      <c r="I5" s="171">
        <f>IF(ISERROR(VLOOKUP($A5,'Man Tab'!$A:$Q,COLUMN()+2,0)),0,VLOOKUP($A5,'Man Tab'!$A:$Q,COLUMN()+2,0))</f>
        <v>87.584739999999996</v>
      </c>
      <c r="J5" s="171">
        <f>IF(ISERROR(VLOOKUP($A5,'Man Tab'!$A:$Q,COLUMN()+2,0)),0,VLOOKUP($A5,'Man Tab'!$A:$Q,COLUMN()+2,0))</f>
        <v>89.281360000000006</v>
      </c>
      <c r="K5" s="171">
        <f>IF(ISERROR(VLOOKUP($A5,'Man Tab'!$A:$Q,COLUMN()+2,0)),0,VLOOKUP($A5,'Man Tab'!$A:$Q,COLUMN()+2,0))</f>
        <v>110.18792000000001</v>
      </c>
      <c r="L5" s="171">
        <f>IF(ISERROR(VLOOKUP($A5,'Man Tab'!$A:$Q,COLUMN()+2,0)),0,VLOOKUP($A5,'Man Tab'!$A:$Q,COLUMN()+2,0))</f>
        <v>201.88238999999999</v>
      </c>
      <c r="M5" s="171">
        <f>IF(ISERROR(VLOOKUP($A5,'Man Tab'!$A:$Q,COLUMN()+2,0)),0,VLOOKUP($A5,'Man Tab'!$A:$Q,COLUMN()+2,0))</f>
        <v>4.9406564584124654E-324</v>
      </c>
    </row>
    <row r="6" spans="1:13" ht="14.4" customHeight="1" x14ac:dyDescent="0.3">
      <c r="A6" s="172" t="s">
        <v>52</v>
      </c>
      <c r="B6" s="173">
        <f>B5</f>
        <v>138.17044000000101</v>
      </c>
      <c r="C6" s="173">
        <f t="shared" ref="C6:M6" si="1">C5+B6</f>
        <v>270.62441000000103</v>
      </c>
      <c r="D6" s="173">
        <f t="shared" si="1"/>
        <v>403.05766000000102</v>
      </c>
      <c r="E6" s="173">
        <f t="shared" si="1"/>
        <v>530.76933000000099</v>
      </c>
      <c r="F6" s="173">
        <f t="shared" si="1"/>
        <v>663.40579000000093</v>
      </c>
      <c r="G6" s="173">
        <f t="shared" si="1"/>
        <v>761.76566000000093</v>
      </c>
      <c r="H6" s="173">
        <f t="shared" si="1"/>
        <v>924.88521000000094</v>
      </c>
      <c r="I6" s="173">
        <f t="shared" si="1"/>
        <v>1012.4699500000009</v>
      </c>
      <c r="J6" s="173">
        <f t="shared" si="1"/>
        <v>1101.751310000001</v>
      </c>
      <c r="K6" s="173">
        <f t="shared" si="1"/>
        <v>1211.9392300000011</v>
      </c>
      <c r="L6" s="173">
        <f t="shared" si="1"/>
        <v>1413.8216200000011</v>
      </c>
      <c r="M6" s="173">
        <f t="shared" si="1"/>
        <v>1413.8216200000011</v>
      </c>
    </row>
    <row r="7" spans="1:13" ht="14.4" customHeight="1" x14ac:dyDescent="0.3">
      <c r="A7" s="172" t="s">
        <v>78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ht="14.4" customHeight="1" x14ac:dyDescent="0.3">
      <c r="A8" s="172" t="s">
        <v>53</v>
      </c>
      <c r="B8" s="173">
        <f>B7*30</f>
        <v>0</v>
      </c>
      <c r="C8" s="173">
        <f t="shared" ref="C8:M8" si="2">C7*30</f>
        <v>0</v>
      </c>
      <c r="D8" s="173">
        <f t="shared" si="2"/>
        <v>0</v>
      </c>
      <c r="E8" s="173">
        <f t="shared" si="2"/>
        <v>0</v>
      </c>
      <c r="F8" s="173">
        <f t="shared" si="2"/>
        <v>0</v>
      </c>
      <c r="G8" s="173">
        <f t="shared" si="2"/>
        <v>0</v>
      </c>
      <c r="H8" s="173">
        <f t="shared" si="2"/>
        <v>0</v>
      </c>
      <c r="I8" s="173">
        <f t="shared" si="2"/>
        <v>0</v>
      </c>
      <c r="J8" s="173">
        <f t="shared" si="2"/>
        <v>0</v>
      </c>
      <c r="K8" s="173">
        <f t="shared" si="2"/>
        <v>0</v>
      </c>
      <c r="L8" s="173">
        <f t="shared" si="2"/>
        <v>0</v>
      </c>
      <c r="M8" s="173">
        <f t="shared" si="2"/>
        <v>0</v>
      </c>
    </row>
    <row r="9" spans="1:13" ht="14.4" customHeight="1" x14ac:dyDescent="0.3">
      <c r="A9" s="172" t="s">
        <v>79</v>
      </c>
      <c r="B9" s="172">
        <v>327</v>
      </c>
      <c r="C9" s="172"/>
      <c r="D9" s="172">
        <v>0</v>
      </c>
      <c r="E9" s="172">
        <v>0</v>
      </c>
      <c r="F9" s="172">
        <v>0</v>
      </c>
      <c r="G9" s="172">
        <v>0</v>
      </c>
      <c r="H9" s="172">
        <v>0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</row>
    <row r="10" spans="1:13" ht="14.4" customHeight="1" x14ac:dyDescent="0.3">
      <c r="A10" s="172" t="s">
        <v>54</v>
      </c>
      <c r="B10" s="173">
        <f>B9/1000</f>
        <v>0.32700000000000001</v>
      </c>
      <c r="C10" s="173">
        <f t="shared" ref="C10:M10" si="3">C9/1000+B10</f>
        <v>0.32700000000000001</v>
      </c>
      <c r="D10" s="173">
        <f t="shared" si="3"/>
        <v>0.32700000000000001</v>
      </c>
      <c r="E10" s="173">
        <f t="shared" si="3"/>
        <v>0.32700000000000001</v>
      </c>
      <c r="F10" s="173">
        <f t="shared" si="3"/>
        <v>0.32700000000000001</v>
      </c>
      <c r="G10" s="173">
        <f t="shared" si="3"/>
        <v>0.32700000000000001</v>
      </c>
      <c r="H10" s="173">
        <f t="shared" si="3"/>
        <v>0.32700000000000001</v>
      </c>
      <c r="I10" s="173">
        <f t="shared" si="3"/>
        <v>0.32700000000000001</v>
      </c>
      <c r="J10" s="173">
        <f t="shared" si="3"/>
        <v>0.32700000000000001</v>
      </c>
      <c r="K10" s="173">
        <f t="shared" si="3"/>
        <v>0.32700000000000001</v>
      </c>
      <c r="L10" s="173">
        <f t="shared" si="3"/>
        <v>0.32700000000000001</v>
      </c>
      <c r="M10" s="173">
        <f t="shared" si="3"/>
        <v>0.32700000000000001</v>
      </c>
    </row>
    <row r="11" spans="1:13" ht="14.4" customHeight="1" x14ac:dyDescent="0.3">
      <c r="A11" s="168"/>
      <c r="B11" s="168" t="s">
        <v>69</v>
      </c>
      <c r="C11" s="168">
        <f ca="1">IF(MONTH(TODAY())=1,12,MONTH(TODAY())-1)</f>
        <v>11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</row>
    <row r="12" spans="1:13" ht="14.4" customHeight="1" x14ac:dyDescent="0.3">
      <c r="A12" s="168">
        <v>0</v>
      </c>
      <c r="B12" s="171">
        <f>IF(ISERROR(HI!F15),#REF!,HI!F15)</f>
        <v>0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</row>
    <row r="13" spans="1:13" ht="14.4" customHeight="1" x14ac:dyDescent="0.3">
      <c r="A13" s="168">
        <v>1</v>
      </c>
      <c r="B13" s="171">
        <f>IF(ISERROR(HI!F15),#REF!,HI!F15)</f>
        <v>0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4" customFormat="1" ht="18.600000000000001" customHeight="1" thickBot="1" x14ac:dyDescent="0.4">
      <c r="A1" s="272" t="s">
        <v>216</v>
      </c>
      <c r="B1" s="272"/>
      <c r="C1" s="272"/>
      <c r="D1" s="272"/>
      <c r="E1" s="272"/>
      <c r="F1" s="272"/>
      <c r="G1" s="272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s="174" customFormat="1" ht="14.4" customHeight="1" thickBot="1" x14ac:dyDescent="0.3">
      <c r="A2" s="192" t="s">
        <v>214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14.4" customHeight="1" x14ac:dyDescent="0.3">
      <c r="A3" s="59"/>
      <c r="B3" s="273" t="s">
        <v>4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110"/>
      <c r="Q3" s="112"/>
    </row>
    <row r="4" spans="1:17" ht="14.4" customHeight="1" x14ac:dyDescent="0.3">
      <c r="A4" s="60"/>
      <c r="B4" s="20">
        <v>2014</v>
      </c>
      <c r="C4" s="111" t="s">
        <v>5</v>
      </c>
      <c r="D4" s="101" t="s">
        <v>114</v>
      </c>
      <c r="E4" s="101" t="s">
        <v>115</v>
      </c>
      <c r="F4" s="101" t="s">
        <v>116</v>
      </c>
      <c r="G4" s="101" t="s">
        <v>117</v>
      </c>
      <c r="H4" s="101" t="s">
        <v>118</v>
      </c>
      <c r="I4" s="101" t="s">
        <v>119</v>
      </c>
      <c r="J4" s="101" t="s">
        <v>120</v>
      </c>
      <c r="K4" s="101" t="s">
        <v>121</v>
      </c>
      <c r="L4" s="101" t="s">
        <v>122</v>
      </c>
      <c r="M4" s="101" t="s">
        <v>123</v>
      </c>
      <c r="N4" s="101" t="s">
        <v>124</v>
      </c>
      <c r="O4" s="101" t="s">
        <v>125</v>
      </c>
      <c r="P4" s="275" t="s">
        <v>1</v>
      </c>
      <c r="Q4" s="276"/>
    </row>
    <row r="5" spans="1:17" ht="14.4" customHeight="1" thickBot="1" x14ac:dyDescent="0.3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5.434722104253712E-323</v>
      </c>
      <c r="Q6" s="69" t="s">
        <v>215</v>
      </c>
    </row>
    <row r="7" spans="1:17" ht="14.4" customHeight="1" x14ac:dyDescent="0.3">
      <c r="A7" s="15" t="s">
        <v>10</v>
      </c>
      <c r="B7" s="46">
        <v>4.9406564584124654E-324</v>
      </c>
      <c r="C7" s="47">
        <v>0</v>
      </c>
      <c r="D7" s="47">
        <v>4.9406564584124654E-324</v>
      </c>
      <c r="E7" s="47">
        <v>4.9406564584124654E-324</v>
      </c>
      <c r="F7" s="47">
        <v>4.9406564584124654E-324</v>
      </c>
      <c r="G7" s="47">
        <v>4.9406564584124654E-324</v>
      </c>
      <c r="H7" s="47">
        <v>4.9406564584124654E-324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5.434722104253712E-323</v>
      </c>
      <c r="Q7" s="70" t="s">
        <v>215</v>
      </c>
    </row>
    <row r="8" spans="1:17" ht="14.4" customHeight="1" x14ac:dyDescent="0.3">
      <c r="A8" s="15" t="s">
        <v>11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5.434722104253712E-323</v>
      </c>
      <c r="Q8" s="70" t="s">
        <v>215</v>
      </c>
    </row>
    <row r="9" spans="1:17" ht="14.4" customHeight="1" x14ac:dyDescent="0.3">
      <c r="A9" s="15" t="s">
        <v>12</v>
      </c>
      <c r="B9" s="46">
        <v>4.9406564584124654E-324</v>
      </c>
      <c r="C9" s="47">
        <v>0</v>
      </c>
      <c r="D9" s="47">
        <v>4.9406564584124654E-324</v>
      </c>
      <c r="E9" s="47">
        <v>4.9406564584124654E-324</v>
      </c>
      <c r="F9" s="47">
        <v>4.9406564584124654E-324</v>
      </c>
      <c r="G9" s="47">
        <v>4.9406564584124654E-324</v>
      </c>
      <c r="H9" s="47">
        <v>4.9406564584124654E-324</v>
      </c>
      <c r="I9" s="47">
        <v>4.9406564584124654E-324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5.434722104253712E-323</v>
      </c>
      <c r="Q9" s="70" t="s">
        <v>215</v>
      </c>
    </row>
    <row r="10" spans="1:17" ht="14.4" customHeight="1" x14ac:dyDescent="0.3">
      <c r="A10" s="15" t="s">
        <v>13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5.434722104253712E-323</v>
      </c>
      <c r="Q10" s="70" t="s">
        <v>215</v>
      </c>
    </row>
    <row r="11" spans="1:17" ht="14.4" customHeight="1" x14ac:dyDescent="0.3">
      <c r="A11" s="15" t="s">
        <v>14</v>
      </c>
      <c r="B11" s="46">
        <v>0.33331868456199998</v>
      </c>
      <c r="C11" s="47">
        <v>2.7776557045999999E-2</v>
      </c>
      <c r="D11" s="47">
        <v>4.9406564584124654E-324</v>
      </c>
      <c r="E11" s="47">
        <v>4.9406564584124654E-324</v>
      </c>
      <c r="F11" s="47">
        <v>4.9406564584124654E-324</v>
      </c>
      <c r="G11" s="47">
        <v>7.1199999999999999E-2</v>
      </c>
      <c r="H11" s="47">
        <v>1.06795</v>
      </c>
      <c r="I11" s="47">
        <v>4.9406564584124654E-324</v>
      </c>
      <c r="J11" s="47">
        <v>4.9406564584124654E-324</v>
      </c>
      <c r="K11" s="47">
        <v>4.9406564584124654E-324</v>
      </c>
      <c r="L11" s="47">
        <v>0.221</v>
      </c>
      <c r="M11" s="47">
        <v>4.9406564584124654E-324</v>
      </c>
      <c r="N11" s="47">
        <v>0.24668999999999999</v>
      </c>
      <c r="O11" s="47">
        <v>4.9406564584124654E-324</v>
      </c>
      <c r="P11" s="48">
        <v>1.60684</v>
      </c>
      <c r="Q11" s="70">
        <v>5.2589802036990001</v>
      </c>
    </row>
    <row r="12" spans="1:17" ht="14.4" customHeight="1" x14ac:dyDescent="0.3">
      <c r="A12" s="15" t="s">
        <v>15</v>
      </c>
      <c r="B12" s="46">
        <v>4.9406564584124654E-324</v>
      </c>
      <c r="C12" s="47">
        <v>0</v>
      </c>
      <c r="D12" s="47">
        <v>4.9406564584124654E-324</v>
      </c>
      <c r="E12" s="47">
        <v>4.9406564584124654E-324</v>
      </c>
      <c r="F12" s="47">
        <v>4.9406564584124654E-324</v>
      </c>
      <c r="G12" s="47">
        <v>4.9406564584124654E-324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5.434722104253712E-323</v>
      </c>
      <c r="Q12" s="70" t="s">
        <v>215</v>
      </c>
    </row>
    <row r="13" spans="1:17" ht="14.4" customHeight="1" x14ac:dyDescent="0.3">
      <c r="A13" s="15" t="s">
        <v>16</v>
      </c>
      <c r="B13" s="46">
        <v>0.62523201882000001</v>
      </c>
      <c r="C13" s="47">
        <v>5.2102668235000003E-2</v>
      </c>
      <c r="D13" s="47">
        <v>4.9406564584124654E-324</v>
      </c>
      <c r="E13" s="47">
        <v>4.9406564584124654E-324</v>
      </c>
      <c r="F13" s="47">
        <v>4.9406564584124654E-324</v>
      </c>
      <c r="G13" s="47">
        <v>4.9406564584124654E-324</v>
      </c>
      <c r="H13" s="47">
        <v>4.9406564584124654E-324</v>
      </c>
      <c r="I13" s="47">
        <v>4.9406564584124654E-324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5.434722104253712E-323</v>
      </c>
      <c r="Q13" s="70">
        <v>9.3872472709836843E-323</v>
      </c>
    </row>
    <row r="14" spans="1:17" ht="14.4" customHeight="1" x14ac:dyDescent="0.3">
      <c r="A14" s="15" t="s">
        <v>17</v>
      </c>
      <c r="B14" s="46">
        <v>0</v>
      </c>
      <c r="C14" s="47">
        <v>0</v>
      </c>
      <c r="D14" s="47">
        <v>4.9406564584124654E-324</v>
      </c>
      <c r="E14" s="47">
        <v>4.9406564584124654E-324</v>
      </c>
      <c r="F14" s="47">
        <v>4.9406564584124654E-324</v>
      </c>
      <c r="G14" s="47">
        <v>4.9406564584124654E-324</v>
      </c>
      <c r="H14" s="47">
        <v>4.9406564584124654E-324</v>
      </c>
      <c r="I14" s="47">
        <v>4.9406564584124654E-324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5.434722104253712E-323</v>
      </c>
      <c r="Q14" s="70" t="s">
        <v>215</v>
      </c>
    </row>
    <row r="15" spans="1:17" ht="14.4" customHeight="1" x14ac:dyDescent="0.3">
      <c r="A15" s="15" t="s">
        <v>18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5.434722104253712E-323</v>
      </c>
      <c r="Q15" s="70" t="s">
        <v>215</v>
      </c>
    </row>
    <row r="16" spans="1:17" ht="14.4" customHeight="1" x14ac:dyDescent="0.3">
      <c r="A16" s="15" t="s">
        <v>19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5.434722104253712E-323</v>
      </c>
      <c r="Q16" s="70" t="s">
        <v>215</v>
      </c>
    </row>
    <row r="17" spans="1:17" ht="14.4" customHeight="1" x14ac:dyDescent="0.3">
      <c r="A17" s="15" t="s">
        <v>20</v>
      </c>
      <c r="B17" s="46">
        <v>0</v>
      </c>
      <c r="C17" s="47">
        <v>0</v>
      </c>
      <c r="D17" s="47">
        <v>4.9406564584124654E-324</v>
      </c>
      <c r="E17" s="47">
        <v>4.9406564584124654E-324</v>
      </c>
      <c r="F17" s="47">
        <v>4.9406564584124654E-324</v>
      </c>
      <c r="G17" s="47">
        <v>4.9406564584124654E-324</v>
      </c>
      <c r="H17" s="47">
        <v>4.9406564584124654E-324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5.434722104253712E-323</v>
      </c>
      <c r="Q17" s="70" t="s">
        <v>215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4.9406564584124654E-324</v>
      </c>
      <c r="E18" s="47">
        <v>4.9406564584124654E-324</v>
      </c>
      <c r="F18" s="47">
        <v>4.9406564584124654E-324</v>
      </c>
      <c r="G18" s="47">
        <v>4.9406564584124654E-324</v>
      </c>
      <c r="H18" s="47">
        <v>4.9406564584124654E-324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5.434722104253712E-323</v>
      </c>
      <c r="Q18" s="70" t="s">
        <v>215</v>
      </c>
    </row>
    <row r="19" spans="1:17" ht="14.4" customHeight="1" x14ac:dyDescent="0.3">
      <c r="A19" s="15" t="s">
        <v>22</v>
      </c>
      <c r="B19" s="46">
        <v>-5.3815686699999997E-3</v>
      </c>
      <c r="C19" s="47">
        <v>-4.4846405499999998E-4</v>
      </c>
      <c r="D19" s="47">
        <v>4.9406564584124654E-324</v>
      </c>
      <c r="E19" s="47">
        <v>4.9406564584124654E-324</v>
      </c>
      <c r="F19" s="47">
        <v>4.9406564584124654E-324</v>
      </c>
      <c r="G19" s="47">
        <v>8.1600000000000006E-3</v>
      </c>
      <c r="H19" s="47">
        <v>2.0400000000000001E-3</v>
      </c>
      <c r="I19" s="47">
        <v>2.0400000000000001E-3</v>
      </c>
      <c r="J19" s="47">
        <v>-6.1199999999999996E-3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6.1199999999999996E-3</v>
      </c>
      <c r="Q19" s="70">
        <v>-1.240598056998</v>
      </c>
    </row>
    <row r="20" spans="1:17" ht="14.4" customHeight="1" x14ac:dyDescent="0.3">
      <c r="A20" s="15" t="s">
        <v>23</v>
      </c>
      <c r="B20" s="46">
        <v>1732.0086277426201</v>
      </c>
      <c r="C20" s="47">
        <v>144.33405231188499</v>
      </c>
      <c r="D20" s="47">
        <v>138.17044000000101</v>
      </c>
      <c r="E20" s="47">
        <v>132.45397</v>
      </c>
      <c r="F20" s="47">
        <v>132.43324999999999</v>
      </c>
      <c r="G20" s="47">
        <v>127.63231</v>
      </c>
      <c r="H20" s="47">
        <v>128.06647000000001</v>
      </c>
      <c r="I20" s="47">
        <v>98.357830000000007</v>
      </c>
      <c r="J20" s="47">
        <v>163.12567000000001</v>
      </c>
      <c r="K20" s="47">
        <v>87.584739999999996</v>
      </c>
      <c r="L20" s="47">
        <v>89.060360000000003</v>
      </c>
      <c r="M20" s="47">
        <v>110.18792000000001</v>
      </c>
      <c r="N20" s="47">
        <v>201.63570000000001</v>
      </c>
      <c r="O20" s="47">
        <v>4.9406564584124654E-324</v>
      </c>
      <c r="P20" s="48">
        <v>1408.70866</v>
      </c>
      <c r="Q20" s="70">
        <v>0.88727796098699996</v>
      </c>
    </row>
    <row r="21" spans="1:17" ht="14.4" customHeight="1" x14ac:dyDescent="0.3">
      <c r="A21" s="16" t="s">
        <v>24</v>
      </c>
      <c r="B21" s="46">
        <v>9.8813129168249309E-324</v>
      </c>
      <c r="C21" s="47">
        <v>0</v>
      </c>
      <c r="D21" s="47">
        <v>1.4821969375237396E-323</v>
      </c>
      <c r="E21" s="47">
        <v>1.4821969375237396E-323</v>
      </c>
      <c r="F21" s="47">
        <v>1.4821969375237396E-323</v>
      </c>
      <c r="G21" s="47">
        <v>1.4821969375237396E-323</v>
      </c>
      <c r="H21" s="47">
        <v>1.4821969375237396E-323</v>
      </c>
      <c r="I21" s="47">
        <v>1.4821969375237396E-323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1.6304166312761136E-322</v>
      </c>
      <c r="Q21" s="70" t="s">
        <v>215</v>
      </c>
    </row>
    <row r="22" spans="1:17" ht="14.4" customHeight="1" x14ac:dyDescent="0.3">
      <c r="A22" s="15" t="s">
        <v>25</v>
      </c>
      <c r="B22" s="46">
        <v>4.9406564584124654E-324</v>
      </c>
      <c r="C22" s="47">
        <v>0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5.434722104253712E-323</v>
      </c>
      <c r="Q22" s="70" t="s">
        <v>215</v>
      </c>
    </row>
    <row r="23" spans="1:17" ht="14.4" customHeight="1" x14ac:dyDescent="0.3">
      <c r="A23" s="16" t="s">
        <v>26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2.1738888417014848E-322</v>
      </c>
      <c r="Q23" s="70" t="s">
        <v>215</v>
      </c>
    </row>
    <row r="24" spans="1:17" ht="14.4" customHeight="1" x14ac:dyDescent="0.3">
      <c r="A24" s="16" t="s">
        <v>27</v>
      </c>
      <c r="B24" s="46">
        <v>2.2737367544323201E-13</v>
      </c>
      <c r="C24" s="47">
        <v>2.8421709430404001E-14</v>
      </c>
      <c r="D24" s="47">
        <v>0</v>
      </c>
      <c r="E24" s="47">
        <v>0</v>
      </c>
      <c r="F24" s="47">
        <v>0</v>
      </c>
      <c r="G24" s="47">
        <v>1.4210854715202001E-14</v>
      </c>
      <c r="H24" s="47">
        <v>3.5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-1.0869444208507424E-322</v>
      </c>
      <c r="P24" s="48">
        <v>3.5</v>
      </c>
      <c r="Q24" s="70"/>
    </row>
    <row r="25" spans="1:17" ht="14.4" customHeight="1" x14ac:dyDescent="0.3">
      <c r="A25" s="17" t="s">
        <v>28</v>
      </c>
      <c r="B25" s="49">
        <v>1732.96179687734</v>
      </c>
      <c r="C25" s="50">
        <v>144.413483073111</v>
      </c>
      <c r="D25" s="50">
        <v>138.17044000000101</v>
      </c>
      <c r="E25" s="50">
        <v>132.45397</v>
      </c>
      <c r="F25" s="50">
        <v>132.43324999999999</v>
      </c>
      <c r="G25" s="50">
        <v>127.71167</v>
      </c>
      <c r="H25" s="50">
        <v>132.63646</v>
      </c>
      <c r="I25" s="50">
        <v>98.359870000000001</v>
      </c>
      <c r="J25" s="50">
        <v>163.11955</v>
      </c>
      <c r="K25" s="50">
        <v>87.584739999999996</v>
      </c>
      <c r="L25" s="50">
        <v>89.281360000000006</v>
      </c>
      <c r="M25" s="50">
        <v>110.18792000000001</v>
      </c>
      <c r="N25" s="50">
        <v>201.88238999999999</v>
      </c>
      <c r="O25" s="50">
        <v>4.9406564584124654E-324</v>
      </c>
      <c r="P25" s="51">
        <v>1413.8216199999999</v>
      </c>
      <c r="Q25" s="71">
        <v>0.89000857431500002</v>
      </c>
    </row>
    <row r="26" spans="1:17" ht="14.4" customHeight="1" x14ac:dyDescent="0.3">
      <c r="A26" s="15" t="s">
        <v>29</v>
      </c>
      <c r="B26" s="46">
        <v>367</v>
      </c>
      <c r="C26" s="47">
        <v>30.583333333333002</v>
      </c>
      <c r="D26" s="47">
        <v>25.082129999999999</v>
      </c>
      <c r="E26" s="47">
        <v>21.597270000000002</v>
      </c>
      <c r="F26" s="47">
        <v>24.206759999999999</v>
      </c>
      <c r="G26" s="47">
        <v>26.292110000000001</v>
      </c>
      <c r="H26" s="47">
        <v>26.571719999999999</v>
      </c>
      <c r="I26" s="47">
        <v>20.704689999999999</v>
      </c>
      <c r="J26" s="47">
        <v>44.966880000000003</v>
      </c>
      <c r="K26" s="47">
        <v>20.265709999999999</v>
      </c>
      <c r="L26" s="47">
        <v>20.347359999999998</v>
      </c>
      <c r="M26" s="47">
        <v>26.857610000000001</v>
      </c>
      <c r="N26" s="47">
        <v>32.573090000000001</v>
      </c>
      <c r="O26" s="47">
        <v>4.9406564584124654E-324</v>
      </c>
      <c r="P26" s="48">
        <v>289.46532999999999</v>
      </c>
      <c r="Q26" s="70">
        <v>0.86043694822799999</v>
      </c>
    </row>
    <row r="27" spans="1:17" ht="14.4" customHeight="1" x14ac:dyDescent="0.3">
      <c r="A27" s="18" t="s">
        <v>30</v>
      </c>
      <c r="B27" s="49">
        <v>2099.96179687734</v>
      </c>
      <c r="C27" s="50">
        <v>174.99681640644499</v>
      </c>
      <c r="D27" s="50">
        <v>163.25257000000099</v>
      </c>
      <c r="E27" s="50">
        <v>154.05124000000001</v>
      </c>
      <c r="F27" s="50">
        <v>156.64000999999999</v>
      </c>
      <c r="G27" s="50">
        <v>154.00378000000001</v>
      </c>
      <c r="H27" s="50">
        <v>159.20818</v>
      </c>
      <c r="I27" s="50">
        <v>119.06456</v>
      </c>
      <c r="J27" s="50">
        <v>208.08643000000001</v>
      </c>
      <c r="K27" s="50">
        <v>107.85045</v>
      </c>
      <c r="L27" s="50">
        <v>109.62872</v>
      </c>
      <c r="M27" s="50">
        <v>137.04553000000001</v>
      </c>
      <c r="N27" s="50">
        <v>234.45547999999999</v>
      </c>
      <c r="O27" s="50">
        <v>9.8813129168249309E-324</v>
      </c>
      <c r="P27" s="51">
        <v>1703.2869499999999</v>
      </c>
      <c r="Q27" s="71">
        <v>0.88484048659500003</v>
      </c>
    </row>
    <row r="28" spans="1:17" ht="14.4" customHeight="1" x14ac:dyDescent="0.3">
      <c r="A28" s="16" t="s">
        <v>31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1.358680526063428E-321</v>
      </c>
      <c r="Q28" s="70">
        <v>0</v>
      </c>
    </row>
    <row r="29" spans="1:17" ht="14.4" customHeight="1" x14ac:dyDescent="0.3">
      <c r="A29" s="16" t="s">
        <v>32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1.0869444208507424E-322</v>
      </c>
      <c r="Q29" s="70" t="s">
        <v>215</v>
      </c>
    </row>
    <row r="30" spans="1:17" ht="14.4" customHeight="1" x14ac:dyDescent="0.3">
      <c r="A30" s="16" t="s">
        <v>33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5.434722104253712E-322</v>
      </c>
      <c r="Q30" s="70">
        <v>0</v>
      </c>
    </row>
    <row r="31" spans="1:17" ht="14.4" customHeight="1" thickBot="1" x14ac:dyDescent="0.35">
      <c r="A31" s="19" t="s">
        <v>34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2.717361052126856E-322</v>
      </c>
      <c r="Q31" s="72" t="s">
        <v>215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110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134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35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72" t="s">
        <v>36</v>
      </c>
      <c r="B1" s="272"/>
      <c r="C1" s="272"/>
      <c r="D1" s="272"/>
      <c r="E1" s="272"/>
      <c r="F1" s="272"/>
      <c r="G1" s="272"/>
      <c r="H1" s="277"/>
      <c r="I1" s="277"/>
      <c r="J1" s="277"/>
      <c r="K1" s="277"/>
    </row>
    <row r="2" spans="1:11" s="55" customFormat="1" ht="14.4" customHeight="1" thickBot="1" x14ac:dyDescent="0.35">
      <c r="A2" s="192" t="s">
        <v>214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73" t="s">
        <v>37</v>
      </c>
      <c r="C3" s="274"/>
      <c r="D3" s="274"/>
      <c r="E3" s="274"/>
      <c r="F3" s="280" t="s">
        <v>38</v>
      </c>
      <c r="G3" s="274"/>
      <c r="H3" s="274"/>
      <c r="I3" s="274"/>
      <c r="J3" s="274"/>
      <c r="K3" s="281"/>
    </row>
    <row r="4" spans="1:11" ht="14.4" customHeight="1" x14ac:dyDescent="0.3">
      <c r="A4" s="60"/>
      <c r="B4" s="278"/>
      <c r="C4" s="279"/>
      <c r="D4" s="279"/>
      <c r="E4" s="279"/>
      <c r="F4" s="282" t="s">
        <v>130</v>
      </c>
      <c r="G4" s="284" t="s">
        <v>39</v>
      </c>
      <c r="H4" s="113" t="s">
        <v>102</v>
      </c>
      <c r="I4" s="282" t="s">
        <v>40</v>
      </c>
      <c r="J4" s="284" t="s">
        <v>132</v>
      </c>
      <c r="K4" s="285" t="s">
        <v>133</v>
      </c>
    </row>
    <row r="5" spans="1:11" ht="42" thickBot="1" x14ac:dyDescent="0.35">
      <c r="A5" s="61"/>
      <c r="B5" s="24" t="s">
        <v>126</v>
      </c>
      <c r="C5" s="25" t="s">
        <v>127</v>
      </c>
      <c r="D5" s="26" t="s">
        <v>128</v>
      </c>
      <c r="E5" s="26" t="s">
        <v>129</v>
      </c>
      <c r="F5" s="283"/>
      <c r="G5" s="283"/>
      <c r="H5" s="25" t="s">
        <v>131</v>
      </c>
      <c r="I5" s="283"/>
      <c r="J5" s="283"/>
      <c r="K5" s="286"/>
    </row>
    <row r="6" spans="1:11" ht="14.4" customHeight="1" thickBot="1" x14ac:dyDescent="0.35">
      <c r="A6" s="329" t="s">
        <v>217</v>
      </c>
      <c r="B6" s="311">
        <v>1481.6169860848699</v>
      </c>
      <c r="C6" s="311">
        <v>1683.43677</v>
      </c>
      <c r="D6" s="312">
        <v>201.81978391513499</v>
      </c>
      <c r="E6" s="313">
        <v>1.1362158950729999</v>
      </c>
      <c r="F6" s="311">
        <v>1732.96179687734</v>
      </c>
      <c r="G6" s="312">
        <v>1588.54831380423</v>
      </c>
      <c r="H6" s="314">
        <v>201.88238999999999</v>
      </c>
      <c r="I6" s="311">
        <v>1413.8216199999999</v>
      </c>
      <c r="J6" s="312">
        <v>-174.726693804224</v>
      </c>
      <c r="K6" s="315">
        <v>0.81584119312199999</v>
      </c>
    </row>
    <row r="7" spans="1:11" ht="14.4" customHeight="1" thickBot="1" x14ac:dyDescent="0.35">
      <c r="A7" s="330" t="s">
        <v>218</v>
      </c>
      <c r="B7" s="311">
        <v>1.6065062708640001</v>
      </c>
      <c r="C7" s="311">
        <v>1.0026600000000001</v>
      </c>
      <c r="D7" s="312">
        <v>-0.603846270864</v>
      </c>
      <c r="E7" s="313">
        <v>0.62412454789799998</v>
      </c>
      <c r="F7" s="311">
        <v>0.95855070338299997</v>
      </c>
      <c r="G7" s="312">
        <v>0.87867147810099999</v>
      </c>
      <c r="H7" s="314">
        <v>0.24668999999999999</v>
      </c>
      <c r="I7" s="311">
        <v>1.60684</v>
      </c>
      <c r="J7" s="312">
        <v>0.72816852189799997</v>
      </c>
      <c r="K7" s="315">
        <v>1.676322383707</v>
      </c>
    </row>
    <row r="8" spans="1:11" ht="14.4" customHeight="1" thickBot="1" x14ac:dyDescent="0.35">
      <c r="A8" s="331" t="s">
        <v>219</v>
      </c>
      <c r="B8" s="311">
        <v>1.6065062708640001</v>
      </c>
      <c r="C8" s="311">
        <v>1.0026600000000001</v>
      </c>
      <c r="D8" s="312">
        <v>-0.603846270864</v>
      </c>
      <c r="E8" s="313">
        <v>0.62412454789799998</v>
      </c>
      <c r="F8" s="311">
        <v>0.95855070338299997</v>
      </c>
      <c r="G8" s="312">
        <v>0.87867147810099999</v>
      </c>
      <c r="H8" s="314">
        <v>0.24668999999999999</v>
      </c>
      <c r="I8" s="311">
        <v>1.60684</v>
      </c>
      <c r="J8" s="312">
        <v>0.72816852189799997</v>
      </c>
      <c r="K8" s="315">
        <v>1.676322383707</v>
      </c>
    </row>
    <row r="9" spans="1:11" ht="14.4" customHeight="1" thickBot="1" x14ac:dyDescent="0.35">
      <c r="A9" s="332" t="s">
        <v>220</v>
      </c>
      <c r="B9" s="316">
        <v>1.4305906472650001</v>
      </c>
      <c r="C9" s="316">
        <v>0.30370999999999998</v>
      </c>
      <c r="D9" s="317">
        <v>-1.1268806472649999</v>
      </c>
      <c r="E9" s="318">
        <v>0.21229692825099999</v>
      </c>
      <c r="F9" s="316">
        <v>0.33331868456199998</v>
      </c>
      <c r="G9" s="317">
        <v>0.30554212751499998</v>
      </c>
      <c r="H9" s="319">
        <v>0.24668999999999999</v>
      </c>
      <c r="I9" s="316">
        <v>1.60684</v>
      </c>
      <c r="J9" s="317">
        <v>1.3012978724840001</v>
      </c>
      <c r="K9" s="320">
        <v>4.820731853391</v>
      </c>
    </row>
    <row r="10" spans="1:11" ht="14.4" customHeight="1" thickBot="1" x14ac:dyDescent="0.35">
      <c r="A10" s="333" t="s">
        <v>221</v>
      </c>
      <c r="B10" s="311">
        <v>0</v>
      </c>
      <c r="C10" s="311">
        <v>4.9406564584124654E-324</v>
      </c>
      <c r="D10" s="312">
        <v>4.9406564584124654E-324</v>
      </c>
      <c r="E10" s="321" t="s">
        <v>215</v>
      </c>
      <c r="F10" s="311">
        <v>4.9406564584124654E-324</v>
      </c>
      <c r="G10" s="312">
        <v>0</v>
      </c>
      <c r="H10" s="314">
        <v>4.9406564584124654E-324</v>
      </c>
      <c r="I10" s="311">
        <v>0.18</v>
      </c>
      <c r="J10" s="312">
        <v>0.18</v>
      </c>
      <c r="K10" s="322" t="s">
        <v>222</v>
      </c>
    </row>
    <row r="11" spans="1:11" ht="14.4" customHeight="1" thickBot="1" x14ac:dyDescent="0.35">
      <c r="A11" s="333" t="s">
        <v>223</v>
      </c>
      <c r="B11" s="311">
        <v>0.87617985651100005</v>
      </c>
      <c r="C11" s="311">
        <v>0.30370999999999998</v>
      </c>
      <c r="D11" s="312">
        <v>-0.57246985651100002</v>
      </c>
      <c r="E11" s="313">
        <v>0.34662974472899999</v>
      </c>
      <c r="F11" s="311">
        <v>0.33331868456199998</v>
      </c>
      <c r="G11" s="312">
        <v>0.30554212751499998</v>
      </c>
      <c r="H11" s="314">
        <v>0.24668999999999999</v>
      </c>
      <c r="I11" s="311">
        <v>0.34644000000000003</v>
      </c>
      <c r="J11" s="312">
        <v>4.0897872484000002E-2</v>
      </c>
      <c r="K11" s="315">
        <v>1.039365676289</v>
      </c>
    </row>
    <row r="12" spans="1:11" ht="14.4" customHeight="1" thickBot="1" x14ac:dyDescent="0.35">
      <c r="A12" s="333" t="s">
        <v>224</v>
      </c>
      <c r="B12" s="311">
        <v>0.55441079075300004</v>
      </c>
      <c r="C12" s="311">
        <v>4.9406564584124654E-324</v>
      </c>
      <c r="D12" s="312">
        <v>-0.55441079075300004</v>
      </c>
      <c r="E12" s="313">
        <v>9.8813129168249309E-324</v>
      </c>
      <c r="F12" s="311">
        <v>0</v>
      </c>
      <c r="G12" s="312">
        <v>0</v>
      </c>
      <c r="H12" s="314">
        <v>4.9406564584124654E-324</v>
      </c>
      <c r="I12" s="311">
        <v>0.99839999999999995</v>
      </c>
      <c r="J12" s="312">
        <v>0.99839999999999995</v>
      </c>
      <c r="K12" s="322" t="s">
        <v>215</v>
      </c>
    </row>
    <row r="13" spans="1:11" ht="14.4" customHeight="1" thickBot="1" x14ac:dyDescent="0.35">
      <c r="A13" s="333" t="s">
        <v>225</v>
      </c>
      <c r="B13" s="311">
        <v>4.9406564584124654E-324</v>
      </c>
      <c r="C13" s="311">
        <v>4.9406564584124654E-324</v>
      </c>
      <c r="D13" s="312">
        <v>0</v>
      </c>
      <c r="E13" s="313">
        <v>1</v>
      </c>
      <c r="F13" s="311">
        <v>4.9406564584124654E-324</v>
      </c>
      <c r="G13" s="312">
        <v>0</v>
      </c>
      <c r="H13" s="314">
        <v>4.9406564584124654E-324</v>
      </c>
      <c r="I13" s="311">
        <v>8.2000000000000003E-2</v>
      </c>
      <c r="J13" s="312">
        <v>8.2000000000000003E-2</v>
      </c>
      <c r="K13" s="322" t="s">
        <v>222</v>
      </c>
    </row>
    <row r="14" spans="1:11" ht="14.4" customHeight="1" thickBot="1" x14ac:dyDescent="0.35">
      <c r="A14" s="332" t="s">
        <v>226</v>
      </c>
      <c r="B14" s="316">
        <v>0</v>
      </c>
      <c r="C14" s="316">
        <v>0.69894999999999996</v>
      </c>
      <c r="D14" s="317">
        <v>0.69894999999999996</v>
      </c>
      <c r="E14" s="323" t="s">
        <v>215</v>
      </c>
      <c r="F14" s="316">
        <v>0.62523201882000001</v>
      </c>
      <c r="G14" s="317">
        <v>0.57312935058500003</v>
      </c>
      <c r="H14" s="319">
        <v>4.9406564584124654E-324</v>
      </c>
      <c r="I14" s="316">
        <v>5.434722104253712E-323</v>
      </c>
      <c r="J14" s="317">
        <v>-0.57312935058500003</v>
      </c>
      <c r="K14" s="320">
        <v>8.8931816251424378E-323</v>
      </c>
    </row>
    <row r="15" spans="1:11" ht="14.4" customHeight="1" thickBot="1" x14ac:dyDescent="0.35">
      <c r="A15" s="333" t="s">
        <v>227</v>
      </c>
      <c r="B15" s="311">
        <v>0</v>
      </c>
      <c r="C15" s="311">
        <v>0.69894999999999996</v>
      </c>
      <c r="D15" s="312">
        <v>0.69894999999999996</v>
      </c>
      <c r="E15" s="321" t="s">
        <v>215</v>
      </c>
      <c r="F15" s="311">
        <v>0.62523201882000001</v>
      </c>
      <c r="G15" s="312">
        <v>0.57312935058500003</v>
      </c>
      <c r="H15" s="314">
        <v>4.9406564584124654E-324</v>
      </c>
      <c r="I15" s="311">
        <v>5.434722104253712E-323</v>
      </c>
      <c r="J15" s="312">
        <v>-0.57312935058500003</v>
      </c>
      <c r="K15" s="315">
        <v>8.8931816251424378E-323</v>
      </c>
    </row>
    <row r="16" spans="1:11" ht="14.4" customHeight="1" thickBot="1" x14ac:dyDescent="0.35">
      <c r="A16" s="334" t="s">
        <v>228</v>
      </c>
      <c r="B16" s="316">
        <v>3.0108797603770001</v>
      </c>
      <c r="C16" s="316">
        <v>-5.7299999999999999E-3</v>
      </c>
      <c r="D16" s="317">
        <v>-3.0166097603769999</v>
      </c>
      <c r="E16" s="318">
        <v>-1.9030982490000001E-3</v>
      </c>
      <c r="F16" s="316">
        <v>-5.3815686699999997E-3</v>
      </c>
      <c r="G16" s="317">
        <v>-4.9331046139999999E-3</v>
      </c>
      <c r="H16" s="319">
        <v>4.9406564584124654E-324</v>
      </c>
      <c r="I16" s="316">
        <v>6.1199999999999996E-3</v>
      </c>
      <c r="J16" s="317">
        <v>1.1053104614E-2</v>
      </c>
      <c r="K16" s="320">
        <v>-1.137214885581</v>
      </c>
    </row>
    <row r="17" spans="1:11" ht="14.4" customHeight="1" thickBot="1" x14ac:dyDescent="0.35">
      <c r="A17" s="331" t="s">
        <v>22</v>
      </c>
      <c r="B17" s="311">
        <v>1.0110272795490001</v>
      </c>
      <c r="C17" s="311">
        <v>-5.7299999999999999E-3</v>
      </c>
      <c r="D17" s="312">
        <v>-1.0167572795490001</v>
      </c>
      <c r="E17" s="313">
        <v>-5.6675028610000001E-3</v>
      </c>
      <c r="F17" s="311">
        <v>-5.3815686699999997E-3</v>
      </c>
      <c r="G17" s="312">
        <v>-4.9331046139999999E-3</v>
      </c>
      <c r="H17" s="314">
        <v>4.9406564584124654E-324</v>
      </c>
      <c r="I17" s="311">
        <v>6.1199999999999996E-3</v>
      </c>
      <c r="J17" s="312">
        <v>1.1053104614E-2</v>
      </c>
      <c r="K17" s="315">
        <v>-1.137214885581</v>
      </c>
    </row>
    <row r="18" spans="1:11" ht="14.4" customHeight="1" thickBot="1" x14ac:dyDescent="0.35">
      <c r="A18" s="332" t="s">
        <v>229</v>
      </c>
      <c r="B18" s="316">
        <v>1.0110272795490001</v>
      </c>
      <c r="C18" s="316">
        <v>-5.7299999999999999E-3</v>
      </c>
      <c r="D18" s="317">
        <v>-1.0167572795490001</v>
      </c>
      <c r="E18" s="318">
        <v>-5.6675028610000001E-3</v>
      </c>
      <c r="F18" s="316">
        <v>-5.3815686699999997E-3</v>
      </c>
      <c r="G18" s="317">
        <v>-4.9331046139999999E-3</v>
      </c>
      <c r="H18" s="319">
        <v>4.9406564584124654E-324</v>
      </c>
      <c r="I18" s="316">
        <v>6.1199999999999996E-3</v>
      </c>
      <c r="J18" s="317">
        <v>1.1053104614E-2</v>
      </c>
      <c r="K18" s="320">
        <v>-1.137214885581</v>
      </c>
    </row>
    <row r="19" spans="1:11" ht="14.4" customHeight="1" thickBot="1" x14ac:dyDescent="0.35">
      <c r="A19" s="333" t="s">
        <v>230</v>
      </c>
      <c r="B19" s="311">
        <v>1.000057746467</v>
      </c>
      <c r="C19" s="311">
        <v>-5.7299999999999999E-3</v>
      </c>
      <c r="D19" s="312">
        <v>-1.005787746467</v>
      </c>
      <c r="E19" s="313">
        <v>-5.7296691309999996E-3</v>
      </c>
      <c r="F19" s="311">
        <v>-5.3815686699999997E-3</v>
      </c>
      <c r="G19" s="312">
        <v>-4.9331046139999999E-3</v>
      </c>
      <c r="H19" s="314">
        <v>4.9406564584124654E-324</v>
      </c>
      <c r="I19" s="311">
        <v>6.1199999999999996E-3</v>
      </c>
      <c r="J19" s="312">
        <v>1.1053104614E-2</v>
      </c>
      <c r="K19" s="315">
        <v>-1.137214885581</v>
      </c>
    </row>
    <row r="20" spans="1:11" ht="14.4" customHeight="1" thickBot="1" x14ac:dyDescent="0.35">
      <c r="A20" s="330" t="s">
        <v>23</v>
      </c>
      <c r="B20" s="311">
        <v>1476.99960005362</v>
      </c>
      <c r="C20" s="311">
        <v>1672.0398399999999</v>
      </c>
      <c r="D20" s="312">
        <v>195.040239946377</v>
      </c>
      <c r="E20" s="313">
        <v>1.1320516538650001</v>
      </c>
      <c r="F20" s="311">
        <v>1732.0086277426201</v>
      </c>
      <c r="G20" s="312">
        <v>1587.6745754307401</v>
      </c>
      <c r="H20" s="314">
        <v>201.63570000000001</v>
      </c>
      <c r="I20" s="311">
        <v>1408.70866</v>
      </c>
      <c r="J20" s="312">
        <v>-178.965915430737</v>
      </c>
      <c r="K20" s="315">
        <v>0.81333813090499996</v>
      </c>
    </row>
    <row r="21" spans="1:11" ht="14.4" customHeight="1" thickBot="1" x14ac:dyDescent="0.35">
      <c r="A21" s="335" t="s">
        <v>231</v>
      </c>
      <c r="B21" s="316">
        <v>1093.99999999994</v>
      </c>
      <c r="C21" s="316">
        <v>1243.4670000000001</v>
      </c>
      <c r="D21" s="317">
        <v>149.46700000006001</v>
      </c>
      <c r="E21" s="318">
        <v>1.1366243144420001</v>
      </c>
      <c r="F21" s="316">
        <v>1282.99999999998</v>
      </c>
      <c r="G21" s="317">
        <v>1176.0833333333101</v>
      </c>
      <c r="H21" s="319">
        <v>149.82300000000001</v>
      </c>
      <c r="I21" s="316">
        <v>1050.6300000000001</v>
      </c>
      <c r="J21" s="317">
        <v>-125.453333333312</v>
      </c>
      <c r="K21" s="320">
        <v>0.81888542478500004</v>
      </c>
    </row>
    <row r="22" spans="1:11" ht="14.4" customHeight="1" thickBot="1" x14ac:dyDescent="0.35">
      <c r="A22" s="332" t="s">
        <v>232</v>
      </c>
      <c r="B22" s="316">
        <v>1093.99999999994</v>
      </c>
      <c r="C22" s="316">
        <v>1242.8109999999999</v>
      </c>
      <c r="D22" s="317">
        <v>148.81100000006001</v>
      </c>
      <c r="E22" s="318">
        <v>1.1360246800730001</v>
      </c>
      <c r="F22" s="316">
        <v>1277.99999999998</v>
      </c>
      <c r="G22" s="317">
        <v>1171.49999999998</v>
      </c>
      <c r="H22" s="319">
        <v>149.82300000000001</v>
      </c>
      <c r="I22" s="316">
        <v>1050.6300000000001</v>
      </c>
      <c r="J22" s="317">
        <v>-120.86999999997801</v>
      </c>
      <c r="K22" s="320">
        <v>0.82208920187699996</v>
      </c>
    </row>
    <row r="23" spans="1:11" ht="14.4" customHeight="1" thickBot="1" x14ac:dyDescent="0.35">
      <c r="A23" s="333" t="s">
        <v>233</v>
      </c>
      <c r="B23" s="311">
        <v>1093.99999999994</v>
      </c>
      <c r="C23" s="311">
        <v>1242.8109999999999</v>
      </c>
      <c r="D23" s="312">
        <v>148.81100000006001</v>
      </c>
      <c r="E23" s="313">
        <v>1.1360246800730001</v>
      </c>
      <c r="F23" s="311">
        <v>1277.99999999998</v>
      </c>
      <c r="G23" s="312">
        <v>1171.49999999998</v>
      </c>
      <c r="H23" s="314">
        <v>149.82300000000001</v>
      </c>
      <c r="I23" s="311">
        <v>1050.6300000000001</v>
      </c>
      <c r="J23" s="312">
        <v>-120.86999999997801</v>
      </c>
      <c r="K23" s="315">
        <v>0.82208920187699996</v>
      </c>
    </row>
    <row r="24" spans="1:11" ht="14.4" customHeight="1" thickBot="1" x14ac:dyDescent="0.35">
      <c r="A24" s="332" t="s">
        <v>234</v>
      </c>
      <c r="B24" s="316">
        <v>0</v>
      </c>
      <c r="C24" s="316">
        <v>0.65600000000000003</v>
      </c>
      <c r="D24" s="317">
        <v>0.65600000000000003</v>
      </c>
      <c r="E24" s="323" t="s">
        <v>215</v>
      </c>
      <c r="F24" s="316">
        <v>4.9999999999989999</v>
      </c>
      <c r="G24" s="317">
        <v>4.583333333333</v>
      </c>
      <c r="H24" s="319">
        <v>4.9406564584124654E-324</v>
      </c>
      <c r="I24" s="316">
        <v>5.434722104253712E-323</v>
      </c>
      <c r="J24" s="317">
        <v>-4.583333333333</v>
      </c>
      <c r="K24" s="320">
        <v>9.8813129168249309E-324</v>
      </c>
    </row>
    <row r="25" spans="1:11" ht="14.4" customHeight="1" thickBot="1" x14ac:dyDescent="0.35">
      <c r="A25" s="333" t="s">
        <v>235</v>
      </c>
      <c r="B25" s="311">
        <v>0</v>
      </c>
      <c r="C25" s="311">
        <v>0.65600000000000003</v>
      </c>
      <c r="D25" s="312">
        <v>0.65600000000000003</v>
      </c>
      <c r="E25" s="321" t="s">
        <v>215</v>
      </c>
      <c r="F25" s="311">
        <v>4.9999999999989999</v>
      </c>
      <c r="G25" s="312">
        <v>4.583333333333</v>
      </c>
      <c r="H25" s="314">
        <v>4.9406564584124654E-324</v>
      </c>
      <c r="I25" s="311">
        <v>5.434722104253712E-323</v>
      </c>
      <c r="J25" s="312">
        <v>-4.583333333333</v>
      </c>
      <c r="K25" s="315">
        <v>9.8813129168249309E-324</v>
      </c>
    </row>
    <row r="26" spans="1:11" ht="14.4" customHeight="1" thickBot="1" x14ac:dyDescent="0.35">
      <c r="A26" s="331" t="s">
        <v>236</v>
      </c>
      <c r="B26" s="311">
        <v>371.99960005368399</v>
      </c>
      <c r="C26" s="311">
        <v>416.13866000000002</v>
      </c>
      <c r="D26" s="312">
        <v>44.139059946316003</v>
      </c>
      <c r="E26" s="313">
        <v>1.118653514519</v>
      </c>
      <c r="F26" s="311">
        <v>436.00862774264698</v>
      </c>
      <c r="G26" s="312">
        <v>399.67457543076</v>
      </c>
      <c r="H26" s="314">
        <v>50.314749999999997</v>
      </c>
      <c r="I26" s="311">
        <v>347.56900000000002</v>
      </c>
      <c r="J26" s="312">
        <v>-52.105575430759004</v>
      </c>
      <c r="K26" s="315">
        <v>0.79716083096599999</v>
      </c>
    </row>
    <row r="27" spans="1:11" ht="14.4" customHeight="1" thickBot="1" x14ac:dyDescent="0.35">
      <c r="A27" s="332" t="s">
        <v>237</v>
      </c>
      <c r="B27" s="316">
        <v>97.999999245702</v>
      </c>
      <c r="C27" s="316">
        <v>111.85191</v>
      </c>
      <c r="D27" s="317">
        <v>13.851910754297</v>
      </c>
      <c r="E27" s="318">
        <v>1.141346029193</v>
      </c>
      <c r="F27" s="316">
        <v>116.008627742653</v>
      </c>
      <c r="G27" s="317">
        <v>106.341242097432</v>
      </c>
      <c r="H27" s="319">
        <v>13.483000000000001</v>
      </c>
      <c r="I27" s="316">
        <v>94.55</v>
      </c>
      <c r="J27" s="317">
        <v>-11.791242097432001</v>
      </c>
      <c r="K27" s="320">
        <v>0.81502558766300004</v>
      </c>
    </row>
    <row r="28" spans="1:11" ht="14.4" customHeight="1" thickBot="1" x14ac:dyDescent="0.35">
      <c r="A28" s="333" t="s">
        <v>238</v>
      </c>
      <c r="B28" s="311">
        <v>97.999999245702</v>
      </c>
      <c r="C28" s="311">
        <v>111.85191</v>
      </c>
      <c r="D28" s="312">
        <v>13.851910754297</v>
      </c>
      <c r="E28" s="313">
        <v>1.141346029193</v>
      </c>
      <c r="F28" s="311">
        <v>116.008627742653</v>
      </c>
      <c r="G28" s="312">
        <v>106.341242097432</v>
      </c>
      <c r="H28" s="314">
        <v>13.483000000000001</v>
      </c>
      <c r="I28" s="311">
        <v>94.55</v>
      </c>
      <c r="J28" s="312">
        <v>-11.791242097432001</v>
      </c>
      <c r="K28" s="315">
        <v>0.81502558766300004</v>
      </c>
    </row>
    <row r="29" spans="1:11" ht="14.4" customHeight="1" thickBot="1" x14ac:dyDescent="0.35">
      <c r="A29" s="332" t="s">
        <v>239</v>
      </c>
      <c r="B29" s="316">
        <v>273.99960080798201</v>
      </c>
      <c r="C29" s="316">
        <v>304.28674999999998</v>
      </c>
      <c r="D29" s="317">
        <v>30.287149192017999</v>
      </c>
      <c r="E29" s="318">
        <v>1.1105372018890001</v>
      </c>
      <c r="F29" s="316">
        <v>319.99999999999301</v>
      </c>
      <c r="G29" s="317">
        <v>293.333333333327</v>
      </c>
      <c r="H29" s="319">
        <v>36.83175</v>
      </c>
      <c r="I29" s="316">
        <v>253.01900000000001</v>
      </c>
      <c r="J29" s="317">
        <v>-40.314333333326999</v>
      </c>
      <c r="K29" s="320">
        <v>0.79068437499999999</v>
      </c>
    </row>
    <row r="30" spans="1:11" ht="14.4" customHeight="1" thickBot="1" x14ac:dyDescent="0.35">
      <c r="A30" s="333" t="s">
        <v>240</v>
      </c>
      <c r="B30" s="311">
        <v>273.99960080798201</v>
      </c>
      <c r="C30" s="311">
        <v>304.28674999999998</v>
      </c>
      <c r="D30" s="312">
        <v>30.287149192017999</v>
      </c>
      <c r="E30" s="313">
        <v>1.1105372018890001</v>
      </c>
      <c r="F30" s="311">
        <v>319.99999999999301</v>
      </c>
      <c r="G30" s="312">
        <v>293.333333333327</v>
      </c>
      <c r="H30" s="314">
        <v>36.83175</v>
      </c>
      <c r="I30" s="311">
        <v>253.01900000000001</v>
      </c>
      <c r="J30" s="312">
        <v>-40.314333333326999</v>
      </c>
      <c r="K30" s="315">
        <v>0.79068437499999999</v>
      </c>
    </row>
    <row r="31" spans="1:11" ht="14.4" customHeight="1" thickBot="1" x14ac:dyDescent="0.35">
      <c r="A31" s="331" t="s">
        <v>241</v>
      </c>
      <c r="B31" s="311">
        <v>10.999999999999</v>
      </c>
      <c r="C31" s="311">
        <v>12.43418</v>
      </c>
      <c r="D31" s="312">
        <v>1.43418</v>
      </c>
      <c r="E31" s="313">
        <v>1.1303799999999999</v>
      </c>
      <c r="F31" s="311">
        <v>12.999999999999</v>
      </c>
      <c r="G31" s="312">
        <v>11.916666666666</v>
      </c>
      <c r="H31" s="314">
        <v>1.4979499999999999</v>
      </c>
      <c r="I31" s="311">
        <v>10.50966</v>
      </c>
      <c r="J31" s="312">
        <v>-1.4070066666659999</v>
      </c>
      <c r="K31" s="315">
        <v>0.80843538461499997</v>
      </c>
    </row>
    <row r="32" spans="1:11" ht="14.4" customHeight="1" thickBot="1" x14ac:dyDescent="0.35">
      <c r="A32" s="332" t="s">
        <v>242</v>
      </c>
      <c r="B32" s="316">
        <v>10.999999999999</v>
      </c>
      <c r="C32" s="316">
        <v>12.43418</v>
      </c>
      <c r="D32" s="317">
        <v>1.43418</v>
      </c>
      <c r="E32" s="318">
        <v>1.1303799999999999</v>
      </c>
      <c r="F32" s="316">
        <v>12.999999999999</v>
      </c>
      <c r="G32" s="317">
        <v>11.916666666666</v>
      </c>
      <c r="H32" s="319">
        <v>1.4979499999999999</v>
      </c>
      <c r="I32" s="316">
        <v>10.50966</v>
      </c>
      <c r="J32" s="317">
        <v>-1.4070066666659999</v>
      </c>
      <c r="K32" s="320">
        <v>0.80843538461499997</v>
      </c>
    </row>
    <row r="33" spans="1:11" ht="14.4" customHeight="1" thickBot="1" x14ac:dyDescent="0.35">
      <c r="A33" s="333" t="s">
        <v>243</v>
      </c>
      <c r="B33" s="311">
        <v>10.999999999999</v>
      </c>
      <c r="C33" s="311">
        <v>12.43418</v>
      </c>
      <c r="D33" s="312">
        <v>1.43418</v>
      </c>
      <c r="E33" s="313">
        <v>1.1303799999999999</v>
      </c>
      <c r="F33" s="311">
        <v>12.999999999999</v>
      </c>
      <c r="G33" s="312">
        <v>11.916666666666</v>
      </c>
      <c r="H33" s="314">
        <v>1.4979499999999999</v>
      </c>
      <c r="I33" s="311">
        <v>10.50966</v>
      </c>
      <c r="J33" s="312">
        <v>-1.4070066666659999</v>
      </c>
      <c r="K33" s="315">
        <v>0.80843538461499997</v>
      </c>
    </row>
    <row r="34" spans="1:11" ht="14.4" customHeight="1" thickBot="1" x14ac:dyDescent="0.35">
      <c r="A34" s="330" t="s">
        <v>244</v>
      </c>
      <c r="B34" s="311">
        <v>0</v>
      </c>
      <c r="C34" s="311">
        <v>10.4</v>
      </c>
      <c r="D34" s="312">
        <v>10.4</v>
      </c>
      <c r="E34" s="321" t="s">
        <v>215</v>
      </c>
      <c r="F34" s="311">
        <v>0</v>
      </c>
      <c r="G34" s="312">
        <v>0</v>
      </c>
      <c r="H34" s="314">
        <v>4.9406564584124654E-324</v>
      </c>
      <c r="I34" s="311">
        <v>3.5</v>
      </c>
      <c r="J34" s="312">
        <v>3.5</v>
      </c>
      <c r="K34" s="322" t="s">
        <v>215</v>
      </c>
    </row>
    <row r="35" spans="1:11" ht="14.4" customHeight="1" thickBot="1" x14ac:dyDescent="0.35">
      <c r="A35" s="331" t="s">
        <v>245</v>
      </c>
      <c r="B35" s="311">
        <v>0</v>
      </c>
      <c r="C35" s="311">
        <v>10.4</v>
      </c>
      <c r="D35" s="312">
        <v>10.4</v>
      </c>
      <c r="E35" s="321" t="s">
        <v>215</v>
      </c>
      <c r="F35" s="311">
        <v>0</v>
      </c>
      <c r="G35" s="312">
        <v>0</v>
      </c>
      <c r="H35" s="314">
        <v>4.9406564584124654E-324</v>
      </c>
      <c r="I35" s="311">
        <v>3.5</v>
      </c>
      <c r="J35" s="312">
        <v>3.5</v>
      </c>
      <c r="K35" s="322" t="s">
        <v>215</v>
      </c>
    </row>
    <row r="36" spans="1:11" ht="14.4" customHeight="1" thickBot="1" x14ac:dyDescent="0.35">
      <c r="A36" s="332" t="s">
        <v>246</v>
      </c>
      <c r="B36" s="316">
        <v>0</v>
      </c>
      <c r="C36" s="316">
        <v>10.4</v>
      </c>
      <c r="D36" s="317">
        <v>10.4</v>
      </c>
      <c r="E36" s="323" t="s">
        <v>215</v>
      </c>
      <c r="F36" s="316">
        <v>0</v>
      </c>
      <c r="G36" s="317">
        <v>0</v>
      </c>
      <c r="H36" s="319">
        <v>4.9406564584124654E-324</v>
      </c>
      <c r="I36" s="316">
        <v>3.5</v>
      </c>
      <c r="J36" s="317">
        <v>3.5</v>
      </c>
      <c r="K36" s="324" t="s">
        <v>215</v>
      </c>
    </row>
    <row r="37" spans="1:11" ht="14.4" customHeight="1" thickBot="1" x14ac:dyDescent="0.35">
      <c r="A37" s="333" t="s">
        <v>247</v>
      </c>
      <c r="B37" s="311">
        <v>0</v>
      </c>
      <c r="C37" s="311">
        <v>8.5</v>
      </c>
      <c r="D37" s="312">
        <v>8.5</v>
      </c>
      <c r="E37" s="321" t="s">
        <v>215</v>
      </c>
      <c r="F37" s="311">
        <v>0</v>
      </c>
      <c r="G37" s="312">
        <v>0</v>
      </c>
      <c r="H37" s="314">
        <v>4.9406564584124654E-324</v>
      </c>
      <c r="I37" s="311">
        <v>3.5</v>
      </c>
      <c r="J37" s="312">
        <v>3.5</v>
      </c>
      <c r="K37" s="322" t="s">
        <v>215</v>
      </c>
    </row>
    <row r="38" spans="1:11" ht="14.4" customHeight="1" thickBot="1" x14ac:dyDescent="0.35">
      <c r="A38" s="333" t="s">
        <v>248</v>
      </c>
      <c r="B38" s="311">
        <v>4.9406564584124654E-324</v>
      </c>
      <c r="C38" s="311">
        <v>1.9</v>
      </c>
      <c r="D38" s="312">
        <v>1.9</v>
      </c>
      <c r="E38" s="321" t="s">
        <v>222</v>
      </c>
      <c r="F38" s="311">
        <v>0</v>
      </c>
      <c r="G38" s="312">
        <v>0</v>
      </c>
      <c r="H38" s="314">
        <v>4.9406564584124654E-324</v>
      </c>
      <c r="I38" s="311">
        <v>5.434722104253712E-323</v>
      </c>
      <c r="J38" s="312">
        <v>5.434722104253712E-323</v>
      </c>
      <c r="K38" s="322" t="s">
        <v>215</v>
      </c>
    </row>
    <row r="39" spans="1:11" ht="14.4" customHeight="1" thickBot="1" x14ac:dyDescent="0.35">
      <c r="A39" s="329" t="s">
        <v>249</v>
      </c>
      <c r="B39" s="311">
        <v>63.057483413965002</v>
      </c>
      <c r="C39" s="311">
        <v>96.76464</v>
      </c>
      <c r="D39" s="312">
        <v>33.707156586034003</v>
      </c>
      <c r="E39" s="313">
        <v>1.534546492519</v>
      </c>
      <c r="F39" s="311">
        <v>66.057504682323</v>
      </c>
      <c r="G39" s="312">
        <v>60.552712625463002</v>
      </c>
      <c r="H39" s="314">
        <v>5.9488599999999998</v>
      </c>
      <c r="I39" s="311">
        <v>41.126809999999999</v>
      </c>
      <c r="J39" s="312">
        <v>-19.425902625462999</v>
      </c>
      <c r="K39" s="315">
        <v>0.62259103182499997</v>
      </c>
    </row>
    <row r="40" spans="1:11" ht="14.4" customHeight="1" thickBot="1" x14ac:dyDescent="0.35">
      <c r="A40" s="330" t="s">
        <v>250</v>
      </c>
      <c r="B40" s="311">
        <v>57.999999808725001</v>
      </c>
      <c r="C40" s="311">
        <v>47.201149999999998</v>
      </c>
      <c r="D40" s="312">
        <v>-10.798849808725</v>
      </c>
      <c r="E40" s="313">
        <v>0.81381293371800001</v>
      </c>
      <c r="F40" s="311">
        <v>63</v>
      </c>
      <c r="G40" s="312">
        <v>57.75</v>
      </c>
      <c r="H40" s="314">
        <v>5.9488599999999998</v>
      </c>
      <c r="I40" s="311">
        <v>41.126809999999999</v>
      </c>
      <c r="J40" s="312">
        <v>-16.623190000000001</v>
      </c>
      <c r="K40" s="315">
        <v>0.65280650793600004</v>
      </c>
    </row>
    <row r="41" spans="1:11" ht="14.4" customHeight="1" thickBot="1" x14ac:dyDescent="0.35">
      <c r="A41" s="331" t="s">
        <v>251</v>
      </c>
      <c r="B41" s="311">
        <v>57.999999808725001</v>
      </c>
      <c r="C41" s="311">
        <v>47.201149999999998</v>
      </c>
      <c r="D41" s="312">
        <v>-10.798849808725</v>
      </c>
      <c r="E41" s="313">
        <v>0.81381293371800001</v>
      </c>
      <c r="F41" s="311">
        <v>63</v>
      </c>
      <c r="G41" s="312">
        <v>57.75</v>
      </c>
      <c r="H41" s="314">
        <v>5.9488599999999998</v>
      </c>
      <c r="I41" s="311">
        <v>41.126809999999999</v>
      </c>
      <c r="J41" s="312">
        <v>-16.623190000000001</v>
      </c>
      <c r="K41" s="315">
        <v>0.65280650793600004</v>
      </c>
    </row>
    <row r="42" spans="1:11" ht="14.4" customHeight="1" thickBot="1" x14ac:dyDescent="0.35">
      <c r="A42" s="332" t="s">
        <v>252</v>
      </c>
      <c r="B42" s="316">
        <v>4.9406564584124654E-324</v>
      </c>
      <c r="C42" s="316">
        <v>-1.6900000000000001E-3</v>
      </c>
      <c r="D42" s="317">
        <v>-1.6900000000000001E-3</v>
      </c>
      <c r="E42" s="323" t="s">
        <v>222</v>
      </c>
      <c r="F42" s="316">
        <v>0</v>
      </c>
      <c r="G42" s="317">
        <v>0</v>
      </c>
      <c r="H42" s="319">
        <v>4.9406564584124654E-324</v>
      </c>
      <c r="I42" s="316">
        <v>5.434722104253712E-323</v>
      </c>
      <c r="J42" s="317">
        <v>5.434722104253712E-323</v>
      </c>
      <c r="K42" s="324" t="s">
        <v>215</v>
      </c>
    </row>
    <row r="43" spans="1:11" ht="14.4" customHeight="1" thickBot="1" x14ac:dyDescent="0.35">
      <c r="A43" s="333" t="s">
        <v>253</v>
      </c>
      <c r="B43" s="311">
        <v>4.9406564584124654E-324</v>
      </c>
      <c r="C43" s="311">
        <v>-1.6900000000000001E-3</v>
      </c>
      <c r="D43" s="312">
        <v>-1.6900000000000001E-3</v>
      </c>
      <c r="E43" s="321" t="s">
        <v>222</v>
      </c>
      <c r="F43" s="311">
        <v>0</v>
      </c>
      <c r="G43" s="312">
        <v>0</v>
      </c>
      <c r="H43" s="314">
        <v>4.9406564584124654E-324</v>
      </c>
      <c r="I43" s="311">
        <v>5.434722104253712E-323</v>
      </c>
      <c r="J43" s="312">
        <v>5.434722104253712E-323</v>
      </c>
      <c r="K43" s="322" t="s">
        <v>215</v>
      </c>
    </row>
    <row r="44" spans="1:11" ht="14.4" customHeight="1" thickBot="1" x14ac:dyDescent="0.35">
      <c r="A44" s="332" t="s">
        <v>254</v>
      </c>
      <c r="B44" s="316">
        <v>57.999999808725001</v>
      </c>
      <c r="C44" s="316">
        <v>44.004939999999998</v>
      </c>
      <c r="D44" s="317">
        <v>-13.995059808724999</v>
      </c>
      <c r="E44" s="318">
        <v>0.75870586457099998</v>
      </c>
      <c r="F44" s="316">
        <v>63</v>
      </c>
      <c r="G44" s="317">
        <v>57.75</v>
      </c>
      <c r="H44" s="319">
        <v>4.9945199999999996</v>
      </c>
      <c r="I44" s="316">
        <v>37.056420000000003</v>
      </c>
      <c r="J44" s="317">
        <v>-20.693580000000001</v>
      </c>
      <c r="K44" s="320">
        <v>0.58819714285699998</v>
      </c>
    </row>
    <row r="45" spans="1:11" ht="14.4" customHeight="1" thickBot="1" x14ac:dyDescent="0.35">
      <c r="A45" s="333" t="s">
        <v>255</v>
      </c>
      <c r="B45" s="311">
        <v>30.999999906542001</v>
      </c>
      <c r="C45" s="311">
        <v>20.798459999999999</v>
      </c>
      <c r="D45" s="312">
        <v>-10.201539906541999</v>
      </c>
      <c r="E45" s="313">
        <v>0.67091806653800001</v>
      </c>
      <c r="F45" s="311">
        <v>31</v>
      </c>
      <c r="G45" s="312">
        <v>28.416666666666</v>
      </c>
      <c r="H45" s="314">
        <v>2.7113299999999998</v>
      </c>
      <c r="I45" s="311">
        <v>17.92381</v>
      </c>
      <c r="J45" s="312">
        <v>-10.492856666666</v>
      </c>
      <c r="K45" s="315">
        <v>0.57818741935399998</v>
      </c>
    </row>
    <row r="46" spans="1:11" ht="14.4" customHeight="1" thickBot="1" x14ac:dyDescent="0.35">
      <c r="A46" s="333" t="s">
        <v>256</v>
      </c>
      <c r="B46" s="311">
        <v>26.999999902182001</v>
      </c>
      <c r="C46" s="311">
        <v>23.206479999999999</v>
      </c>
      <c r="D46" s="312">
        <v>-3.7935199021820001</v>
      </c>
      <c r="E46" s="313">
        <v>0.85949926237300001</v>
      </c>
      <c r="F46" s="311">
        <v>32</v>
      </c>
      <c r="G46" s="312">
        <v>29.333333333333002</v>
      </c>
      <c r="H46" s="314">
        <v>2.2831899999999998</v>
      </c>
      <c r="I46" s="311">
        <v>19.13261</v>
      </c>
      <c r="J46" s="312">
        <v>-10.200723333333</v>
      </c>
      <c r="K46" s="315">
        <v>0.59789406249999999</v>
      </c>
    </row>
    <row r="47" spans="1:11" ht="14.4" customHeight="1" thickBot="1" x14ac:dyDescent="0.35">
      <c r="A47" s="332" t="s">
        <v>257</v>
      </c>
      <c r="B47" s="316">
        <v>0</v>
      </c>
      <c r="C47" s="316">
        <v>3.1979000000000002</v>
      </c>
      <c r="D47" s="317">
        <v>3.1979000000000002</v>
      </c>
      <c r="E47" s="323" t="s">
        <v>215</v>
      </c>
      <c r="F47" s="316">
        <v>0</v>
      </c>
      <c r="G47" s="317">
        <v>0</v>
      </c>
      <c r="H47" s="319">
        <v>0.95433999999999997</v>
      </c>
      <c r="I47" s="316">
        <v>4.0703899999999997</v>
      </c>
      <c r="J47" s="317">
        <v>4.0703899999999997</v>
      </c>
      <c r="K47" s="324" t="s">
        <v>215</v>
      </c>
    </row>
    <row r="48" spans="1:11" ht="14.4" customHeight="1" thickBot="1" x14ac:dyDescent="0.35">
      <c r="A48" s="333" t="s">
        <v>258</v>
      </c>
      <c r="B48" s="311">
        <v>4.9406564584124654E-324</v>
      </c>
      <c r="C48" s="311">
        <v>1.8968499999999999</v>
      </c>
      <c r="D48" s="312">
        <v>1.8968499999999999</v>
      </c>
      <c r="E48" s="321" t="s">
        <v>222</v>
      </c>
      <c r="F48" s="311">
        <v>0</v>
      </c>
      <c r="G48" s="312">
        <v>0</v>
      </c>
      <c r="H48" s="314">
        <v>4.9406564584124654E-324</v>
      </c>
      <c r="I48" s="311">
        <v>0.19932</v>
      </c>
      <c r="J48" s="312">
        <v>0.19932</v>
      </c>
      <c r="K48" s="322" t="s">
        <v>215</v>
      </c>
    </row>
    <row r="49" spans="1:11" ht="14.4" customHeight="1" thickBot="1" x14ac:dyDescent="0.35">
      <c r="A49" s="333" t="s">
        <v>259</v>
      </c>
      <c r="B49" s="311">
        <v>0</v>
      </c>
      <c r="C49" s="311">
        <v>1.30105</v>
      </c>
      <c r="D49" s="312">
        <v>1.30105</v>
      </c>
      <c r="E49" s="321" t="s">
        <v>215</v>
      </c>
      <c r="F49" s="311">
        <v>0</v>
      </c>
      <c r="G49" s="312">
        <v>0</v>
      </c>
      <c r="H49" s="314">
        <v>0.95433999999999997</v>
      </c>
      <c r="I49" s="311">
        <v>3.87107</v>
      </c>
      <c r="J49" s="312">
        <v>3.87107</v>
      </c>
      <c r="K49" s="322" t="s">
        <v>215</v>
      </c>
    </row>
    <row r="50" spans="1:11" ht="14.4" customHeight="1" thickBot="1" x14ac:dyDescent="0.35">
      <c r="A50" s="330" t="s">
        <v>260</v>
      </c>
      <c r="B50" s="311">
        <v>5.0574836052389998</v>
      </c>
      <c r="C50" s="311">
        <v>4.9406564584124654E-324</v>
      </c>
      <c r="D50" s="312">
        <v>-5.0574836052389998</v>
      </c>
      <c r="E50" s="313">
        <v>0</v>
      </c>
      <c r="F50" s="311">
        <v>3.0575046823230001</v>
      </c>
      <c r="G50" s="312">
        <v>2.8027126254630002</v>
      </c>
      <c r="H50" s="314">
        <v>4.9406564584124654E-324</v>
      </c>
      <c r="I50" s="311">
        <v>5.434722104253712E-323</v>
      </c>
      <c r="J50" s="312">
        <v>-2.8027126254630002</v>
      </c>
      <c r="K50" s="315">
        <v>1.9762625833649862E-323</v>
      </c>
    </row>
    <row r="51" spans="1:11" ht="14.4" customHeight="1" thickBot="1" x14ac:dyDescent="0.35">
      <c r="A51" s="335" t="s">
        <v>261</v>
      </c>
      <c r="B51" s="316">
        <v>3.0575046823230001</v>
      </c>
      <c r="C51" s="316">
        <v>4.9406564584124654E-324</v>
      </c>
      <c r="D51" s="317">
        <v>-3.0575046823230001</v>
      </c>
      <c r="E51" s="318">
        <v>0</v>
      </c>
      <c r="F51" s="316">
        <v>3.0575046823230001</v>
      </c>
      <c r="G51" s="317">
        <v>2.8027126254630002</v>
      </c>
      <c r="H51" s="319">
        <v>4.9406564584124654E-324</v>
      </c>
      <c r="I51" s="316">
        <v>5.434722104253712E-323</v>
      </c>
      <c r="J51" s="317">
        <v>-2.8027126254630002</v>
      </c>
      <c r="K51" s="320">
        <v>1.9762625833649862E-323</v>
      </c>
    </row>
    <row r="52" spans="1:11" ht="14.4" customHeight="1" thickBot="1" x14ac:dyDescent="0.35">
      <c r="A52" s="332" t="s">
        <v>262</v>
      </c>
      <c r="B52" s="316">
        <v>3.0575046823230001</v>
      </c>
      <c r="C52" s="316">
        <v>4.9406564584124654E-324</v>
      </c>
      <c r="D52" s="317">
        <v>-3.0575046823230001</v>
      </c>
      <c r="E52" s="318">
        <v>0</v>
      </c>
      <c r="F52" s="316">
        <v>3.0575046823230001</v>
      </c>
      <c r="G52" s="317">
        <v>2.8027126254630002</v>
      </c>
      <c r="H52" s="319">
        <v>4.9406564584124654E-324</v>
      </c>
      <c r="I52" s="316">
        <v>5.434722104253712E-323</v>
      </c>
      <c r="J52" s="317">
        <v>-2.8027126254630002</v>
      </c>
      <c r="K52" s="320">
        <v>1.9762625833649862E-323</v>
      </c>
    </row>
    <row r="53" spans="1:11" ht="14.4" customHeight="1" thickBot="1" x14ac:dyDescent="0.35">
      <c r="A53" s="333" t="s">
        <v>263</v>
      </c>
      <c r="B53" s="311">
        <v>3.0575046823230001</v>
      </c>
      <c r="C53" s="311">
        <v>4.9406564584124654E-324</v>
      </c>
      <c r="D53" s="312">
        <v>-3.0575046823230001</v>
      </c>
      <c r="E53" s="313">
        <v>0</v>
      </c>
      <c r="F53" s="311">
        <v>3.0575046823230001</v>
      </c>
      <c r="G53" s="312">
        <v>2.8027126254630002</v>
      </c>
      <c r="H53" s="314">
        <v>4.9406564584124654E-324</v>
      </c>
      <c r="I53" s="311">
        <v>5.434722104253712E-323</v>
      </c>
      <c r="J53" s="312">
        <v>-2.8027126254630002</v>
      </c>
      <c r="K53" s="315">
        <v>1.9762625833649862E-323</v>
      </c>
    </row>
    <row r="54" spans="1:11" ht="14.4" customHeight="1" thickBot="1" x14ac:dyDescent="0.35">
      <c r="A54" s="330" t="s">
        <v>264</v>
      </c>
      <c r="B54" s="311">
        <v>4.9406564584124654E-324</v>
      </c>
      <c r="C54" s="311">
        <v>49.563490000000002</v>
      </c>
      <c r="D54" s="312">
        <v>49.563490000000002</v>
      </c>
      <c r="E54" s="321" t="s">
        <v>222</v>
      </c>
      <c r="F54" s="311">
        <v>4.9406564584124654E-324</v>
      </c>
      <c r="G54" s="312">
        <v>0</v>
      </c>
      <c r="H54" s="314">
        <v>4.9406564584124654E-324</v>
      </c>
      <c r="I54" s="311">
        <v>5.434722104253712E-323</v>
      </c>
      <c r="J54" s="312">
        <v>5.434722104253712E-323</v>
      </c>
      <c r="K54" s="315">
        <v>11</v>
      </c>
    </row>
    <row r="55" spans="1:11" ht="14.4" customHeight="1" thickBot="1" x14ac:dyDescent="0.35">
      <c r="A55" s="335" t="s">
        <v>265</v>
      </c>
      <c r="B55" s="316">
        <v>4.9406564584124654E-324</v>
      </c>
      <c r="C55" s="316">
        <v>49.563490000000002</v>
      </c>
      <c r="D55" s="317">
        <v>49.563490000000002</v>
      </c>
      <c r="E55" s="323" t="s">
        <v>222</v>
      </c>
      <c r="F55" s="316">
        <v>4.9406564584124654E-324</v>
      </c>
      <c r="G55" s="317">
        <v>0</v>
      </c>
      <c r="H55" s="319">
        <v>4.9406564584124654E-324</v>
      </c>
      <c r="I55" s="316">
        <v>5.434722104253712E-323</v>
      </c>
      <c r="J55" s="317">
        <v>5.434722104253712E-323</v>
      </c>
      <c r="K55" s="320">
        <v>11</v>
      </c>
    </row>
    <row r="56" spans="1:11" ht="14.4" customHeight="1" thickBot="1" x14ac:dyDescent="0.35">
      <c r="A56" s="332" t="s">
        <v>266</v>
      </c>
      <c r="B56" s="316">
        <v>4.9406564584124654E-324</v>
      </c>
      <c r="C56" s="316">
        <v>49.563490000000002</v>
      </c>
      <c r="D56" s="317">
        <v>49.563490000000002</v>
      </c>
      <c r="E56" s="323" t="s">
        <v>222</v>
      </c>
      <c r="F56" s="316">
        <v>4.9406564584124654E-324</v>
      </c>
      <c r="G56" s="317">
        <v>0</v>
      </c>
      <c r="H56" s="319">
        <v>4.9406564584124654E-324</v>
      </c>
      <c r="I56" s="316">
        <v>5.434722104253712E-323</v>
      </c>
      <c r="J56" s="317">
        <v>5.434722104253712E-323</v>
      </c>
      <c r="K56" s="320">
        <v>11</v>
      </c>
    </row>
    <row r="57" spans="1:11" ht="14.4" customHeight="1" thickBot="1" x14ac:dyDescent="0.35">
      <c r="A57" s="333" t="s">
        <v>267</v>
      </c>
      <c r="B57" s="311">
        <v>4.9406564584124654E-324</v>
      </c>
      <c r="C57" s="311">
        <v>49.563490000000002</v>
      </c>
      <c r="D57" s="312">
        <v>49.563490000000002</v>
      </c>
      <c r="E57" s="321" t="s">
        <v>222</v>
      </c>
      <c r="F57" s="311">
        <v>4.9406564584124654E-324</v>
      </c>
      <c r="G57" s="312">
        <v>0</v>
      </c>
      <c r="H57" s="314">
        <v>4.9406564584124654E-324</v>
      </c>
      <c r="I57" s="311">
        <v>5.434722104253712E-323</v>
      </c>
      <c r="J57" s="312">
        <v>5.434722104253712E-323</v>
      </c>
      <c r="K57" s="315">
        <v>11</v>
      </c>
    </row>
    <row r="58" spans="1:11" ht="14.4" customHeight="1" thickBot="1" x14ac:dyDescent="0.35">
      <c r="A58" s="329" t="s">
        <v>268</v>
      </c>
      <c r="B58" s="311">
        <v>344.99999999999602</v>
      </c>
      <c r="C58" s="311">
        <v>300.19463000000002</v>
      </c>
      <c r="D58" s="312">
        <v>-44.805369999995001</v>
      </c>
      <c r="E58" s="313">
        <v>0.87012936231799998</v>
      </c>
      <c r="F58" s="311">
        <v>367</v>
      </c>
      <c r="G58" s="312">
        <v>336.41666666666703</v>
      </c>
      <c r="H58" s="314">
        <v>32.573090000000001</v>
      </c>
      <c r="I58" s="311">
        <v>289.46532999999999</v>
      </c>
      <c r="J58" s="312">
        <v>-46.951336666666002</v>
      </c>
      <c r="K58" s="315">
        <v>0.78873386920900002</v>
      </c>
    </row>
    <row r="59" spans="1:11" ht="14.4" customHeight="1" thickBot="1" x14ac:dyDescent="0.35">
      <c r="A59" s="334" t="s">
        <v>269</v>
      </c>
      <c r="B59" s="316">
        <v>344.99999999999602</v>
      </c>
      <c r="C59" s="316">
        <v>300.19463000000002</v>
      </c>
      <c r="D59" s="317">
        <v>-44.805369999995001</v>
      </c>
      <c r="E59" s="318">
        <v>0.87012936231799998</v>
      </c>
      <c r="F59" s="316">
        <v>367</v>
      </c>
      <c r="G59" s="317">
        <v>336.41666666666703</v>
      </c>
      <c r="H59" s="319">
        <v>32.573090000000001</v>
      </c>
      <c r="I59" s="316">
        <v>289.46532999999999</v>
      </c>
      <c r="J59" s="317">
        <v>-46.951336666666002</v>
      </c>
      <c r="K59" s="320">
        <v>0.78873386920900002</v>
      </c>
    </row>
    <row r="60" spans="1:11" ht="14.4" customHeight="1" thickBot="1" x14ac:dyDescent="0.35">
      <c r="A60" s="335" t="s">
        <v>29</v>
      </c>
      <c r="B60" s="316">
        <v>344.99999999999602</v>
      </c>
      <c r="C60" s="316">
        <v>300.19463000000002</v>
      </c>
      <c r="D60" s="317">
        <v>-44.805369999995001</v>
      </c>
      <c r="E60" s="318">
        <v>0.87012936231799998</v>
      </c>
      <c r="F60" s="316">
        <v>367</v>
      </c>
      <c r="G60" s="317">
        <v>336.41666666666703</v>
      </c>
      <c r="H60" s="319">
        <v>32.573090000000001</v>
      </c>
      <c r="I60" s="316">
        <v>289.46532999999999</v>
      </c>
      <c r="J60" s="317">
        <v>-46.951336666666002</v>
      </c>
      <c r="K60" s="320">
        <v>0.78873386920900002</v>
      </c>
    </row>
    <row r="61" spans="1:11" ht="14.4" customHeight="1" thickBot="1" x14ac:dyDescent="0.35">
      <c r="A61" s="332" t="s">
        <v>270</v>
      </c>
      <c r="B61" s="316">
        <v>143.99999999999801</v>
      </c>
      <c r="C61" s="316">
        <v>127.78187</v>
      </c>
      <c r="D61" s="317">
        <v>-16.218129999997998</v>
      </c>
      <c r="E61" s="318">
        <v>0.887374097222</v>
      </c>
      <c r="F61" s="316">
        <v>179</v>
      </c>
      <c r="G61" s="317">
        <v>164.083333333333</v>
      </c>
      <c r="H61" s="319">
        <v>12.71208</v>
      </c>
      <c r="I61" s="316">
        <v>138.07876999999999</v>
      </c>
      <c r="J61" s="317">
        <v>-26.004563333333</v>
      </c>
      <c r="K61" s="320">
        <v>0.77138977653600005</v>
      </c>
    </row>
    <row r="62" spans="1:11" ht="14.4" customHeight="1" thickBot="1" x14ac:dyDescent="0.35">
      <c r="A62" s="333" t="s">
        <v>271</v>
      </c>
      <c r="B62" s="311">
        <v>143.99999999999801</v>
      </c>
      <c r="C62" s="311">
        <v>127.76063000000001</v>
      </c>
      <c r="D62" s="312">
        <v>-16.239369999998001</v>
      </c>
      <c r="E62" s="313">
        <v>0.88722659722200004</v>
      </c>
      <c r="F62" s="311">
        <v>178</v>
      </c>
      <c r="G62" s="312">
        <v>163.166666666667</v>
      </c>
      <c r="H62" s="314">
        <v>12.55696</v>
      </c>
      <c r="I62" s="311">
        <v>136.89859000000001</v>
      </c>
      <c r="J62" s="312">
        <v>-26.268076666666001</v>
      </c>
      <c r="K62" s="315">
        <v>0.76909320224699995</v>
      </c>
    </row>
    <row r="63" spans="1:11" ht="14.4" customHeight="1" thickBot="1" x14ac:dyDescent="0.35">
      <c r="A63" s="333" t="s">
        <v>272</v>
      </c>
      <c r="B63" s="311">
        <v>0</v>
      </c>
      <c r="C63" s="311">
        <v>2.1239999999999998E-2</v>
      </c>
      <c r="D63" s="312">
        <v>2.1239999999999998E-2</v>
      </c>
      <c r="E63" s="321" t="s">
        <v>215</v>
      </c>
      <c r="F63" s="311">
        <v>1</v>
      </c>
      <c r="G63" s="312">
        <v>0.91666666666600005</v>
      </c>
      <c r="H63" s="314">
        <v>0.15512000000000001</v>
      </c>
      <c r="I63" s="311">
        <v>1.18018</v>
      </c>
      <c r="J63" s="312">
        <v>0.26351333333299998</v>
      </c>
      <c r="K63" s="315">
        <v>1.18018</v>
      </c>
    </row>
    <row r="64" spans="1:11" ht="14.4" customHeight="1" thickBot="1" x14ac:dyDescent="0.35">
      <c r="A64" s="332" t="s">
        <v>273</v>
      </c>
      <c r="B64" s="316">
        <v>200.99999999999801</v>
      </c>
      <c r="C64" s="316">
        <v>172.41275999999999</v>
      </c>
      <c r="D64" s="317">
        <v>-28.587239999996999</v>
      </c>
      <c r="E64" s="318">
        <v>0.85777492537300004</v>
      </c>
      <c r="F64" s="316">
        <v>188</v>
      </c>
      <c r="G64" s="317">
        <v>172.333333333333</v>
      </c>
      <c r="H64" s="319">
        <v>19.86101</v>
      </c>
      <c r="I64" s="316">
        <v>151.38656</v>
      </c>
      <c r="J64" s="317">
        <v>-20.946773333332999</v>
      </c>
      <c r="K64" s="320">
        <v>0.80524765957400002</v>
      </c>
    </row>
    <row r="65" spans="1:11" ht="14.4" customHeight="1" thickBot="1" x14ac:dyDescent="0.35">
      <c r="A65" s="333" t="s">
        <v>274</v>
      </c>
      <c r="B65" s="311">
        <v>200.99999999999801</v>
      </c>
      <c r="C65" s="311">
        <v>172.41275999999999</v>
      </c>
      <c r="D65" s="312">
        <v>-28.587239999996999</v>
      </c>
      <c r="E65" s="313">
        <v>0.85777492537300004</v>
      </c>
      <c r="F65" s="311">
        <v>188</v>
      </c>
      <c r="G65" s="312">
        <v>172.333333333333</v>
      </c>
      <c r="H65" s="314">
        <v>19.86101</v>
      </c>
      <c r="I65" s="311">
        <v>151.38656</v>
      </c>
      <c r="J65" s="312">
        <v>-20.946773333332999</v>
      </c>
      <c r="K65" s="315">
        <v>0.80524765957400002</v>
      </c>
    </row>
    <row r="66" spans="1:11" ht="14.4" customHeight="1" thickBot="1" x14ac:dyDescent="0.35">
      <c r="A66" s="336"/>
      <c r="B66" s="311">
        <v>-1763.5595026709</v>
      </c>
      <c r="C66" s="311">
        <v>-1886.8667600000001</v>
      </c>
      <c r="D66" s="312">
        <v>-123.307257329105</v>
      </c>
      <c r="E66" s="313">
        <v>1.0699195332739999</v>
      </c>
      <c r="F66" s="311">
        <v>-2033.9042921950099</v>
      </c>
      <c r="G66" s="312">
        <v>-1864.4122678454301</v>
      </c>
      <c r="H66" s="314">
        <v>-228.50662</v>
      </c>
      <c r="I66" s="311">
        <v>-1662.16014</v>
      </c>
      <c r="J66" s="312">
        <v>202.25212784542799</v>
      </c>
      <c r="K66" s="315">
        <v>0.81722632986099997</v>
      </c>
    </row>
    <row r="67" spans="1:11" ht="14.4" customHeight="1" thickBot="1" x14ac:dyDescent="0.35">
      <c r="A67" s="337" t="s">
        <v>41</v>
      </c>
      <c r="B67" s="325">
        <v>-1763.5595026709</v>
      </c>
      <c r="C67" s="325">
        <v>-1886.8667600000001</v>
      </c>
      <c r="D67" s="326">
        <v>-123.307257329105</v>
      </c>
      <c r="E67" s="327">
        <v>-0.47179876487200001</v>
      </c>
      <c r="F67" s="325">
        <v>-2033.9042921950099</v>
      </c>
      <c r="G67" s="326">
        <v>-1864.4122678454301</v>
      </c>
      <c r="H67" s="325">
        <v>-228.50662</v>
      </c>
      <c r="I67" s="325">
        <v>-1662.16014</v>
      </c>
      <c r="J67" s="326">
        <v>202.25212784542799</v>
      </c>
      <c r="K67" s="328">
        <v>0.81722632986099997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20" width="13.109375" hidden="1" customWidth="1"/>
    <col min="21" max="21" width="13.109375" customWidth="1"/>
    <col min="22" max="32" width="13.109375" hidden="1" customWidth="1"/>
    <col min="33" max="33" width="13.109375" customWidth="1"/>
  </cols>
  <sheetData>
    <row r="1" spans="1:34" ht="18.600000000000001" thickBot="1" x14ac:dyDescent="0.4">
      <c r="A1" s="288" t="s">
        <v>82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</row>
    <row r="2" spans="1:34" ht="15" thickBot="1" x14ac:dyDescent="0.35">
      <c r="A2" s="192" t="s">
        <v>214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</row>
    <row r="3" spans="1:34" x14ac:dyDescent="0.3">
      <c r="A3" s="211" t="s">
        <v>172</v>
      </c>
      <c r="B3" s="289" t="s">
        <v>153</v>
      </c>
      <c r="C3" s="194">
        <v>0</v>
      </c>
      <c r="D3" s="195">
        <v>101</v>
      </c>
      <c r="E3" s="195">
        <v>102</v>
      </c>
      <c r="F3" s="214">
        <v>305</v>
      </c>
      <c r="G3" s="214">
        <v>306</v>
      </c>
      <c r="H3" s="214">
        <v>408</v>
      </c>
      <c r="I3" s="214">
        <v>409</v>
      </c>
      <c r="J3" s="214">
        <v>410</v>
      </c>
      <c r="K3" s="214">
        <v>415</v>
      </c>
      <c r="L3" s="214">
        <v>416</v>
      </c>
      <c r="M3" s="214">
        <v>418</v>
      </c>
      <c r="N3" s="214">
        <v>419</v>
      </c>
      <c r="O3" s="214">
        <v>420</v>
      </c>
      <c r="P3" s="214">
        <v>421</v>
      </c>
      <c r="Q3" s="214">
        <v>522</v>
      </c>
      <c r="R3" s="214">
        <v>523</v>
      </c>
      <c r="S3" s="214">
        <v>524</v>
      </c>
      <c r="T3" s="214">
        <v>525</v>
      </c>
      <c r="U3" s="214">
        <v>526</v>
      </c>
      <c r="V3" s="214">
        <v>527</v>
      </c>
      <c r="W3" s="214">
        <v>528</v>
      </c>
      <c r="X3" s="214">
        <v>629</v>
      </c>
      <c r="Y3" s="214">
        <v>630</v>
      </c>
      <c r="Z3" s="214">
        <v>636</v>
      </c>
      <c r="AA3" s="214">
        <v>637</v>
      </c>
      <c r="AB3" s="214">
        <v>640</v>
      </c>
      <c r="AC3" s="214">
        <v>642</v>
      </c>
      <c r="AD3" s="214">
        <v>743</v>
      </c>
      <c r="AE3" s="195">
        <v>745</v>
      </c>
      <c r="AF3" s="195">
        <v>746</v>
      </c>
      <c r="AG3" s="347">
        <v>930</v>
      </c>
      <c r="AH3" s="363"/>
    </row>
    <row r="4" spans="1:34" ht="36.6" outlineLevel="1" thickBot="1" x14ac:dyDescent="0.35">
      <c r="A4" s="212">
        <v>2014</v>
      </c>
      <c r="B4" s="290"/>
      <c r="C4" s="196" t="s">
        <v>154</v>
      </c>
      <c r="D4" s="197" t="s">
        <v>155</v>
      </c>
      <c r="E4" s="197" t="s">
        <v>156</v>
      </c>
      <c r="F4" s="215" t="s">
        <v>184</v>
      </c>
      <c r="G4" s="215" t="s">
        <v>185</v>
      </c>
      <c r="H4" s="215" t="s">
        <v>186</v>
      </c>
      <c r="I4" s="215" t="s">
        <v>187</v>
      </c>
      <c r="J4" s="215" t="s">
        <v>188</v>
      </c>
      <c r="K4" s="215" t="s">
        <v>189</v>
      </c>
      <c r="L4" s="215" t="s">
        <v>190</v>
      </c>
      <c r="M4" s="215" t="s">
        <v>191</v>
      </c>
      <c r="N4" s="215" t="s">
        <v>192</v>
      </c>
      <c r="O4" s="215" t="s">
        <v>193</v>
      </c>
      <c r="P4" s="215" t="s">
        <v>194</v>
      </c>
      <c r="Q4" s="215" t="s">
        <v>195</v>
      </c>
      <c r="R4" s="215" t="s">
        <v>196</v>
      </c>
      <c r="S4" s="215" t="s">
        <v>197</v>
      </c>
      <c r="T4" s="215" t="s">
        <v>198</v>
      </c>
      <c r="U4" s="215" t="s">
        <v>199</v>
      </c>
      <c r="V4" s="215" t="s">
        <v>200</v>
      </c>
      <c r="W4" s="215" t="s">
        <v>209</v>
      </c>
      <c r="X4" s="215" t="s">
        <v>201</v>
      </c>
      <c r="Y4" s="215" t="s">
        <v>210</v>
      </c>
      <c r="Z4" s="215" t="s">
        <v>202</v>
      </c>
      <c r="AA4" s="215" t="s">
        <v>203</v>
      </c>
      <c r="AB4" s="215" t="s">
        <v>204</v>
      </c>
      <c r="AC4" s="215" t="s">
        <v>205</v>
      </c>
      <c r="AD4" s="215" t="s">
        <v>206</v>
      </c>
      <c r="AE4" s="197" t="s">
        <v>207</v>
      </c>
      <c r="AF4" s="197" t="s">
        <v>208</v>
      </c>
      <c r="AG4" s="348" t="s">
        <v>174</v>
      </c>
      <c r="AH4" s="363"/>
    </row>
    <row r="5" spans="1:34" x14ac:dyDescent="0.3">
      <c r="A5" s="198" t="s">
        <v>157</v>
      </c>
      <c r="B5" s="234"/>
      <c r="C5" s="235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349"/>
      <c r="AH5" s="363"/>
    </row>
    <row r="6" spans="1:34" ht="15" collapsed="1" thickBot="1" x14ac:dyDescent="0.35">
      <c r="A6" s="199" t="s">
        <v>48</v>
      </c>
      <c r="B6" s="237">
        <f xml:space="preserve">
TRUNC(IF($A$4&lt;=12,SUMIFS('ON Data'!F:F,'ON Data'!$D:$D,$A$4,'ON Data'!$E:$E,1),SUMIFS('ON Data'!F:F,'ON Data'!$E:$E,1)/'ON Data'!$D$3),1)</f>
        <v>2.7</v>
      </c>
      <c r="C6" s="238">
        <f xml:space="preserve">
TRUNC(IF($A$4&lt;=12,SUMIFS('ON Data'!G:G,'ON Data'!$D:$D,$A$4,'ON Data'!$E:$E,1),SUMIFS('ON Data'!G:G,'ON Data'!$E:$E,1)/'ON Data'!$D$3),1)</f>
        <v>0</v>
      </c>
      <c r="D6" s="239">
        <f xml:space="preserve">
TRUNC(IF($A$4&lt;=12,SUMIFS('ON Data'!H:H,'ON Data'!$D:$D,$A$4,'ON Data'!$E:$E,1),SUMIFS('ON Data'!H:H,'ON Data'!$E:$E,1)/'ON Data'!$D$3),1)</f>
        <v>2</v>
      </c>
      <c r="E6" s="239">
        <f xml:space="preserve">
TRUNC(IF($A$4&lt;=12,SUMIFS('ON Data'!I:I,'ON Data'!$D:$D,$A$4,'ON Data'!$E:$E,1),SUMIFS('ON Data'!I:I,'ON Data'!$E:$E,1)/'ON Data'!$D$3),1)</f>
        <v>0</v>
      </c>
      <c r="F6" s="239">
        <f xml:space="preserve">
TRUNC(IF($A$4&lt;=12,SUMIFS('ON Data'!K:K,'ON Data'!$D:$D,$A$4,'ON Data'!$E:$E,1),SUMIFS('ON Data'!K:K,'ON Data'!$E:$E,1)/'ON Data'!$D$3),1)</f>
        <v>0</v>
      </c>
      <c r="G6" s="239">
        <f xml:space="preserve">
TRUNC(IF($A$4&lt;=12,SUMIFS('ON Data'!L:L,'ON Data'!$D:$D,$A$4,'ON Data'!$E:$E,1),SUMIFS('ON Data'!L:L,'ON Data'!$E:$E,1)/'ON Data'!$D$3),1)</f>
        <v>0</v>
      </c>
      <c r="H6" s="239">
        <f xml:space="preserve">
TRUNC(IF($A$4&lt;=12,SUMIFS('ON Data'!M:M,'ON Data'!$D:$D,$A$4,'ON Data'!$E:$E,1),SUMIFS('ON Data'!M:M,'ON Data'!$E:$E,1)/'ON Data'!$D$3),1)</f>
        <v>0</v>
      </c>
      <c r="I6" s="239">
        <f xml:space="preserve">
TRUNC(IF($A$4&lt;=12,SUMIFS('ON Data'!N:N,'ON Data'!$D:$D,$A$4,'ON Data'!$E:$E,1),SUMIFS('ON Data'!N:N,'ON Data'!$E:$E,1)/'ON Data'!$D$3),1)</f>
        <v>0</v>
      </c>
      <c r="J6" s="239">
        <f xml:space="preserve">
TRUNC(IF($A$4&lt;=12,SUMIFS('ON Data'!O:O,'ON Data'!$D:$D,$A$4,'ON Data'!$E:$E,1),SUMIFS('ON Data'!O:O,'ON Data'!$E:$E,1)/'ON Data'!$D$3),1)</f>
        <v>0</v>
      </c>
      <c r="K6" s="239">
        <f xml:space="preserve">
TRUNC(IF($A$4&lt;=12,SUMIFS('ON Data'!P:P,'ON Data'!$D:$D,$A$4,'ON Data'!$E:$E,1),SUMIFS('ON Data'!P:P,'ON Data'!$E:$E,1)/'ON Data'!$D$3),1)</f>
        <v>0</v>
      </c>
      <c r="L6" s="239">
        <f xml:space="preserve">
TRUNC(IF($A$4&lt;=12,SUMIFS('ON Data'!Q:Q,'ON Data'!$D:$D,$A$4,'ON Data'!$E:$E,1),SUMIFS('ON Data'!Q:Q,'ON Data'!$E:$E,1)/'ON Data'!$D$3),1)</f>
        <v>0</v>
      </c>
      <c r="M6" s="239">
        <f xml:space="preserve">
TRUNC(IF($A$4&lt;=12,SUMIFS('ON Data'!R:R,'ON Data'!$D:$D,$A$4,'ON Data'!$E:$E,1),SUMIFS('ON Data'!R:R,'ON Data'!$E:$E,1)/'ON Data'!$D$3),1)</f>
        <v>0</v>
      </c>
      <c r="N6" s="239">
        <f xml:space="preserve">
TRUNC(IF($A$4&lt;=12,SUMIFS('ON Data'!S:S,'ON Data'!$D:$D,$A$4,'ON Data'!$E:$E,1),SUMIFS('ON Data'!S:S,'ON Data'!$E:$E,1)/'ON Data'!$D$3),1)</f>
        <v>0</v>
      </c>
      <c r="O6" s="239">
        <f xml:space="preserve">
TRUNC(IF($A$4&lt;=12,SUMIFS('ON Data'!T:T,'ON Data'!$D:$D,$A$4,'ON Data'!$E:$E,1),SUMIFS('ON Data'!T:T,'ON Data'!$E:$E,1)/'ON Data'!$D$3),1)</f>
        <v>0</v>
      </c>
      <c r="P6" s="239">
        <f xml:space="preserve">
TRUNC(IF($A$4&lt;=12,SUMIFS('ON Data'!U:U,'ON Data'!$D:$D,$A$4,'ON Data'!$E:$E,1),SUMIFS('ON Data'!U:U,'ON Data'!$E:$E,1)/'ON Data'!$D$3),1)</f>
        <v>0</v>
      </c>
      <c r="Q6" s="239">
        <f xml:space="preserve">
TRUNC(IF($A$4&lt;=12,SUMIFS('ON Data'!V:V,'ON Data'!$D:$D,$A$4,'ON Data'!$E:$E,1),SUMIFS('ON Data'!V:V,'ON Data'!$E:$E,1)/'ON Data'!$D$3),1)</f>
        <v>0</v>
      </c>
      <c r="R6" s="239">
        <f xml:space="preserve">
TRUNC(IF($A$4&lt;=12,SUMIFS('ON Data'!W:W,'ON Data'!$D:$D,$A$4,'ON Data'!$E:$E,1),SUMIFS('ON Data'!W:W,'ON Data'!$E:$E,1)/'ON Data'!$D$3),1)</f>
        <v>0</v>
      </c>
      <c r="S6" s="239">
        <f xml:space="preserve">
TRUNC(IF($A$4&lt;=12,SUMIFS('ON Data'!X:X,'ON Data'!$D:$D,$A$4,'ON Data'!$E:$E,1),SUMIFS('ON Data'!X:X,'ON Data'!$E:$E,1)/'ON Data'!$D$3),1)</f>
        <v>0</v>
      </c>
      <c r="T6" s="239">
        <f xml:space="preserve">
TRUNC(IF($A$4&lt;=12,SUMIFS('ON Data'!Y:Y,'ON Data'!$D:$D,$A$4,'ON Data'!$E:$E,1),SUMIFS('ON Data'!Y:Y,'ON Data'!$E:$E,1)/'ON Data'!$D$3),1)</f>
        <v>0</v>
      </c>
      <c r="U6" s="239">
        <f xml:space="preserve">
TRUNC(IF($A$4&lt;=12,SUMIFS('ON Data'!Z:Z,'ON Data'!$D:$D,$A$4,'ON Data'!$E:$E,1),SUMIFS('ON Data'!Z:Z,'ON Data'!$E:$E,1)/'ON Data'!$D$3),1)</f>
        <v>0</v>
      </c>
      <c r="V6" s="239">
        <f xml:space="preserve">
TRUNC(IF($A$4&lt;=12,SUMIFS('ON Data'!AA:AA,'ON Data'!$D:$D,$A$4,'ON Data'!$E:$E,1),SUMIFS('ON Data'!AA:AA,'ON Data'!$E:$E,1)/'ON Data'!$D$3),1)</f>
        <v>0</v>
      </c>
      <c r="W6" s="239">
        <f xml:space="preserve">
TRUNC(IF($A$4&lt;=12,SUMIFS('ON Data'!AB:AB,'ON Data'!$D:$D,$A$4,'ON Data'!$E:$E,1),SUMIFS('ON Data'!AB:AB,'ON Data'!$E:$E,1)/'ON Data'!$D$3),1)</f>
        <v>0</v>
      </c>
      <c r="X6" s="239">
        <f xml:space="preserve">
TRUNC(IF($A$4&lt;=12,SUMIFS('ON Data'!AC:AC,'ON Data'!$D:$D,$A$4,'ON Data'!$E:$E,1),SUMIFS('ON Data'!AC:AC,'ON Data'!$E:$E,1)/'ON Data'!$D$3),1)</f>
        <v>0</v>
      </c>
      <c r="Y6" s="239">
        <f xml:space="preserve">
TRUNC(IF($A$4&lt;=12,SUMIFS('ON Data'!AD:AD,'ON Data'!$D:$D,$A$4,'ON Data'!$E:$E,1),SUMIFS('ON Data'!AD:AD,'ON Data'!$E:$E,1)/'ON Data'!$D$3),1)</f>
        <v>0</v>
      </c>
      <c r="Z6" s="239">
        <f xml:space="preserve">
TRUNC(IF($A$4&lt;=12,SUMIFS('ON Data'!AE:AE,'ON Data'!$D:$D,$A$4,'ON Data'!$E:$E,1),SUMIFS('ON Data'!AE:AE,'ON Data'!$E:$E,1)/'ON Data'!$D$3),1)</f>
        <v>0</v>
      </c>
      <c r="AA6" s="239">
        <f xml:space="preserve">
TRUNC(IF($A$4&lt;=12,SUMIFS('ON Data'!AF:AF,'ON Data'!$D:$D,$A$4,'ON Data'!$E:$E,1),SUMIFS('ON Data'!AF:AF,'ON Data'!$E:$E,1)/'ON Data'!$D$3),1)</f>
        <v>0</v>
      </c>
      <c r="AB6" s="239">
        <f xml:space="preserve">
TRUNC(IF($A$4&lt;=12,SUMIFS('ON Data'!AG:AG,'ON Data'!$D:$D,$A$4,'ON Data'!$E:$E,1),SUMIFS('ON Data'!AG:AG,'ON Data'!$E:$E,1)/'ON Data'!$D$3),1)</f>
        <v>0</v>
      </c>
      <c r="AC6" s="239">
        <f xml:space="preserve">
TRUNC(IF($A$4&lt;=12,SUMIFS('ON Data'!AH:AH,'ON Data'!$D:$D,$A$4,'ON Data'!$E:$E,1),SUMIFS('ON Data'!AH:AH,'ON Data'!$E:$E,1)/'ON Data'!$D$3),1)</f>
        <v>0</v>
      </c>
      <c r="AD6" s="239">
        <f xml:space="preserve">
TRUNC(IF($A$4&lt;=12,SUMIFS('ON Data'!AI:AI,'ON Data'!$D:$D,$A$4,'ON Data'!$E:$E,1),SUMIFS('ON Data'!AI:AI,'ON Data'!$E:$E,1)/'ON Data'!$D$3),1)</f>
        <v>0</v>
      </c>
      <c r="AE6" s="239">
        <f xml:space="preserve">
TRUNC(IF($A$4&lt;=12,SUMIFS('ON Data'!AJ:AJ,'ON Data'!$D:$D,$A$4,'ON Data'!$E:$E,1),SUMIFS('ON Data'!AJ:AJ,'ON Data'!$E:$E,1)/'ON Data'!$D$3),1)</f>
        <v>0</v>
      </c>
      <c r="AF6" s="239">
        <f xml:space="preserve">
TRUNC(IF($A$4&lt;=12,SUMIFS('ON Data'!AK:AK,'ON Data'!$D:$D,$A$4,'ON Data'!$E:$E,1),SUMIFS('ON Data'!AK:AK,'ON Data'!$E:$E,1)/'ON Data'!$D$3),1)</f>
        <v>0</v>
      </c>
      <c r="AG6" s="350">
        <f xml:space="preserve">
TRUNC(IF($A$4&lt;=12,SUMIFS('ON Data'!AM:AM,'ON Data'!$D:$D,$A$4,'ON Data'!$E:$E,1),SUMIFS('ON Data'!AM:AM,'ON Data'!$E:$E,1)/'ON Data'!$D$3),1)</f>
        <v>0.6</v>
      </c>
      <c r="AH6" s="363"/>
    </row>
    <row r="7" spans="1:34" ht="15" hidden="1" outlineLevel="1" thickBot="1" x14ac:dyDescent="0.35">
      <c r="A7" s="199" t="s">
        <v>83</v>
      </c>
      <c r="B7" s="237"/>
      <c r="C7" s="240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350"/>
      <c r="AH7" s="363"/>
    </row>
    <row r="8" spans="1:34" ht="15" hidden="1" outlineLevel="1" thickBot="1" x14ac:dyDescent="0.35">
      <c r="A8" s="199" t="s">
        <v>50</v>
      </c>
      <c r="B8" s="237"/>
      <c r="C8" s="240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350"/>
      <c r="AH8" s="363"/>
    </row>
    <row r="9" spans="1:34" ht="15" hidden="1" outlineLevel="1" thickBot="1" x14ac:dyDescent="0.35">
      <c r="A9" s="200" t="s">
        <v>43</v>
      </c>
      <c r="B9" s="241"/>
      <c r="C9" s="242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351"/>
      <c r="AH9" s="363"/>
    </row>
    <row r="10" spans="1:34" x14ac:dyDescent="0.3">
      <c r="A10" s="201" t="s">
        <v>158</v>
      </c>
      <c r="B10" s="216"/>
      <c r="C10" s="217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352"/>
      <c r="AH10" s="363"/>
    </row>
    <row r="11" spans="1:34" x14ac:dyDescent="0.3">
      <c r="A11" s="202" t="s">
        <v>159</v>
      </c>
      <c r="B11" s="219">
        <f xml:space="preserve">
IF($A$4&lt;=12,SUMIFS('ON Data'!F:F,'ON Data'!$D:$D,$A$4,'ON Data'!$E:$E,2),SUMIFS('ON Data'!F:F,'ON Data'!$E:$E,2))</f>
        <v>4590.7999999999993</v>
      </c>
      <c r="C11" s="220">
        <f xml:space="preserve">
IF($A$4&lt;=12,SUMIFS('ON Data'!G:G,'ON Data'!$D:$D,$A$4,'ON Data'!$E:$E,2),SUMIFS('ON Data'!G:G,'ON Data'!$E:$E,2))</f>
        <v>0</v>
      </c>
      <c r="D11" s="221">
        <f xml:space="preserve">
IF($A$4&lt;=12,SUMIFS('ON Data'!H:H,'ON Data'!$D:$D,$A$4,'ON Data'!$E:$E,2),SUMIFS('ON Data'!H:H,'ON Data'!$E:$E,2))</f>
        <v>3476.4</v>
      </c>
      <c r="E11" s="221">
        <f xml:space="preserve">
IF($A$4&lt;=12,SUMIFS('ON Data'!I:I,'ON Data'!$D:$D,$A$4,'ON Data'!$E:$E,2),SUMIFS('ON Data'!I:I,'ON Data'!$E:$E,2))</f>
        <v>0</v>
      </c>
      <c r="F11" s="221">
        <f xml:space="preserve">
IF($A$4&lt;=12,SUMIFS('ON Data'!K:K,'ON Data'!$D:$D,$A$4,'ON Data'!$E:$E,2),SUMIFS('ON Data'!K:K,'ON Data'!$E:$E,2))</f>
        <v>0</v>
      </c>
      <c r="G11" s="221">
        <f xml:space="preserve">
IF($A$4&lt;=12,SUMIFS('ON Data'!L:L,'ON Data'!$D:$D,$A$4,'ON Data'!$E:$E,2),SUMIFS('ON Data'!L:L,'ON Data'!$E:$E,2))</f>
        <v>0</v>
      </c>
      <c r="H11" s="221">
        <f xml:space="preserve">
IF($A$4&lt;=12,SUMIFS('ON Data'!M:M,'ON Data'!$D:$D,$A$4,'ON Data'!$E:$E,2),SUMIFS('ON Data'!M:M,'ON Data'!$E:$E,2))</f>
        <v>0</v>
      </c>
      <c r="I11" s="221">
        <f xml:space="preserve">
IF($A$4&lt;=12,SUMIFS('ON Data'!N:N,'ON Data'!$D:$D,$A$4,'ON Data'!$E:$E,2),SUMIFS('ON Data'!N:N,'ON Data'!$E:$E,2))</f>
        <v>0</v>
      </c>
      <c r="J11" s="221">
        <f xml:space="preserve">
IF($A$4&lt;=12,SUMIFS('ON Data'!O:O,'ON Data'!$D:$D,$A$4,'ON Data'!$E:$E,2),SUMIFS('ON Data'!O:O,'ON Data'!$E:$E,2))</f>
        <v>0</v>
      </c>
      <c r="K11" s="221">
        <f xml:space="preserve">
IF($A$4&lt;=12,SUMIFS('ON Data'!P:P,'ON Data'!$D:$D,$A$4,'ON Data'!$E:$E,2),SUMIFS('ON Data'!P:P,'ON Data'!$E:$E,2))</f>
        <v>0</v>
      </c>
      <c r="L11" s="221">
        <f xml:space="preserve">
IF($A$4&lt;=12,SUMIFS('ON Data'!Q:Q,'ON Data'!$D:$D,$A$4,'ON Data'!$E:$E,2),SUMIFS('ON Data'!Q:Q,'ON Data'!$E:$E,2))</f>
        <v>0</v>
      </c>
      <c r="M11" s="221">
        <f xml:space="preserve">
IF($A$4&lt;=12,SUMIFS('ON Data'!R:R,'ON Data'!$D:$D,$A$4,'ON Data'!$E:$E,2),SUMIFS('ON Data'!R:R,'ON Data'!$E:$E,2))</f>
        <v>0</v>
      </c>
      <c r="N11" s="221">
        <f xml:space="preserve">
IF($A$4&lt;=12,SUMIFS('ON Data'!S:S,'ON Data'!$D:$D,$A$4,'ON Data'!$E:$E,2),SUMIFS('ON Data'!S:S,'ON Data'!$E:$E,2))</f>
        <v>0</v>
      </c>
      <c r="O11" s="221">
        <f xml:space="preserve">
IF($A$4&lt;=12,SUMIFS('ON Data'!T:T,'ON Data'!$D:$D,$A$4,'ON Data'!$E:$E,2),SUMIFS('ON Data'!T:T,'ON Data'!$E:$E,2))</f>
        <v>0</v>
      </c>
      <c r="P11" s="221">
        <f xml:space="preserve">
IF($A$4&lt;=12,SUMIFS('ON Data'!U:U,'ON Data'!$D:$D,$A$4,'ON Data'!$E:$E,2),SUMIFS('ON Data'!U:U,'ON Data'!$E:$E,2))</f>
        <v>0</v>
      </c>
      <c r="Q11" s="221">
        <f xml:space="preserve">
IF($A$4&lt;=12,SUMIFS('ON Data'!V:V,'ON Data'!$D:$D,$A$4,'ON Data'!$E:$E,2),SUMIFS('ON Data'!V:V,'ON Data'!$E:$E,2))</f>
        <v>0</v>
      </c>
      <c r="R11" s="221">
        <f xml:space="preserve">
IF($A$4&lt;=12,SUMIFS('ON Data'!W:W,'ON Data'!$D:$D,$A$4,'ON Data'!$E:$E,2),SUMIFS('ON Data'!W:W,'ON Data'!$E:$E,2))</f>
        <v>0</v>
      </c>
      <c r="S11" s="221">
        <f xml:space="preserve">
IF($A$4&lt;=12,SUMIFS('ON Data'!X:X,'ON Data'!$D:$D,$A$4,'ON Data'!$E:$E,2),SUMIFS('ON Data'!X:X,'ON Data'!$E:$E,2))</f>
        <v>0</v>
      </c>
      <c r="T11" s="221">
        <f xml:space="preserve">
IF($A$4&lt;=12,SUMIFS('ON Data'!Y:Y,'ON Data'!$D:$D,$A$4,'ON Data'!$E:$E,2),SUMIFS('ON Data'!Y:Y,'ON Data'!$E:$E,2))</f>
        <v>0</v>
      </c>
      <c r="U11" s="221">
        <f xml:space="preserve">
IF($A$4&lt;=12,SUMIFS('ON Data'!Z:Z,'ON Data'!$D:$D,$A$4,'ON Data'!$E:$E,2),SUMIFS('ON Data'!Z:Z,'ON Data'!$E:$E,2))</f>
        <v>87.2</v>
      </c>
      <c r="V11" s="221">
        <f xml:space="preserve">
IF($A$4&lt;=12,SUMIFS('ON Data'!AA:AA,'ON Data'!$D:$D,$A$4,'ON Data'!$E:$E,2),SUMIFS('ON Data'!AA:AA,'ON Data'!$E:$E,2))</f>
        <v>0</v>
      </c>
      <c r="W11" s="221">
        <f xml:space="preserve">
IF($A$4&lt;=12,SUMIFS('ON Data'!AB:AB,'ON Data'!$D:$D,$A$4,'ON Data'!$E:$E,2),SUMIFS('ON Data'!AB:AB,'ON Data'!$E:$E,2))</f>
        <v>0</v>
      </c>
      <c r="X11" s="221">
        <f xml:space="preserve">
IF($A$4&lt;=12,SUMIFS('ON Data'!AC:AC,'ON Data'!$D:$D,$A$4,'ON Data'!$E:$E,2),SUMIFS('ON Data'!AC:AC,'ON Data'!$E:$E,2))</f>
        <v>0</v>
      </c>
      <c r="Y11" s="221">
        <f xml:space="preserve">
IF($A$4&lt;=12,SUMIFS('ON Data'!AD:AD,'ON Data'!$D:$D,$A$4,'ON Data'!$E:$E,2),SUMIFS('ON Data'!AD:AD,'ON Data'!$E:$E,2))</f>
        <v>0</v>
      </c>
      <c r="Z11" s="221">
        <f xml:space="preserve">
IF($A$4&lt;=12,SUMIFS('ON Data'!AE:AE,'ON Data'!$D:$D,$A$4,'ON Data'!$E:$E,2),SUMIFS('ON Data'!AE:AE,'ON Data'!$E:$E,2))</f>
        <v>0</v>
      </c>
      <c r="AA11" s="221">
        <f xml:space="preserve">
IF($A$4&lt;=12,SUMIFS('ON Data'!AF:AF,'ON Data'!$D:$D,$A$4,'ON Data'!$E:$E,2),SUMIFS('ON Data'!AF:AF,'ON Data'!$E:$E,2))</f>
        <v>0</v>
      </c>
      <c r="AB11" s="221">
        <f xml:space="preserve">
IF($A$4&lt;=12,SUMIFS('ON Data'!AG:AG,'ON Data'!$D:$D,$A$4,'ON Data'!$E:$E,2),SUMIFS('ON Data'!AG:AG,'ON Data'!$E:$E,2))</f>
        <v>0</v>
      </c>
      <c r="AC11" s="221">
        <f xml:space="preserve">
IF($A$4&lt;=12,SUMIFS('ON Data'!AH:AH,'ON Data'!$D:$D,$A$4,'ON Data'!$E:$E,2),SUMIFS('ON Data'!AH:AH,'ON Data'!$E:$E,2))</f>
        <v>0</v>
      </c>
      <c r="AD11" s="221">
        <f xml:space="preserve">
IF($A$4&lt;=12,SUMIFS('ON Data'!AI:AI,'ON Data'!$D:$D,$A$4,'ON Data'!$E:$E,2),SUMIFS('ON Data'!AI:AI,'ON Data'!$E:$E,2))</f>
        <v>0</v>
      </c>
      <c r="AE11" s="221">
        <f xml:space="preserve">
IF($A$4&lt;=12,SUMIFS('ON Data'!AJ:AJ,'ON Data'!$D:$D,$A$4,'ON Data'!$E:$E,2),SUMIFS('ON Data'!AJ:AJ,'ON Data'!$E:$E,2))</f>
        <v>0</v>
      </c>
      <c r="AF11" s="221">
        <f xml:space="preserve">
IF($A$4&lt;=12,SUMIFS('ON Data'!AK:AK,'ON Data'!$D:$D,$A$4,'ON Data'!$E:$E,2),SUMIFS('ON Data'!AK:AK,'ON Data'!$E:$E,2))</f>
        <v>0</v>
      </c>
      <c r="AG11" s="353">
        <f xml:space="preserve">
IF($A$4&lt;=12,SUMIFS('ON Data'!AM:AM,'ON Data'!$D:$D,$A$4,'ON Data'!$E:$E,2),SUMIFS('ON Data'!AM:AM,'ON Data'!$E:$E,2))</f>
        <v>1027.2</v>
      </c>
      <c r="AH11" s="363"/>
    </row>
    <row r="12" spans="1:34" x14ac:dyDescent="0.3">
      <c r="A12" s="202" t="s">
        <v>160</v>
      </c>
      <c r="B12" s="219">
        <f xml:space="preserve">
IF($A$4&lt;=12,SUMIFS('ON Data'!F:F,'ON Data'!$D:$D,$A$4,'ON Data'!$E:$E,3),SUMIFS('ON Data'!F:F,'ON Data'!$E:$E,3))</f>
        <v>0</v>
      </c>
      <c r="C12" s="220">
        <f xml:space="preserve">
IF($A$4&lt;=12,SUMIFS('ON Data'!G:G,'ON Data'!$D:$D,$A$4,'ON Data'!$E:$E,3),SUMIFS('ON Data'!G:G,'ON Data'!$E:$E,3))</f>
        <v>0</v>
      </c>
      <c r="D12" s="221">
        <f xml:space="preserve">
IF($A$4&lt;=12,SUMIFS('ON Data'!H:H,'ON Data'!$D:$D,$A$4,'ON Data'!$E:$E,3),SUMIFS('ON Data'!H:H,'ON Data'!$E:$E,3))</f>
        <v>0</v>
      </c>
      <c r="E12" s="221">
        <f xml:space="preserve">
IF($A$4&lt;=12,SUMIFS('ON Data'!I:I,'ON Data'!$D:$D,$A$4,'ON Data'!$E:$E,3),SUMIFS('ON Data'!I:I,'ON Data'!$E:$E,3))</f>
        <v>0</v>
      </c>
      <c r="F12" s="221">
        <f xml:space="preserve">
IF($A$4&lt;=12,SUMIFS('ON Data'!K:K,'ON Data'!$D:$D,$A$4,'ON Data'!$E:$E,3),SUMIFS('ON Data'!K:K,'ON Data'!$E:$E,3))</f>
        <v>0</v>
      </c>
      <c r="G12" s="221">
        <f xml:space="preserve">
IF($A$4&lt;=12,SUMIFS('ON Data'!L:L,'ON Data'!$D:$D,$A$4,'ON Data'!$E:$E,3),SUMIFS('ON Data'!L:L,'ON Data'!$E:$E,3))</f>
        <v>0</v>
      </c>
      <c r="H12" s="221">
        <f xml:space="preserve">
IF($A$4&lt;=12,SUMIFS('ON Data'!M:M,'ON Data'!$D:$D,$A$4,'ON Data'!$E:$E,3),SUMIFS('ON Data'!M:M,'ON Data'!$E:$E,3))</f>
        <v>0</v>
      </c>
      <c r="I12" s="221">
        <f xml:space="preserve">
IF($A$4&lt;=12,SUMIFS('ON Data'!N:N,'ON Data'!$D:$D,$A$4,'ON Data'!$E:$E,3),SUMIFS('ON Data'!N:N,'ON Data'!$E:$E,3))</f>
        <v>0</v>
      </c>
      <c r="J12" s="221">
        <f xml:space="preserve">
IF($A$4&lt;=12,SUMIFS('ON Data'!O:O,'ON Data'!$D:$D,$A$4,'ON Data'!$E:$E,3),SUMIFS('ON Data'!O:O,'ON Data'!$E:$E,3))</f>
        <v>0</v>
      </c>
      <c r="K12" s="221">
        <f xml:space="preserve">
IF($A$4&lt;=12,SUMIFS('ON Data'!P:P,'ON Data'!$D:$D,$A$4,'ON Data'!$E:$E,3),SUMIFS('ON Data'!P:P,'ON Data'!$E:$E,3))</f>
        <v>0</v>
      </c>
      <c r="L12" s="221">
        <f xml:space="preserve">
IF($A$4&lt;=12,SUMIFS('ON Data'!Q:Q,'ON Data'!$D:$D,$A$4,'ON Data'!$E:$E,3),SUMIFS('ON Data'!Q:Q,'ON Data'!$E:$E,3))</f>
        <v>0</v>
      </c>
      <c r="M12" s="221">
        <f xml:space="preserve">
IF($A$4&lt;=12,SUMIFS('ON Data'!R:R,'ON Data'!$D:$D,$A$4,'ON Data'!$E:$E,3),SUMIFS('ON Data'!R:R,'ON Data'!$E:$E,3))</f>
        <v>0</v>
      </c>
      <c r="N12" s="221">
        <f xml:space="preserve">
IF($A$4&lt;=12,SUMIFS('ON Data'!S:S,'ON Data'!$D:$D,$A$4,'ON Data'!$E:$E,3),SUMIFS('ON Data'!S:S,'ON Data'!$E:$E,3))</f>
        <v>0</v>
      </c>
      <c r="O12" s="221">
        <f xml:space="preserve">
IF($A$4&lt;=12,SUMIFS('ON Data'!T:T,'ON Data'!$D:$D,$A$4,'ON Data'!$E:$E,3),SUMIFS('ON Data'!T:T,'ON Data'!$E:$E,3))</f>
        <v>0</v>
      </c>
      <c r="P12" s="221">
        <f xml:space="preserve">
IF($A$4&lt;=12,SUMIFS('ON Data'!U:U,'ON Data'!$D:$D,$A$4,'ON Data'!$E:$E,3),SUMIFS('ON Data'!U:U,'ON Data'!$E:$E,3))</f>
        <v>0</v>
      </c>
      <c r="Q12" s="221">
        <f xml:space="preserve">
IF($A$4&lt;=12,SUMIFS('ON Data'!V:V,'ON Data'!$D:$D,$A$4,'ON Data'!$E:$E,3),SUMIFS('ON Data'!V:V,'ON Data'!$E:$E,3))</f>
        <v>0</v>
      </c>
      <c r="R12" s="221">
        <f xml:space="preserve">
IF($A$4&lt;=12,SUMIFS('ON Data'!W:W,'ON Data'!$D:$D,$A$4,'ON Data'!$E:$E,3),SUMIFS('ON Data'!W:W,'ON Data'!$E:$E,3))</f>
        <v>0</v>
      </c>
      <c r="S12" s="221">
        <f xml:space="preserve">
IF($A$4&lt;=12,SUMIFS('ON Data'!X:X,'ON Data'!$D:$D,$A$4,'ON Data'!$E:$E,3),SUMIFS('ON Data'!X:X,'ON Data'!$E:$E,3))</f>
        <v>0</v>
      </c>
      <c r="T12" s="221">
        <f xml:space="preserve">
IF($A$4&lt;=12,SUMIFS('ON Data'!Y:Y,'ON Data'!$D:$D,$A$4,'ON Data'!$E:$E,3),SUMIFS('ON Data'!Y:Y,'ON Data'!$E:$E,3))</f>
        <v>0</v>
      </c>
      <c r="U12" s="221">
        <f xml:space="preserve">
IF($A$4&lt;=12,SUMIFS('ON Data'!Z:Z,'ON Data'!$D:$D,$A$4,'ON Data'!$E:$E,3),SUMIFS('ON Data'!Z:Z,'ON Data'!$E:$E,3))</f>
        <v>0</v>
      </c>
      <c r="V12" s="221">
        <f xml:space="preserve">
IF($A$4&lt;=12,SUMIFS('ON Data'!AA:AA,'ON Data'!$D:$D,$A$4,'ON Data'!$E:$E,3),SUMIFS('ON Data'!AA:AA,'ON Data'!$E:$E,3))</f>
        <v>0</v>
      </c>
      <c r="W12" s="221">
        <f xml:space="preserve">
IF($A$4&lt;=12,SUMIFS('ON Data'!AB:AB,'ON Data'!$D:$D,$A$4,'ON Data'!$E:$E,3),SUMIFS('ON Data'!AB:AB,'ON Data'!$E:$E,3))</f>
        <v>0</v>
      </c>
      <c r="X12" s="221">
        <f xml:space="preserve">
IF($A$4&lt;=12,SUMIFS('ON Data'!AC:AC,'ON Data'!$D:$D,$A$4,'ON Data'!$E:$E,3),SUMIFS('ON Data'!AC:AC,'ON Data'!$E:$E,3))</f>
        <v>0</v>
      </c>
      <c r="Y12" s="221">
        <f xml:space="preserve">
IF($A$4&lt;=12,SUMIFS('ON Data'!AD:AD,'ON Data'!$D:$D,$A$4,'ON Data'!$E:$E,3),SUMIFS('ON Data'!AD:AD,'ON Data'!$E:$E,3))</f>
        <v>0</v>
      </c>
      <c r="Z12" s="221">
        <f xml:space="preserve">
IF($A$4&lt;=12,SUMIFS('ON Data'!AE:AE,'ON Data'!$D:$D,$A$4,'ON Data'!$E:$E,3),SUMIFS('ON Data'!AE:AE,'ON Data'!$E:$E,3))</f>
        <v>0</v>
      </c>
      <c r="AA12" s="221">
        <f xml:space="preserve">
IF($A$4&lt;=12,SUMIFS('ON Data'!AF:AF,'ON Data'!$D:$D,$A$4,'ON Data'!$E:$E,3),SUMIFS('ON Data'!AF:AF,'ON Data'!$E:$E,3))</f>
        <v>0</v>
      </c>
      <c r="AB12" s="221">
        <f xml:space="preserve">
IF($A$4&lt;=12,SUMIFS('ON Data'!AG:AG,'ON Data'!$D:$D,$A$4,'ON Data'!$E:$E,3),SUMIFS('ON Data'!AG:AG,'ON Data'!$E:$E,3))</f>
        <v>0</v>
      </c>
      <c r="AC12" s="221">
        <f xml:space="preserve">
IF($A$4&lt;=12,SUMIFS('ON Data'!AH:AH,'ON Data'!$D:$D,$A$4,'ON Data'!$E:$E,3),SUMIFS('ON Data'!AH:AH,'ON Data'!$E:$E,3))</f>
        <v>0</v>
      </c>
      <c r="AD12" s="221">
        <f xml:space="preserve">
IF($A$4&lt;=12,SUMIFS('ON Data'!AI:AI,'ON Data'!$D:$D,$A$4,'ON Data'!$E:$E,3),SUMIFS('ON Data'!AI:AI,'ON Data'!$E:$E,3))</f>
        <v>0</v>
      </c>
      <c r="AE12" s="221">
        <f xml:space="preserve">
IF($A$4&lt;=12,SUMIFS('ON Data'!AJ:AJ,'ON Data'!$D:$D,$A$4,'ON Data'!$E:$E,3),SUMIFS('ON Data'!AJ:AJ,'ON Data'!$E:$E,3))</f>
        <v>0</v>
      </c>
      <c r="AF12" s="221">
        <f xml:space="preserve">
IF($A$4&lt;=12,SUMIFS('ON Data'!AK:AK,'ON Data'!$D:$D,$A$4,'ON Data'!$E:$E,3),SUMIFS('ON Data'!AK:AK,'ON Data'!$E:$E,3))</f>
        <v>0</v>
      </c>
      <c r="AG12" s="353">
        <f xml:space="preserve">
IF($A$4&lt;=12,SUMIFS('ON Data'!AM:AM,'ON Data'!$D:$D,$A$4,'ON Data'!$E:$E,3),SUMIFS('ON Data'!AM:AM,'ON Data'!$E:$E,3))</f>
        <v>0</v>
      </c>
      <c r="AH12" s="363"/>
    </row>
    <row r="13" spans="1:34" x14ac:dyDescent="0.3">
      <c r="A13" s="202" t="s">
        <v>167</v>
      </c>
      <c r="B13" s="219">
        <f xml:space="preserve">
IF($A$4&lt;=12,SUMIFS('ON Data'!F:F,'ON Data'!$D:$D,$A$4,'ON Data'!$E:$E,4),SUMIFS('ON Data'!F:F,'ON Data'!$E:$E,4))</f>
        <v>0</v>
      </c>
      <c r="C13" s="220">
        <f xml:space="preserve">
IF($A$4&lt;=12,SUMIFS('ON Data'!G:G,'ON Data'!$D:$D,$A$4,'ON Data'!$E:$E,4),SUMIFS('ON Data'!G:G,'ON Data'!$E:$E,4))</f>
        <v>0</v>
      </c>
      <c r="D13" s="221">
        <f xml:space="preserve">
IF($A$4&lt;=12,SUMIFS('ON Data'!H:H,'ON Data'!$D:$D,$A$4,'ON Data'!$E:$E,4),SUMIFS('ON Data'!H:H,'ON Data'!$E:$E,4))</f>
        <v>0</v>
      </c>
      <c r="E13" s="221">
        <f xml:space="preserve">
IF($A$4&lt;=12,SUMIFS('ON Data'!I:I,'ON Data'!$D:$D,$A$4,'ON Data'!$E:$E,4),SUMIFS('ON Data'!I:I,'ON Data'!$E:$E,4))</f>
        <v>0</v>
      </c>
      <c r="F13" s="221">
        <f xml:space="preserve">
IF($A$4&lt;=12,SUMIFS('ON Data'!K:K,'ON Data'!$D:$D,$A$4,'ON Data'!$E:$E,4),SUMIFS('ON Data'!K:K,'ON Data'!$E:$E,4))</f>
        <v>0</v>
      </c>
      <c r="G13" s="221">
        <f xml:space="preserve">
IF($A$4&lt;=12,SUMIFS('ON Data'!L:L,'ON Data'!$D:$D,$A$4,'ON Data'!$E:$E,4),SUMIFS('ON Data'!L:L,'ON Data'!$E:$E,4))</f>
        <v>0</v>
      </c>
      <c r="H13" s="221">
        <f xml:space="preserve">
IF($A$4&lt;=12,SUMIFS('ON Data'!M:M,'ON Data'!$D:$D,$A$4,'ON Data'!$E:$E,4),SUMIFS('ON Data'!M:M,'ON Data'!$E:$E,4))</f>
        <v>0</v>
      </c>
      <c r="I13" s="221">
        <f xml:space="preserve">
IF($A$4&lt;=12,SUMIFS('ON Data'!N:N,'ON Data'!$D:$D,$A$4,'ON Data'!$E:$E,4),SUMIFS('ON Data'!N:N,'ON Data'!$E:$E,4))</f>
        <v>0</v>
      </c>
      <c r="J13" s="221">
        <f xml:space="preserve">
IF($A$4&lt;=12,SUMIFS('ON Data'!O:O,'ON Data'!$D:$D,$A$4,'ON Data'!$E:$E,4),SUMIFS('ON Data'!O:O,'ON Data'!$E:$E,4))</f>
        <v>0</v>
      </c>
      <c r="K13" s="221">
        <f xml:space="preserve">
IF($A$4&lt;=12,SUMIFS('ON Data'!P:P,'ON Data'!$D:$D,$A$4,'ON Data'!$E:$E,4),SUMIFS('ON Data'!P:P,'ON Data'!$E:$E,4))</f>
        <v>0</v>
      </c>
      <c r="L13" s="221">
        <f xml:space="preserve">
IF($A$4&lt;=12,SUMIFS('ON Data'!Q:Q,'ON Data'!$D:$D,$A$4,'ON Data'!$E:$E,4),SUMIFS('ON Data'!Q:Q,'ON Data'!$E:$E,4))</f>
        <v>0</v>
      </c>
      <c r="M13" s="221">
        <f xml:space="preserve">
IF($A$4&lt;=12,SUMIFS('ON Data'!R:R,'ON Data'!$D:$D,$A$4,'ON Data'!$E:$E,4),SUMIFS('ON Data'!R:R,'ON Data'!$E:$E,4))</f>
        <v>0</v>
      </c>
      <c r="N13" s="221">
        <f xml:space="preserve">
IF($A$4&lt;=12,SUMIFS('ON Data'!S:S,'ON Data'!$D:$D,$A$4,'ON Data'!$E:$E,4),SUMIFS('ON Data'!S:S,'ON Data'!$E:$E,4))</f>
        <v>0</v>
      </c>
      <c r="O13" s="221">
        <f xml:space="preserve">
IF($A$4&lt;=12,SUMIFS('ON Data'!T:T,'ON Data'!$D:$D,$A$4,'ON Data'!$E:$E,4),SUMIFS('ON Data'!T:T,'ON Data'!$E:$E,4))</f>
        <v>0</v>
      </c>
      <c r="P13" s="221">
        <f xml:space="preserve">
IF($A$4&lt;=12,SUMIFS('ON Data'!U:U,'ON Data'!$D:$D,$A$4,'ON Data'!$E:$E,4),SUMIFS('ON Data'!U:U,'ON Data'!$E:$E,4))</f>
        <v>0</v>
      </c>
      <c r="Q13" s="221">
        <f xml:space="preserve">
IF($A$4&lt;=12,SUMIFS('ON Data'!V:V,'ON Data'!$D:$D,$A$4,'ON Data'!$E:$E,4),SUMIFS('ON Data'!V:V,'ON Data'!$E:$E,4))</f>
        <v>0</v>
      </c>
      <c r="R13" s="221">
        <f xml:space="preserve">
IF($A$4&lt;=12,SUMIFS('ON Data'!W:W,'ON Data'!$D:$D,$A$4,'ON Data'!$E:$E,4),SUMIFS('ON Data'!W:W,'ON Data'!$E:$E,4))</f>
        <v>0</v>
      </c>
      <c r="S13" s="221">
        <f xml:space="preserve">
IF($A$4&lt;=12,SUMIFS('ON Data'!X:X,'ON Data'!$D:$D,$A$4,'ON Data'!$E:$E,4),SUMIFS('ON Data'!X:X,'ON Data'!$E:$E,4))</f>
        <v>0</v>
      </c>
      <c r="T13" s="221">
        <f xml:space="preserve">
IF($A$4&lt;=12,SUMIFS('ON Data'!Y:Y,'ON Data'!$D:$D,$A$4,'ON Data'!$E:$E,4),SUMIFS('ON Data'!Y:Y,'ON Data'!$E:$E,4))</f>
        <v>0</v>
      </c>
      <c r="U13" s="221">
        <f xml:space="preserve">
IF($A$4&lt;=12,SUMIFS('ON Data'!Z:Z,'ON Data'!$D:$D,$A$4,'ON Data'!$E:$E,4),SUMIFS('ON Data'!Z:Z,'ON Data'!$E:$E,4))</f>
        <v>0</v>
      </c>
      <c r="V13" s="221">
        <f xml:space="preserve">
IF($A$4&lt;=12,SUMIFS('ON Data'!AA:AA,'ON Data'!$D:$D,$A$4,'ON Data'!$E:$E,4),SUMIFS('ON Data'!AA:AA,'ON Data'!$E:$E,4))</f>
        <v>0</v>
      </c>
      <c r="W13" s="221">
        <f xml:space="preserve">
IF($A$4&lt;=12,SUMIFS('ON Data'!AB:AB,'ON Data'!$D:$D,$A$4,'ON Data'!$E:$E,4),SUMIFS('ON Data'!AB:AB,'ON Data'!$E:$E,4))</f>
        <v>0</v>
      </c>
      <c r="X13" s="221">
        <f xml:space="preserve">
IF($A$4&lt;=12,SUMIFS('ON Data'!AC:AC,'ON Data'!$D:$D,$A$4,'ON Data'!$E:$E,4),SUMIFS('ON Data'!AC:AC,'ON Data'!$E:$E,4))</f>
        <v>0</v>
      </c>
      <c r="Y13" s="221">
        <f xml:space="preserve">
IF($A$4&lt;=12,SUMIFS('ON Data'!AD:AD,'ON Data'!$D:$D,$A$4,'ON Data'!$E:$E,4),SUMIFS('ON Data'!AD:AD,'ON Data'!$E:$E,4))</f>
        <v>0</v>
      </c>
      <c r="Z13" s="221">
        <f xml:space="preserve">
IF($A$4&lt;=12,SUMIFS('ON Data'!AE:AE,'ON Data'!$D:$D,$A$4,'ON Data'!$E:$E,4),SUMIFS('ON Data'!AE:AE,'ON Data'!$E:$E,4))</f>
        <v>0</v>
      </c>
      <c r="AA13" s="221">
        <f xml:space="preserve">
IF($A$4&lt;=12,SUMIFS('ON Data'!AF:AF,'ON Data'!$D:$D,$A$4,'ON Data'!$E:$E,4),SUMIFS('ON Data'!AF:AF,'ON Data'!$E:$E,4))</f>
        <v>0</v>
      </c>
      <c r="AB13" s="221">
        <f xml:space="preserve">
IF($A$4&lt;=12,SUMIFS('ON Data'!AG:AG,'ON Data'!$D:$D,$A$4,'ON Data'!$E:$E,4),SUMIFS('ON Data'!AG:AG,'ON Data'!$E:$E,4))</f>
        <v>0</v>
      </c>
      <c r="AC13" s="221">
        <f xml:space="preserve">
IF($A$4&lt;=12,SUMIFS('ON Data'!AH:AH,'ON Data'!$D:$D,$A$4,'ON Data'!$E:$E,4),SUMIFS('ON Data'!AH:AH,'ON Data'!$E:$E,4))</f>
        <v>0</v>
      </c>
      <c r="AD13" s="221">
        <f xml:space="preserve">
IF($A$4&lt;=12,SUMIFS('ON Data'!AI:AI,'ON Data'!$D:$D,$A$4,'ON Data'!$E:$E,4),SUMIFS('ON Data'!AI:AI,'ON Data'!$E:$E,4))</f>
        <v>0</v>
      </c>
      <c r="AE13" s="221">
        <f xml:space="preserve">
IF($A$4&lt;=12,SUMIFS('ON Data'!AJ:AJ,'ON Data'!$D:$D,$A$4,'ON Data'!$E:$E,4),SUMIFS('ON Data'!AJ:AJ,'ON Data'!$E:$E,4))</f>
        <v>0</v>
      </c>
      <c r="AF13" s="221">
        <f xml:space="preserve">
IF($A$4&lt;=12,SUMIFS('ON Data'!AK:AK,'ON Data'!$D:$D,$A$4,'ON Data'!$E:$E,4),SUMIFS('ON Data'!AK:AK,'ON Data'!$E:$E,4))</f>
        <v>0</v>
      </c>
      <c r="AG13" s="353">
        <f xml:space="preserve">
IF($A$4&lt;=12,SUMIFS('ON Data'!AM:AM,'ON Data'!$D:$D,$A$4,'ON Data'!$E:$E,4),SUMIFS('ON Data'!AM:AM,'ON Data'!$E:$E,4))</f>
        <v>0</v>
      </c>
      <c r="AH13" s="363"/>
    </row>
    <row r="14" spans="1:34" ht="15" thickBot="1" x14ac:dyDescent="0.35">
      <c r="A14" s="203" t="s">
        <v>161</v>
      </c>
      <c r="B14" s="222">
        <f xml:space="preserve">
IF($A$4&lt;=12,SUMIFS('ON Data'!F:F,'ON Data'!$D:$D,$A$4,'ON Data'!$E:$E,5),SUMIFS('ON Data'!F:F,'ON Data'!$E:$E,5))</f>
        <v>0</v>
      </c>
      <c r="C14" s="223">
        <f xml:space="preserve">
IF($A$4&lt;=12,SUMIFS('ON Data'!G:G,'ON Data'!$D:$D,$A$4,'ON Data'!$E:$E,5),SUMIFS('ON Data'!G:G,'ON Data'!$E:$E,5))</f>
        <v>0</v>
      </c>
      <c r="D14" s="224">
        <f xml:space="preserve">
IF($A$4&lt;=12,SUMIFS('ON Data'!H:H,'ON Data'!$D:$D,$A$4,'ON Data'!$E:$E,5),SUMIFS('ON Data'!H:H,'ON Data'!$E:$E,5))</f>
        <v>0</v>
      </c>
      <c r="E14" s="224">
        <f xml:space="preserve">
IF($A$4&lt;=12,SUMIFS('ON Data'!I:I,'ON Data'!$D:$D,$A$4,'ON Data'!$E:$E,5),SUMIFS('ON Data'!I:I,'ON Data'!$E:$E,5))</f>
        <v>0</v>
      </c>
      <c r="F14" s="224">
        <f xml:space="preserve">
IF($A$4&lt;=12,SUMIFS('ON Data'!K:K,'ON Data'!$D:$D,$A$4,'ON Data'!$E:$E,5),SUMIFS('ON Data'!K:K,'ON Data'!$E:$E,5))</f>
        <v>0</v>
      </c>
      <c r="G14" s="224">
        <f xml:space="preserve">
IF($A$4&lt;=12,SUMIFS('ON Data'!L:L,'ON Data'!$D:$D,$A$4,'ON Data'!$E:$E,5),SUMIFS('ON Data'!L:L,'ON Data'!$E:$E,5))</f>
        <v>0</v>
      </c>
      <c r="H14" s="224">
        <f xml:space="preserve">
IF($A$4&lt;=12,SUMIFS('ON Data'!M:M,'ON Data'!$D:$D,$A$4,'ON Data'!$E:$E,5),SUMIFS('ON Data'!M:M,'ON Data'!$E:$E,5))</f>
        <v>0</v>
      </c>
      <c r="I14" s="224">
        <f xml:space="preserve">
IF($A$4&lt;=12,SUMIFS('ON Data'!N:N,'ON Data'!$D:$D,$A$4,'ON Data'!$E:$E,5),SUMIFS('ON Data'!N:N,'ON Data'!$E:$E,5))</f>
        <v>0</v>
      </c>
      <c r="J14" s="224">
        <f xml:space="preserve">
IF($A$4&lt;=12,SUMIFS('ON Data'!O:O,'ON Data'!$D:$D,$A$4,'ON Data'!$E:$E,5),SUMIFS('ON Data'!O:O,'ON Data'!$E:$E,5))</f>
        <v>0</v>
      </c>
      <c r="K14" s="224">
        <f xml:space="preserve">
IF($A$4&lt;=12,SUMIFS('ON Data'!P:P,'ON Data'!$D:$D,$A$4,'ON Data'!$E:$E,5),SUMIFS('ON Data'!P:P,'ON Data'!$E:$E,5))</f>
        <v>0</v>
      </c>
      <c r="L14" s="224">
        <f xml:space="preserve">
IF($A$4&lt;=12,SUMIFS('ON Data'!Q:Q,'ON Data'!$D:$D,$A$4,'ON Data'!$E:$E,5),SUMIFS('ON Data'!Q:Q,'ON Data'!$E:$E,5))</f>
        <v>0</v>
      </c>
      <c r="M14" s="224">
        <f xml:space="preserve">
IF($A$4&lt;=12,SUMIFS('ON Data'!R:R,'ON Data'!$D:$D,$A$4,'ON Data'!$E:$E,5),SUMIFS('ON Data'!R:R,'ON Data'!$E:$E,5))</f>
        <v>0</v>
      </c>
      <c r="N14" s="224">
        <f xml:space="preserve">
IF($A$4&lt;=12,SUMIFS('ON Data'!S:S,'ON Data'!$D:$D,$A$4,'ON Data'!$E:$E,5),SUMIFS('ON Data'!S:S,'ON Data'!$E:$E,5))</f>
        <v>0</v>
      </c>
      <c r="O14" s="224">
        <f xml:space="preserve">
IF($A$4&lt;=12,SUMIFS('ON Data'!T:T,'ON Data'!$D:$D,$A$4,'ON Data'!$E:$E,5),SUMIFS('ON Data'!T:T,'ON Data'!$E:$E,5))</f>
        <v>0</v>
      </c>
      <c r="P14" s="224">
        <f xml:space="preserve">
IF($A$4&lt;=12,SUMIFS('ON Data'!U:U,'ON Data'!$D:$D,$A$4,'ON Data'!$E:$E,5),SUMIFS('ON Data'!U:U,'ON Data'!$E:$E,5))</f>
        <v>0</v>
      </c>
      <c r="Q14" s="224">
        <f xml:space="preserve">
IF($A$4&lt;=12,SUMIFS('ON Data'!V:V,'ON Data'!$D:$D,$A$4,'ON Data'!$E:$E,5),SUMIFS('ON Data'!V:V,'ON Data'!$E:$E,5))</f>
        <v>0</v>
      </c>
      <c r="R14" s="224">
        <f xml:space="preserve">
IF($A$4&lt;=12,SUMIFS('ON Data'!W:W,'ON Data'!$D:$D,$A$4,'ON Data'!$E:$E,5),SUMIFS('ON Data'!W:W,'ON Data'!$E:$E,5))</f>
        <v>0</v>
      </c>
      <c r="S14" s="224">
        <f xml:space="preserve">
IF($A$4&lt;=12,SUMIFS('ON Data'!X:X,'ON Data'!$D:$D,$A$4,'ON Data'!$E:$E,5),SUMIFS('ON Data'!X:X,'ON Data'!$E:$E,5))</f>
        <v>0</v>
      </c>
      <c r="T14" s="224">
        <f xml:space="preserve">
IF($A$4&lt;=12,SUMIFS('ON Data'!Y:Y,'ON Data'!$D:$D,$A$4,'ON Data'!$E:$E,5),SUMIFS('ON Data'!Y:Y,'ON Data'!$E:$E,5))</f>
        <v>0</v>
      </c>
      <c r="U14" s="224">
        <f xml:space="preserve">
IF($A$4&lt;=12,SUMIFS('ON Data'!Z:Z,'ON Data'!$D:$D,$A$4,'ON Data'!$E:$E,5),SUMIFS('ON Data'!Z:Z,'ON Data'!$E:$E,5))</f>
        <v>0</v>
      </c>
      <c r="V14" s="224">
        <f xml:space="preserve">
IF($A$4&lt;=12,SUMIFS('ON Data'!AA:AA,'ON Data'!$D:$D,$A$4,'ON Data'!$E:$E,5),SUMIFS('ON Data'!AA:AA,'ON Data'!$E:$E,5))</f>
        <v>0</v>
      </c>
      <c r="W14" s="224">
        <f xml:space="preserve">
IF($A$4&lt;=12,SUMIFS('ON Data'!AB:AB,'ON Data'!$D:$D,$A$4,'ON Data'!$E:$E,5),SUMIFS('ON Data'!AB:AB,'ON Data'!$E:$E,5))</f>
        <v>0</v>
      </c>
      <c r="X14" s="224">
        <f xml:space="preserve">
IF($A$4&lt;=12,SUMIFS('ON Data'!AC:AC,'ON Data'!$D:$D,$A$4,'ON Data'!$E:$E,5),SUMIFS('ON Data'!AC:AC,'ON Data'!$E:$E,5))</f>
        <v>0</v>
      </c>
      <c r="Y14" s="224">
        <f xml:space="preserve">
IF($A$4&lt;=12,SUMIFS('ON Data'!AD:AD,'ON Data'!$D:$D,$A$4,'ON Data'!$E:$E,5),SUMIFS('ON Data'!AD:AD,'ON Data'!$E:$E,5))</f>
        <v>0</v>
      </c>
      <c r="Z14" s="224">
        <f xml:space="preserve">
IF($A$4&lt;=12,SUMIFS('ON Data'!AE:AE,'ON Data'!$D:$D,$A$4,'ON Data'!$E:$E,5),SUMIFS('ON Data'!AE:AE,'ON Data'!$E:$E,5))</f>
        <v>0</v>
      </c>
      <c r="AA14" s="224">
        <f xml:space="preserve">
IF($A$4&lt;=12,SUMIFS('ON Data'!AF:AF,'ON Data'!$D:$D,$A$4,'ON Data'!$E:$E,5),SUMIFS('ON Data'!AF:AF,'ON Data'!$E:$E,5))</f>
        <v>0</v>
      </c>
      <c r="AB14" s="224">
        <f xml:space="preserve">
IF($A$4&lt;=12,SUMIFS('ON Data'!AG:AG,'ON Data'!$D:$D,$A$4,'ON Data'!$E:$E,5),SUMIFS('ON Data'!AG:AG,'ON Data'!$E:$E,5))</f>
        <v>0</v>
      </c>
      <c r="AC14" s="224">
        <f xml:space="preserve">
IF($A$4&lt;=12,SUMIFS('ON Data'!AH:AH,'ON Data'!$D:$D,$A$4,'ON Data'!$E:$E,5),SUMIFS('ON Data'!AH:AH,'ON Data'!$E:$E,5))</f>
        <v>0</v>
      </c>
      <c r="AD14" s="224">
        <f xml:space="preserve">
IF($A$4&lt;=12,SUMIFS('ON Data'!AI:AI,'ON Data'!$D:$D,$A$4,'ON Data'!$E:$E,5),SUMIFS('ON Data'!AI:AI,'ON Data'!$E:$E,5))</f>
        <v>0</v>
      </c>
      <c r="AE14" s="224">
        <f xml:space="preserve">
IF($A$4&lt;=12,SUMIFS('ON Data'!AJ:AJ,'ON Data'!$D:$D,$A$4,'ON Data'!$E:$E,5),SUMIFS('ON Data'!AJ:AJ,'ON Data'!$E:$E,5))</f>
        <v>0</v>
      </c>
      <c r="AF14" s="224">
        <f xml:space="preserve">
IF($A$4&lt;=12,SUMIFS('ON Data'!AK:AK,'ON Data'!$D:$D,$A$4,'ON Data'!$E:$E,5),SUMIFS('ON Data'!AK:AK,'ON Data'!$E:$E,5))</f>
        <v>0</v>
      </c>
      <c r="AG14" s="354">
        <f xml:space="preserve">
IF($A$4&lt;=12,SUMIFS('ON Data'!AM:AM,'ON Data'!$D:$D,$A$4,'ON Data'!$E:$E,5),SUMIFS('ON Data'!AM:AM,'ON Data'!$E:$E,5))</f>
        <v>0</v>
      </c>
      <c r="AH14" s="363"/>
    </row>
    <row r="15" spans="1:34" x14ac:dyDescent="0.3">
      <c r="A15" s="132" t="s">
        <v>171</v>
      </c>
      <c r="B15" s="225"/>
      <c r="C15" s="226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355"/>
      <c r="AH15" s="363"/>
    </row>
    <row r="16" spans="1:34" x14ac:dyDescent="0.3">
      <c r="A16" s="204" t="s">
        <v>162</v>
      </c>
      <c r="B16" s="219">
        <f xml:space="preserve">
IF($A$4&lt;=12,SUMIFS('ON Data'!F:F,'ON Data'!$D:$D,$A$4,'ON Data'!$E:$E,7),SUMIFS('ON Data'!F:F,'ON Data'!$E:$E,7))</f>
        <v>0</v>
      </c>
      <c r="C16" s="220">
        <f xml:space="preserve">
IF($A$4&lt;=12,SUMIFS('ON Data'!G:G,'ON Data'!$D:$D,$A$4,'ON Data'!$E:$E,7),SUMIFS('ON Data'!G:G,'ON Data'!$E:$E,7))</f>
        <v>0</v>
      </c>
      <c r="D16" s="221">
        <f xml:space="preserve">
IF($A$4&lt;=12,SUMIFS('ON Data'!H:H,'ON Data'!$D:$D,$A$4,'ON Data'!$E:$E,7),SUMIFS('ON Data'!H:H,'ON Data'!$E:$E,7))</f>
        <v>0</v>
      </c>
      <c r="E16" s="221">
        <f xml:space="preserve">
IF($A$4&lt;=12,SUMIFS('ON Data'!I:I,'ON Data'!$D:$D,$A$4,'ON Data'!$E:$E,7),SUMIFS('ON Data'!I:I,'ON Data'!$E:$E,7))</f>
        <v>0</v>
      </c>
      <c r="F16" s="221">
        <f xml:space="preserve">
IF($A$4&lt;=12,SUMIFS('ON Data'!K:K,'ON Data'!$D:$D,$A$4,'ON Data'!$E:$E,7),SUMIFS('ON Data'!K:K,'ON Data'!$E:$E,7))</f>
        <v>0</v>
      </c>
      <c r="G16" s="221">
        <f xml:space="preserve">
IF($A$4&lt;=12,SUMIFS('ON Data'!L:L,'ON Data'!$D:$D,$A$4,'ON Data'!$E:$E,7),SUMIFS('ON Data'!L:L,'ON Data'!$E:$E,7))</f>
        <v>0</v>
      </c>
      <c r="H16" s="221">
        <f xml:space="preserve">
IF($A$4&lt;=12,SUMIFS('ON Data'!M:M,'ON Data'!$D:$D,$A$4,'ON Data'!$E:$E,7),SUMIFS('ON Data'!M:M,'ON Data'!$E:$E,7))</f>
        <v>0</v>
      </c>
      <c r="I16" s="221">
        <f xml:space="preserve">
IF($A$4&lt;=12,SUMIFS('ON Data'!N:N,'ON Data'!$D:$D,$A$4,'ON Data'!$E:$E,7),SUMIFS('ON Data'!N:N,'ON Data'!$E:$E,7))</f>
        <v>0</v>
      </c>
      <c r="J16" s="221">
        <f xml:space="preserve">
IF($A$4&lt;=12,SUMIFS('ON Data'!O:O,'ON Data'!$D:$D,$A$4,'ON Data'!$E:$E,7),SUMIFS('ON Data'!O:O,'ON Data'!$E:$E,7))</f>
        <v>0</v>
      </c>
      <c r="K16" s="221">
        <f xml:space="preserve">
IF($A$4&lt;=12,SUMIFS('ON Data'!P:P,'ON Data'!$D:$D,$A$4,'ON Data'!$E:$E,7),SUMIFS('ON Data'!P:P,'ON Data'!$E:$E,7))</f>
        <v>0</v>
      </c>
      <c r="L16" s="221">
        <f xml:space="preserve">
IF($A$4&lt;=12,SUMIFS('ON Data'!Q:Q,'ON Data'!$D:$D,$A$4,'ON Data'!$E:$E,7),SUMIFS('ON Data'!Q:Q,'ON Data'!$E:$E,7))</f>
        <v>0</v>
      </c>
      <c r="M16" s="221">
        <f xml:space="preserve">
IF($A$4&lt;=12,SUMIFS('ON Data'!R:R,'ON Data'!$D:$D,$A$4,'ON Data'!$E:$E,7),SUMIFS('ON Data'!R:R,'ON Data'!$E:$E,7))</f>
        <v>0</v>
      </c>
      <c r="N16" s="221">
        <f xml:space="preserve">
IF($A$4&lt;=12,SUMIFS('ON Data'!S:S,'ON Data'!$D:$D,$A$4,'ON Data'!$E:$E,7),SUMIFS('ON Data'!S:S,'ON Data'!$E:$E,7))</f>
        <v>0</v>
      </c>
      <c r="O16" s="221">
        <f xml:space="preserve">
IF($A$4&lt;=12,SUMIFS('ON Data'!T:T,'ON Data'!$D:$D,$A$4,'ON Data'!$E:$E,7),SUMIFS('ON Data'!T:T,'ON Data'!$E:$E,7))</f>
        <v>0</v>
      </c>
      <c r="P16" s="221">
        <f xml:space="preserve">
IF($A$4&lt;=12,SUMIFS('ON Data'!U:U,'ON Data'!$D:$D,$A$4,'ON Data'!$E:$E,7),SUMIFS('ON Data'!U:U,'ON Data'!$E:$E,7))</f>
        <v>0</v>
      </c>
      <c r="Q16" s="221">
        <f xml:space="preserve">
IF($A$4&lt;=12,SUMIFS('ON Data'!V:V,'ON Data'!$D:$D,$A$4,'ON Data'!$E:$E,7),SUMIFS('ON Data'!V:V,'ON Data'!$E:$E,7))</f>
        <v>0</v>
      </c>
      <c r="R16" s="221">
        <f xml:space="preserve">
IF($A$4&lt;=12,SUMIFS('ON Data'!W:W,'ON Data'!$D:$D,$A$4,'ON Data'!$E:$E,7),SUMIFS('ON Data'!W:W,'ON Data'!$E:$E,7))</f>
        <v>0</v>
      </c>
      <c r="S16" s="221">
        <f xml:space="preserve">
IF($A$4&lt;=12,SUMIFS('ON Data'!X:X,'ON Data'!$D:$D,$A$4,'ON Data'!$E:$E,7),SUMIFS('ON Data'!X:X,'ON Data'!$E:$E,7))</f>
        <v>0</v>
      </c>
      <c r="T16" s="221">
        <f xml:space="preserve">
IF($A$4&lt;=12,SUMIFS('ON Data'!Y:Y,'ON Data'!$D:$D,$A$4,'ON Data'!$E:$E,7),SUMIFS('ON Data'!Y:Y,'ON Data'!$E:$E,7))</f>
        <v>0</v>
      </c>
      <c r="U16" s="221">
        <f xml:space="preserve">
IF($A$4&lt;=12,SUMIFS('ON Data'!Z:Z,'ON Data'!$D:$D,$A$4,'ON Data'!$E:$E,7),SUMIFS('ON Data'!Z:Z,'ON Data'!$E:$E,7))</f>
        <v>0</v>
      </c>
      <c r="V16" s="221">
        <f xml:space="preserve">
IF($A$4&lt;=12,SUMIFS('ON Data'!AA:AA,'ON Data'!$D:$D,$A$4,'ON Data'!$E:$E,7),SUMIFS('ON Data'!AA:AA,'ON Data'!$E:$E,7))</f>
        <v>0</v>
      </c>
      <c r="W16" s="221">
        <f xml:space="preserve">
IF($A$4&lt;=12,SUMIFS('ON Data'!AB:AB,'ON Data'!$D:$D,$A$4,'ON Data'!$E:$E,7),SUMIFS('ON Data'!AB:AB,'ON Data'!$E:$E,7))</f>
        <v>0</v>
      </c>
      <c r="X16" s="221">
        <f xml:space="preserve">
IF($A$4&lt;=12,SUMIFS('ON Data'!AC:AC,'ON Data'!$D:$D,$A$4,'ON Data'!$E:$E,7),SUMIFS('ON Data'!AC:AC,'ON Data'!$E:$E,7))</f>
        <v>0</v>
      </c>
      <c r="Y16" s="221">
        <f xml:space="preserve">
IF($A$4&lt;=12,SUMIFS('ON Data'!AD:AD,'ON Data'!$D:$D,$A$4,'ON Data'!$E:$E,7),SUMIFS('ON Data'!AD:AD,'ON Data'!$E:$E,7))</f>
        <v>0</v>
      </c>
      <c r="Z16" s="221">
        <f xml:space="preserve">
IF($A$4&lt;=12,SUMIFS('ON Data'!AE:AE,'ON Data'!$D:$D,$A$4,'ON Data'!$E:$E,7),SUMIFS('ON Data'!AE:AE,'ON Data'!$E:$E,7))</f>
        <v>0</v>
      </c>
      <c r="AA16" s="221">
        <f xml:space="preserve">
IF($A$4&lt;=12,SUMIFS('ON Data'!AF:AF,'ON Data'!$D:$D,$A$4,'ON Data'!$E:$E,7),SUMIFS('ON Data'!AF:AF,'ON Data'!$E:$E,7))</f>
        <v>0</v>
      </c>
      <c r="AB16" s="221">
        <f xml:space="preserve">
IF($A$4&lt;=12,SUMIFS('ON Data'!AG:AG,'ON Data'!$D:$D,$A$4,'ON Data'!$E:$E,7),SUMIFS('ON Data'!AG:AG,'ON Data'!$E:$E,7))</f>
        <v>0</v>
      </c>
      <c r="AC16" s="221">
        <f xml:space="preserve">
IF($A$4&lt;=12,SUMIFS('ON Data'!AH:AH,'ON Data'!$D:$D,$A$4,'ON Data'!$E:$E,7),SUMIFS('ON Data'!AH:AH,'ON Data'!$E:$E,7))</f>
        <v>0</v>
      </c>
      <c r="AD16" s="221">
        <f xml:space="preserve">
IF($A$4&lt;=12,SUMIFS('ON Data'!AI:AI,'ON Data'!$D:$D,$A$4,'ON Data'!$E:$E,7),SUMIFS('ON Data'!AI:AI,'ON Data'!$E:$E,7))</f>
        <v>0</v>
      </c>
      <c r="AE16" s="221">
        <f xml:space="preserve">
IF($A$4&lt;=12,SUMIFS('ON Data'!AJ:AJ,'ON Data'!$D:$D,$A$4,'ON Data'!$E:$E,7),SUMIFS('ON Data'!AJ:AJ,'ON Data'!$E:$E,7))</f>
        <v>0</v>
      </c>
      <c r="AF16" s="221">
        <f xml:space="preserve">
IF($A$4&lt;=12,SUMIFS('ON Data'!AK:AK,'ON Data'!$D:$D,$A$4,'ON Data'!$E:$E,7),SUMIFS('ON Data'!AK:AK,'ON Data'!$E:$E,7))</f>
        <v>0</v>
      </c>
      <c r="AG16" s="353">
        <f xml:space="preserve">
IF($A$4&lt;=12,SUMIFS('ON Data'!AM:AM,'ON Data'!$D:$D,$A$4,'ON Data'!$E:$E,7),SUMIFS('ON Data'!AM:AM,'ON Data'!$E:$E,7))</f>
        <v>0</v>
      </c>
      <c r="AH16" s="363"/>
    </row>
    <row r="17" spans="1:34" x14ac:dyDescent="0.3">
      <c r="A17" s="204" t="s">
        <v>163</v>
      </c>
      <c r="B17" s="219">
        <f xml:space="preserve">
IF($A$4&lt;=12,SUMIFS('ON Data'!F:F,'ON Data'!$D:$D,$A$4,'ON Data'!$E:$E,8),SUMIFS('ON Data'!F:F,'ON Data'!$E:$E,8))</f>
        <v>0</v>
      </c>
      <c r="C17" s="220">
        <f xml:space="preserve">
IF($A$4&lt;=12,SUMIFS('ON Data'!G:G,'ON Data'!$D:$D,$A$4,'ON Data'!$E:$E,8),SUMIFS('ON Data'!G:G,'ON Data'!$E:$E,8))</f>
        <v>0</v>
      </c>
      <c r="D17" s="221">
        <f xml:space="preserve">
IF($A$4&lt;=12,SUMIFS('ON Data'!H:H,'ON Data'!$D:$D,$A$4,'ON Data'!$E:$E,8),SUMIFS('ON Data'!H:H,'ON Data'!$E:$E,8))</f>
        <v>0</v>
      </c>
      <c r="E17" s="221">
        <f xml:space="preserve">
IF($A$4&lt;=12,SUMIFS('ON Data'!I:I,'ON Data'!$D:$D,$A$4,'ON Data'!$E:$E,8),SUMIFS('ON Data'!I:I,'ON Data'!$E:$E,8))</f>
        <v>0</v>
      </c>
      <c r="F17" s="221">
        <f xml:space="preserve">
IF($A$4&lt;=12,SUMIFS('ON Data'!K:K,'ON Data'!$D:$D,$A$4,'ON Data'!$E:$E,8),SUMIFS('ON Data'!K:K,'ON Data'!$E:$E,8))</f>
        <v>0</v>
      </c>
      <c r="G17" s="221">
        <f xml:space="preserve">
IF($A$4&lt;=12,SUMIFS('ON Data'!L:L,'ON Data'!$D:$D,$A$4,'ON Data'!$E:$E,8),SUMIFS('ON Data'!L:L,'ON Data'!$E:$E,8))</f>
        <v>0</v>
      </c>
      <c r="H17" s="221">
        <f xml:space="preserve">
IF($A$4&lt;=12,SUMIFS('ON Data'!M:M,'ON Data'!$D:$D,$A$4,'ON Data'!$E:$E,8),SUMIFS('ON Data'!M:M,'ON Data'!$E:$E,8))</f>
        <v>0</v>
      </c>
      <c r="I17" s="221">
        <f xml:space="preserve">
IF($A$4&lt;=12,SUMIFS('ON Data'!N:N,'ON Data'!$D:$D,$A$4,'ON Data'!$E:$E,8),SUMIFS('ON Data'!N:N,'ON Data'!$E:$E,8))</f>
        <v>0</v>
      </c>
      <c r="J17" s="221">
        <f xml:space="preserve">
IF($A$4&lt;=12,SUMIFS('ON Data'!O:O,'ON Data'!$D:$D,$A$4,'ON Data'!$E:$E,8),SUMIFS('ON Data'!O:O,'ON Data'!$E:$E,8))</f>
        <v>0</v>
      </c>
      <c r="K17" s="221">
        <f xml:space="preserve">
IF($A$4&lt;=12,SUMIFS('ON Data'!P:P,'ON Data'!$D:$D,$A$4,'ON Data'!$E:$E,8),SUMIFS('ON Data'!P:P,'ON Data'!$E:$E,8))</f>
        <v>0</v>
      </c>
      <c r="L17" s="221">
        <f xml:space="preserve">
IF($A$4&lt;=12,SUMIFS('ON Data'!Q:Q,'ON Data'!$D:$D,$A$4,'ON Data'!$E:$E,8),SUMIFS('ON Data'!Q:Q,'ON Data'!$E:$E,8))</f>
        <v>0</v>
      </c>
      <c r="M17" s="221">
        <f xml:space="preserve">
IF($A$4&lt;=12,SUMIFS('ON Data'!R:R,'ON Data'!$D:$D,$A$4,'ON Data'!$E:$E,8),SUMIFS('ON Data'!R:R,'ON Data'!$E:$E,8))</f>
        <v>0</v>
      </c>
      <c r="N17" s="221">
        <f xml:space="preserve">
IF($A$4&lt;=12,SUMIFS('ON Data'!S:S,'ON Data'!$D:$D,$A$4,'ON Data'!$E:$E,8),SUMIFS('ON Data'!S:S,'ON Data'!$E:$E,8))</f>
        <v>0</v>
      </c>
      <c r="O17" s="221">
        <f xml:space="preserve">
IF($A$4&lt;=12,SUMIFS('ON Data'!T:T,'ON Data'!$D:$D,$A$4,'ON Data'!$E:$E,8),SUMIFS('ON Data'!T:T,'ON Data'!$E:$E,8))</f>
        <v>0</v>
      </c>
      <c r="P17" s="221">
        <f xml:space="preserve">
IF($A$4&lt;=12,SUMIFS('ON Data'!U:U,'ON Data'!$D:$D,$A$4,'ON Data'!$E:$E,8),SUMIFS('ON Data'!U:U,'ON Data'!$E:$E,8))</f>
        <v>0</v>
      </c>
      <c r="Q17" s="221">
        <f xml:space="preserve">
IF($A$4&lt;=12,SUMIFS('ON Data'!V:V,'ON Data'!$D:$D,$A$4,'ON Data'!$E:$E,8),SUMIFS('ON Data'!V:V,'ON Data'!$E:$E,8))</f>
        <v>0</v>
      </c>
      <c r="R17" s="221">
        <f xml:space="preserve">
IF($A$4&lt;=12,SUMIFS('ON Data'!W:W,'ON Data'!$D:$D,$A$4,'ON Data'!$E:$E,8),SUMIFS('ON Data'!W:W,'ON Data'!$E:$E,8))</f>
        <v>0</v>
      </c>
      <c r="S17" s="221">
        <f xml:space="preserve">
IF($A$4&lt;=12,SUMIFS('ON Data'!X:X,'ON Data'!$D:$D,$A$4,'ON Data'!$E:$E,8),SUMIFS('ON Data'!X:X,'ON Data'!$E:$E,8))</f>
        <v>0</v>
      </c>
      <c r="T17" s="221">
        <f xml:space="preserve">
IF($A$4&lt;=12,SUMIFS('ON Data'!Y:Y,'ON Data'!$D:$D,$A$4,'ON Data'!$E:$E,8),SUMIFS('ON Data'!Y:Y,'ON Data'!$E:$E,8))</f>
        <v>0</v>
      </c>
      <c r="U17" s="221">
        <f xml:space="preserve">
IF($A$4&lt;=12,SUMIFS('ON Data'!Z:Z,'ON Data'!$D:$D,$A$4,'ON Data'!$E:$E,8),SUMIFS('ON Data'!Z:Z,'ON Data'!$E:$E,8))</f>
        <v>0</v>
      </c>
      <c r="V17" s="221">
        <f xml:space="preserve">
IF($A$4&lt;=12,SUMIFS('ON Data'!AA:AA,'ON Data'!$D:$D,$A$4,'ON Data'!$E:$E,8),SUMIFS('ON Data'!AA:AA,'ON Data'!$E:$E,8))</f>
        <v>0</v>
      </c>
      <c r="W17" s="221">
        <f xml:space="preserve">
IF($A$4&lt;=12,SUMIFS('ON Data'!AB:AB,'ON Data'!$D:$D,$A$4,'ON Data'!$E:$E,8),SUMIFS('ON Data'!AB:AB,'ON Data'!$E:$E,8))</f>
        <v>0</v>
      </c>
      <c r="X17" s="221">
        <f xml:space="preserve">
IF($A$4&lt;=12,SUMIFS('ON Data'!AC:AC,'ON Data'!$D:$D,$A$4,'ON Data'!$E:$E,8),SUMIFS('ON Data'!AC:AC,'ON Data'!$E:$E,8))</f>
        <v>0</v>
      </c>
      <c r="Y17" s="221">
        <f xml:space="preserve">
IF($A$4&lt;=12,SUMIFS('ON Data'!AD:AD,'ON Data'!$D:$D,$A$4,'ON Data'!$E:$E,8),SUMIFS('ON Data'!AD:AD,'ON Data'!$E:$E,8))</f>
        <v>0</v>
      </c>
      <c r="Z17" s="221">
        <f xml:space="preserve">
IF($A$4&lt;=12,SUMIFS('ON Data'!AE:AE,'ON Data'!$D:$D,$A$4,'ON Data'!$E:$E,8),SUMIFS('ON Data'!AE:AE,'ON Data'!$E:$E,8))</f>
        <v>0</v>
      </c>
      <c r="AA17" s="221">
        <f xml:space="preserve">
IF($A$4&lt;=12,SUMIFS('ON Data'!AF:AF,'ON Data'!$D:$D,$A$4,'ON Data'!$E:$E,8),SUMIFS('ON Data'!AF:AF,'ON Data'!$E:$E,8))</f>
        <v>0</v>
      </c>
      <c r="AB17" s="221">
        <f xml:space="preserve">
IF($A$4&lt;=12,SUMIFS('ON Data'!AG:AG,'ON Data'!$D:$D,$A$4,'ON Data'!$E:$E,8),SUMIFS('ON Data'!AG:AG,'ON Data'!$E:$E,8))</f>
        <v>0</v>
      </c>
      <c r="AC17" s="221">
        <f xml:space="preserve">
IF($A$4&lt;=12,SUMIFS('ON Data'!AH:AH,'ON Data'!$D:$D,$A$4,'ON Data'!$E:$E,8),SUMIFS('ON Data'!AH:AH,'ON Data'!$E:$E,8))</f>
        <v>0</v>
      </c>
      <c r="AD17" s="221">
        <f xml:space="preserve">
IF($A$4&lt;=12,SUMIFS('ON Data'!AI:AI,'ON Data'!$D:$D,$A$4,'ON Data'!$E:$E,8),SUMIFS('ON Data'!AI:AI,'ON Data'!$E:$E,8))</f>
        <v>0</v>
      </c>
      <c r="AE17" s="221">
        <f xml:space="preserve">
IF($A$4&lt;=12,SUMIFS('ON Data'!AJ:AJ,'ON Data'!$D:$D,$A$4,'ON Data'!$E:$E,8),SUMIFS('ON Data'!AJ:AJ,'ON Data'!$E:$E,8))</f>
        <v>0</v>
      </c>
      <c r="AF17" s="221">
        <f xml:space="preserve">
IF($A$4&lt;=12,SUMIFS('ON Data'!AK:AK,'ON Data'!$D:$D,$A$4,'ON Data'!$E:$E,8),SUMIFS('ON Data'!AK:AK,'ON Data'!$E:$E,8))</f>
        <v>0</v>
      </c>
      <c r="AG17" s="353">
        <f xml:space="preserve">
IF($A$4&lt;=12,SUMIFS('ON Data'!AM:AM,'ON Data'!$D:$D,$A$4,'ON Data'!$E:$E,8),SUMIFS('ON Data'!AM:AM,'ON Data'!$E:$E,8))</f>
        <v>0</v>
      </c>
      <c r="AH17" s="363"/>
    </row>
    <row r="18" spans="1:34" x14ac:dyDescent="0.3">
      <c r="A18" s="204" t="s">
        <v>164</v>
      </c>
      <c r="B18" s="219">
        <f xml:space="preserve">
B19-B16-B17</f>
        <v>127919</v>
      </c>
      <c r="C18" s="220">
        <f t="shared" ref="C18" si="0" xml:space="preserve">
C19-C16-C17</f>
        <v>0</v>
      </c>
      <c r="D18" s="221">
        <f t="shared" ref="D18:AG18" si="1" xml:space="preserve">
D19-D16-D17</f>
        <v>103092</v>
      </c>
      <c r="E18" s="221">
        <f t="shared" si="1"/>
        <v>0</v>
      </c>
      <c r="F18" s="221">
        <f t="shared" si="1"/>
        <v>0</v>
      </c>
      <c r="G18" s="221">
        <f t="shared" si="1"/>
        <v>0</v>
      </c>
      <c r="H18" s="221">
        <f t="shared" si="1"/>
        <v>0</v>
      </c>
      <c r="I18" s="221">
        <f t="shared" si="1"/>
        <v>0</v>
      </c>
      <c r="J18" s="221">
        <f t="shared" si="1"/>
        <v>0</v>
      </c>
      <c r="K18" s="221">
        <f t="shared" si="1"/>
        <v>0</v>
      </c>
      <c r="L18" s="221">
        <f t="shared" si="1"/>
        <v>0</v>
      </c>
      <c r="M18" s="221">
        <f t="shared" si="1"/>
        <v>0</v>
      </c>
      <c r="N18" s="221">
        <f t="shared" si="1"/>
        <v>0</v>
      </c>
      <c r="O18" s="221">
        <f t="shared" si="1"/>
        <v>0</v>
      </c>
      <c r="P18" s="221">
        <f t="shared" si="1"/>
        <v>0</v>
      </c>
      <c r="Q18" s="221">
        <f t="shared" si="1"/>
        <v>0</v>
      </c>
      <c r="R18" s="221">
        <f t="shared" si="1"/>
        <v>0</v>
      </c>
      <c r="S18" s="221">
        <f t="shared" si="1"/>
        <v>0</v>
      </c>
      <c r="T18" s="221">
        <f t="shared" si="1"/>
        <v>0</v>
      </c>
      <c r="U18" s="221">
        <f t="shared" si="1"/>
        <v>10616</v>
      </c>
      <c r="V18" s="221">
        <f t="shared" si="1"/>
        <v>0</v>
      </c>
      <c r="W18" s="221">
        <f t="shared" si="1"/>
        <v>0</v>
      </c>
      <c r="X18" s="221">
        <f t="shared" si="1"/>
        <v>0</v>
      </c>
      <c r="Y18" s="221">
        <f t="shared" si="1"/>
        <v>0</v>
      </c>
      <c r="Z18" s="221">
        <f t="shared" si="1"/>
        <v>0</v>
      </c>
      <c r="AA18" s="221">
        <f t="shared" si="1"/>
        <v>0</v>
      </c>
      <c r="AB18" s="221">
        <f t="shared" si="1"/>
        <v>0</v>
      </c>
      <c r="AC18" s="221">
        <f t="shared" si="1"/>
        <v>0</v>
      </c>
      <c r="AD18" s="221">
        <f t="shared" si="1"/>
        <v>0</v>
      </c>
      <c r="AE18" s="221">
        <f t="shared" si="1"/>
        <v>0</v>
      </c>
      <c r="AF18" s="221">
        <f t="shared" si="1"/>
        <v>0</v>
      </c>
      <c r="AG18" s="353">
        <f t="shared" si="1"/>
        <v>14211</v>
      </c>
      <c r="AH18" s="363"/>
    </row>
    <row r="19" spans="1:34" ht="15" thickBot="1" x14ac:dyDescent="0.35">
      <c r="A19" s="205" t="s">
        <v>165</v>
      </c>
      <c r="B19" s="228">
        <f xml:space="preserve">
IF($A$4&lt;=12,SUMIFS('ON Data'!F:F,'ON Data'!$D:$D,$A$4,'ON Data'!$E:$E,9),SUMIFS('ON Data'!F:F,'ON Data'!$E:$E,9))</f>
        <v>127919</v>
      </c>
      <c r="C19" s="229">
        <f xml:space="preserve">
IF($A$4&lt;=12,SUMIFS('ON Data'!G:G,'ON Data'!$D:$D,$A$4,'ON Data'!$E:$E,9),SUMIFS('ON Data'!G:G,'ON Data'!$E:$E,9))</f>
        <v>0</v>
      </c>
      <c r="D19" s="230">
        <f xml:space="preserve">
IF($A$4&lt;=12,SUMIFS('ON Data'!H:H,'ON Data'!$D:$D,$A$4,'ON Data'!$E:$E,9),SUMIFS('ON Data'!H:H,'ON Data'!$E:$E,9))</f>
        <v>103092</v>
      </c>
      <c r="E19" s="230">
        <f xml:space="preserve">
IF($A$4&lt;=12,SUMIFS('ON Data'!I:I,'ON Data'!$D:$D,$A$4,'ON Data'!$E:$E,9),SUMIFS('ON Data'!I:I,'ON Data'!$E:$E,9))</f>
        <v>0</v>
      </c>
      <c r="F19" s="230">
        <f xml:space="preserve">
IF($A$4&lt;=12,SUMIFS('ON Data'!K:K,'ON Data'!$D:$D,$A$4,'ON Data'!$E:$E,9),SUMIFS('ON Data'!K:K,'ON Data'!$E:$E,9))</f>
        <v>0</v>
      </c>
      <c r="G19" s="230">
        <f xml:space="preserve">
IF($A$4&lt;=12,SUMIFS('ON Data'!L:L,'ON Data'!$D:$D,$A$4,'ON Data'!$E:$E,9),SUMIFS('ON Data'!L:L,'ON Data'!$E:$E,9))</f>
        <v>0</v>
      </c>
      <c r="H19" s="230">
        <f xml:space="preserve">
IF($A$4&lt;=12,SUMIFS('ON Data'!M:M,'ON Data'!$D:$D,$A$4,'ON Data'!$E:$E,9),SUMIFS('ON Data'!M:M,'ON Data'!$E:$E,9))</f>
        <v>0</v>
      </c>
      <c r="I19" s="230">
        <f xml:space="preserve">
IF($A$4&lt;=12,SUMIFS('ON Data'!N:N,'ON Data'!$D:$D,$A$4,'ON Data'!$E:$E,9),SUMIFS('ON Data'!N:N,'ON Data'!$E:$E,9))</f>
        <v>0</v>
      </c>
      <c r="J19" s="230">
        <f xml:space="preserve">
IF($A$4&lt;=12,SUMIFS('ON Data'!O:O,'ON Data'!$D:$D,$A$4,'ON Data'!$E:$E,9),SUMIFS('ON Data'!O:O,'ON Data'!$E:$E,9))</f>
        <v>0</v>
      </c>
      <c r="K19" s="230">
        <f xml:space="preserve">
IF($A$4&lt;=12,SUMIFS('ON Data'!P:P,'ON Data'!$D:$D,$A$4,'ON Data'!$E:$E,9),SUMIFS('ON Data'!P:P,'ON Data'!$E:$E,9))</f>
        <v>0</v>
      </c>
      <c r="L19" s="230">
        <f xml:space="preserve">
IF($A$4&lt;=12,SUMIFS('ON Data'!Q:Q,'ON Data'!$D:$D,$A$4,'ON Data'!$E:$E,9),SUMIFS('ON Data'!Q:Q,'ON Data'!$E:$E,9))</f>
        <v>0</v>
      </c>
      <c r="M19" s="230">
        <f xml:space="preserve">
IF($A$4&lt;=12,SUMIFS('ON Data'!R:R,'ON Data'!$D:$D,$A$4,'ON Data'!$E:$E,9),SUMIFS('ON Data'!R:R,'ON Data'!$E:$E,9))</f>
        <v>0</v>
      </c>
      <c r="N19" s="230">
        <f xml:space="preserve">
IF($A$4&lt;=12,SUMIFS('ON Data'!S:S,'ON Data'!$D:$D,$A$4,'ON Data'!$E:$E,9),SUMIFS('ON Data'!S:S,'ON Data'!$E:$E,9))</f>
        <v>0</v>
      </c>
      <c r="O19" s="230">
        <f xml:space="preserve">
IF($A$4&lt;=12,SUMIFS('ON Data'!T:T,'ON Data'!$D:$D,$A$4,'ON Data'!$E:$E,9),SUMIFS('ON Data'!T:T,'ON Data'!$E:$E,9))</f>
        <v>0</v>
      </c>
      <c r="P19" s="230">
        <f xml:space="preserve">
IF($A$4&lt;=12,SUMIFS('ON Data'!U:U,'ON Data'!$D:$D,$A$4,'ON Data'!$E:$E,9),SUMIFS('ON Data'!U:U,'ON Data'!$E:$E,9))</f>
        <v>0</v>
      </c>
      <c r="Q19" s="230">
        <f xml:space="preserve">
IF($A$4&lt;=12,SUMIFS('ON Data'!V:V,'ON Data'!$D:$D,$A$4,'ON Data'!$E:$E,9),SUMIFS('ON Data'!V:V,'ON Data'!$E:$E,9))</f>
        <v>0</v>
      </c>
      <c r="R19" s="230">
        <f xml:space="preserve">
IF($A$4&lt;=12,SUMIFS('ON Data'!W:W,'ON Data'!$D:$D,$A$4,'ON Data'!$E:$E,9),SUMIFS('ON Data'!W:W,'ON Data'!$E:$E,9))</f>
        <v>0</v>
      </c>
      <c r="S19" s="230">
        <f xml:space="preserve">
IF($A$4&lt;=12,SUMIFS('ON Data'!X:X,'ON Data'!$D:$D,$A$4,'ON Data'!$E:$E,9),SUMIFS('ON Data'!X:X,'ON Data'!$E:$E,9))</f>
        <v>0</v>
      </c>
      <c r="T19" s="230">
        <f xml:space="preserve">
IF($A$4&lt;=12,SUMIFS('ON Data'!Y:Y,'ON Data'!$D:$D,$A$4,'ON Data'!$E:$E,9),SUMIFS('ON Data'!Y:Y,'ON Data'!$E:$E,9))</f>
        <v>0</v>
      </c>
      <c r="U19" s="230">
        <f xml:space="preserve">
IF($A$4&lt;=12,SUMIFS('ON Data'!Z:Z,'ON Data'!$D:$D,$A$4,'ON Data'!$E:$E,9),SUMIFS('ON Data'!Z:Z,'ON Data'!$E:$E,9))</f>
        <v>10616</v>
      </c>
      <c r="V19" s="230">
        <f xml:space="preserve">
IF($A$4&lt;=12,SUMIFS('ON Data'!AA:AA,'ON Data'!$D:$D,$A$4,'ON Data'!$E:$E,9),SUMIFS('ON Data'!AA:AA,'ON Data'!$E:$E,9))</f>
        <v>0</v>
      </c>
      <c r="W19" s="230">
        <f xml:space="preserve">
IF($A$4&lt;=12,SUMIFS('ON Data'!AB:AB,'ON Data'!$D:$D,$A$4,'ON Data'!$E:$E,9),SUMIFS('ON Data'!AB:AB,'ON Data'!$E:$E,9))</f>
        <v>0</v>
      </c>
      <c r="X19" s="230">
        <f xml:space="preserve">
IF($A$4&lt;=12,SUMIFS('ON Data'!AC:AC,'ON Data'!$D:$D,$A$4,'ON Data'!$E:$E,9),SUMIFS('ON Data'!AC:AC,'ON Data'!$E:$E,9))</f>
        <v>0</v>
      </c>
      <c r="Y19" s="230">
        <f xml:space="preserve">
IF($A$4&lt;=12,SUMIFS('ON Data'!AD:AD,'ON Data'!$D:$D,$A$4,'ON Data'!$E:$E,9),SUMIFS('ON Data'!AD:AD,'ON Data'!$E:$E,9))</f>
        <v>0</v>
      </c>
      <c r="Z19" s="230">
        <f xml:space="preserve">
IF($A$4&lt;=12,SUMIFS('ON Data'!AE:AE,'ON Data'!$D:$D,$A$4,'ON Data'!$E:$E,9),SUMIFS('ON Data'!AE:AE,'ON Data'!$E:$E,9))</f>
        <v>0</v>
      </c>
      <c r="AA19" s="230">
        <f xml:space="preserve">
IF($A$4&lt;=12,SUMIFS('ON Data'!AF:AF,'ON Data'!$D:$D,$A$4,'ON Data'!$E:$E,9),SUMIFS('ON Data'!AF:AF,'ON Data'!$E:$E,9))</f>
        <v>0</v>
      </c>
      <c r="AB19" s="230">
        <f xml:space="preserve">
IF($A$4&lt;=12,SUMIFS('ON Data'!AG:AG,'ON Data'!$D:$D,$A$4,'ON Data'!$E:$E,9),SUMIFS('ON Data'!AG:AG,'ON Data'!$E:$E,9))</f>
        <v>0</v>
      </c>
      <c r="AC19" s="230">
        <f xml:space="preserve">
IF($A$4&lt;=12,SUMIFS('ON Data'!AH:AH,'ON Data'!$D:$D,$A$4,'ON Data'!$E:$E,9),SUMIFS('ON Data'!AH:AH,'ON Data'!$E:$E,9))</f>
        <v>0</v>
      </c>
      <c r="AD19" s="230">
        <f xml:space="preserve">
IF($A$4&lt;=12,SUMIFS('ON Data'!AI:AI,'ON Data'!$D:$D,$A$4,'ON Data'!$E:$E,9),SUMIFS('ON Data'!AI:AI,'ON Data'!$E:$E,9))</f>
        <v>0</v>
      </c>
      <c r="AE19" s="230">
        <f xml:space="preserve">
IF($A$4&lt;=12,SUMIFS('ON Data'!AJ:AJ,'ON Data'!$D:$D,$A$4,'ON Data'!$E:$E,9),SUMIFS('ON Data'!AJ:AJ,'ON Data'!$E:$E,9))</f>
        <v>0</v>
      </c>
      <c r="AF19" s="230">
        <f xml:space="preserve">
IF($A$4&lt;=12,SUMIFS('ON Data'!AK:AK,'ON Data'!$D:$D,$A$4,'ON Data'!$E:$E,9),SUMIFS('ON Data'!AK:AK,'ON Data'!$E:$E,9))</f>
        <v>0</v>
      </c>
      <c r="AG19" s="356">
        <f xml:space="preserve">
IF($A$4&lt;=12,SUMIFS('ON Data'!AM:AM,'ON Data'!$D:$D,$A$4,'ON Data'!$E:$E,9),SUMIFS('ON Data'!AM:AM,'ON Data'!$E:$E,9))</f>
        <v>14211</v>
      </c>
      <c r="AH19" s="363"/>
    </row>
    <row r="20" spans="1:34" ht="15" collapsed="1" thickBot="1" x14ac:dyDescent="0.35">
      <c r="A20" s="206" t="s">
        <v>48</v>
      </c>
      <c r="B20" s="231">
        <f xml:space="preserve">
IF($A$4&lt;=12,SUMIFS('ON Data'!F:F,'ON Data'!$D:$D,$A$4,'ON Data'!$E:$E,6),SUMIFS('ON Data'!F:F,'ON Data'!$E:$E,6))</f>
        <v>1050630</v>
      </c>
      <c r="C20" s="232">
        <f xml:space="preserve">
IF($A$4&lt;=12,SUMIFS('ON Data'!G:G,'ON Data'!$D:$D,$A$4,'ON Data'!$E:$E,6),SUMIFS('ON Data'!G:G,'ON Data'!$E:$E,6))</f>
        <v>0</v>
      </c>
      <c r="D20" s="233">
        <f xml:space="preserve">
IF($A$4&lt;=12,SUMIFS('ON Data'!H:H,'ON Data'!$D:$D,$A$4,'ON Data'!$E:$E,6),SUMIFS('ON Data'!H:H,'ON Data'!$E:$E,6))</f>
        <v>912506</v>
      </c>
      <c r="E20" s="233">
        <f xml:space="preserve">
IF($A$4&lt;=12,SUMIFS('ON Data'!I:I,'ON Data'!$D:$D,$A$4,'ON Data'!$E:$E,6),SUMIFS('ON Data'!I:I,'ON Data'!$E:$E,6))</f>
        <v>0</v>
      </c>
      <c r="F20" s="233">
        <f xml:space="preserve">
IF($A$4&lt;=12,SUMIFS('ON Data'!K:K,'ON Data'!$D:$D,$A$4,'ON Data'!$E:$E,6),SUMIFS('ON Data'!K:K,'ON Data'!$E:$E,6))</f>
        <v>0</v>
      </c>
      <c r="G20" s="233">
        <f xml:space="preserve">
IF($A$4&lt;=12,SUMIFS('ON Data'!L:L,'ON Data'!$D:$D,$A$4,'ON Data'!$E:$E,6),SUMIFS('ON Data'!L:L,'ON Data'!$E:$E,6))</f>
        <v>0</v>
      </c>
      <c r="H20" s="233">
        <f xml:space="preserve">
IF($A$4&lt;=12,SUMIFS('ON Data'!M:M,'ON Data'!$D:$D,$A$4,'ON Data'!$E:$E,6),SUMIFS('ON Data'!M:M,'ON Data'!$E:$E,6))</f>
        <v>0</v>
      </c>
      <c r="I20" s="233">
        <f xml:space="preserve">
IF($A$4&lt;=12,SUMIFS('ON Data'!N:N,'ON Data'!$D:$D,$A$4,'ON Data'!$E:$E,6),SUMIFS('ON Data'!N:N,'ON Data'!$E:$E,6))</f>
        <v>0</v>
      </c>
      <c r="J20" s="233">
        <f xml:space="preserve">
IF($A$4&lt;=12,SUMIFS('ON Data'!O:O,'ON Data'!$D:$D,$A$4,'ON Data'!$E:$E,6),SUMIFS('ON Data'!O:O,'ON Data'!$E:$E,6))</f>
        <v>0</v>
      </c>
      <c r="K20" s="233">
        <f xml:space="preserve">
IF($A$4&lt;=12,SUMIFS('ON Data'!P:P,'ON Data'!$D:$D,$A$4,'ON Data'!$E:$E,6),SUMIFS('ON Data'!P:P,'ON Data'!$E:$E,6))</f>
        <v>0</v>
      </c>
      <c r="L20" s="233">
        <f xml:space="preserve">
IF($A$4&lt;=12,SUMIFS('ON Data'!Q:Q,'ON Data'!$D:$D,$A$4,'ON Data'!$E:$E,6),SUMIFS('ON Data'!Q:Q,'ON Data'!$E:$E,6))</f>
        <v>0</v>
      </c>
      <c r="M20" s="233">
        <f xml:space="preserve">
IF($A$4&lt;=12,SUMIFS('ON Data'!R:R,'ON Data'!$D:$D,$A$4,'ON Data'!$E:$E,6),SUMIFS('ON Data'!R:R,'ON Data'!$E:$E,6))</f>
        <v>0</v>
      </c>
      <c r="N20" s="233">
        <f xml:space="preserve">
IF($A$4&lt;=12,SUMIFS('ON Data'!S:S,'ON Data'!$D:$D,$A$4,'ON Data'!$E:$E,6),SUMIFS('ON Data'!S:S,'ON Data'!$E:$E,6))</f>
        <v>0</v>
      </c>
      <c r="O20" s="233">
        <f xml:space="preserve">
IF($A$4&lt;=12,SUMIFS('ON Data'!T:T,'ON Data'!$D:$D,$A$4,'ON Data'!$E:$E,6),SUMIFS('ON Data'!T:T,'ON Data'!$E:$E,6))</f>
        <v>0</v>
      </c>
      <c r="P20" s="233">
        <f xml:space="preserve">
IF($A$4&lt;=12,SUMIFS('ON Data'!U:U,'ON Data'!$D:$D,$A$4,'ON Data'!$E:$E,6),SUMIFS('ON Data'!U:U,'ON Data'!$E:$E,6))</f>
        <v>0</v>
      </c>
      <c r="Q20" s="233">
        <f xml:space="preserve">
IF($A$4&lt;=12,SUMIFS('ON Data'!V:V,'ON Data'!$D:$D,$A$4,'ON Data'!$E:$E,6),SUMIFS('ON Data'!V:V,'ON Data'!$E:$E,6))</f>
        <v>0</v>
      </c>
      <c r="R20" s="233">
        <f xml:space="preserve">
IF($A$4&lt;=12,SUMIFS('ON Data'!W:W,'ON Data'!$D:$D,$A$4,'ON Data'!$E:$E,6),SUMIFS('ON Data'!W:W,'ON Data'!$E:$E,6))</f>
        <v>0</v>
      </c>
      <c r="S20" s="233">
        <f xml:space="preserve">
IF($A$4&lt;=12,SUMIFS('ON Data'!X:X,'ON Data'!$D:$D,$A$4,'ON Data'!$E:$E,6),SUMIFS('ON Data'!X:X,'ON Data'!$E:$E,6))</f>
        <v>0</v>
      </c>
      <c r="T20" s="233">
        <f xml:space="preserve">
IF($A$4&lt;=12,SUMIFS('ON Data'!Y:Y,'ON Data'!$D:$D,$A$4,'ON Data'!$E:$E,6),SUMIFS('ON Data'!Y:Y,'ON Data'!$E:$E,6))</f>
        <v>0</v>
      </c>
      <c r="U20" s="233">
        <f xml:space="preserve">
IF($A$4&lt;=12,SUMIFS('ON Data'!Z:Z,'ON Data'!$D:$D,$A$4,'ON Data'!$E:$E,6),SUMIFS('ON Data'!Z:Z,'ON Data'!$E:$E,6))</f>
        <v>36836</v>
      </c>
      <c r="V20" s="233">
        <f xml:space="preserve">
IF($A$4&lt;=12,SUMIFS('ON Data'!AA:AA,'ON Data'!$D:$D,$A$4,'ON Data'!$E:$E,6),SUMIFS('ON Data'!AA:AA,'ON Data'!$E:$E,6))</f>
        <v>0</v>
      </c>
      <c r="W20" s="233">
        <f xml:space="preserve">
IF($A$4&lt;=12,SUMIFS('ON Data'!AB:AB,'ON Data'!$D:$D,$A$4,'ON Data'!$E:$E,6),SUMIFS('ON Data'!AB:AB,'ON Data'!$E:$E,6))</f>
        <v>0</v>
      </c>
      <c r="X20" s="233">
        <f xml:space="preserve">
IF($A$4&lt;=12,SUMIFS('ON Data'!AC:AC,'ON Data'!$D:$D,$A$4,'ON Data'!$E:$E,6),SUMIFS('ON Data'!AC:AC,'ON Data'!$E:$E,6))</f>
        <v>0</v>
      </c>
      <c r="Y20" s="233">
        <f xml:space="preserve">
IF($A$4&lt;=12,SUMIFS('ON Data'!AD:AD,'ON Data'!$D:$D,$A$4,'ON Data'!$E:$E,6),SUMIFS('ON Data'!AD:AD,'ON Data'!$E:$E,6))</f>
        <v>0</v>
      </c>
      <c r="Z20" s="233">
        <f xml:space="preserve">
IF($A$4&lt;=12,SUMIFS('ON Data'!AE:AE,'ON Data'!$D:$D,$A$4,'ON Data'!$E:$E,6),SUMIFS('ON Data'!AE:AE,'ON Data'!$E:$E,6))</f>
        <v>0</v>
      </c>
      <c r="AA20" s="233">
        <f xml:space="preserve">
IF($A$4&lt;=12,SUMIFS('ON Data'!AF:AF,'ON Data'!$D:$D,$A$4,'ON Data'!$E:$E,6),SUMIFS('ON Data'!AF:AF,'ON Data'!$E:$E,6))</f>
        <v>0</v>
      </c>
      <c r="AB20" s="233">
        <f xml:space="preserve">
IF($A$4&lt;=12,SUMIFS('ON Data'!AG:AG,'ON Data'!$D:$D,$A$4,'ON Data'!$E:$E,6),SUMIFS('ON Data'!AG:AG,'ON Data'!$E:$E,6))</f>
        <v>0</v>
      </c>
      <c r="AC20" s="233">
        <f xml:space="preserve">
IF($A$4&lt;=12,SUMIFS('ON Data'!AH:AH,'ON Data'!$D:$D,$A$4,'ON Data'!$E:$E,6),SUMIFS('ON Data'!AH:AH,'ON Data'!$E:$E,6))</f>
        <v>0</v>
      </c>
      <c r="AD20" s="233">
        <f xml:space="preserve">
IF($A$4&lt;=12,SUMIFS('ON Data'!AI:AI,'ON Data'!$D:$D,$A$4,'ON Data'!$E:$E,6),SUMIFS('ON Data'!AI:AI,'ON Data'!$E:$E,6))</f>
        <v>0</v>
      </c>
      <c r="AE20" s="233">
        <f xml:space="preserve">
IF($A$4&lt;=12,SUMIFS('ON Data'!AJ:AJ,'ON Data'!$D:$D,$A$4,'ON Data'!$E:$E,6),SUMIFS('ON Data'!AJ:AJ,'ON Data'!$E:$E,6))</f>
        <v>0</v>
      </c>
      <c r="AF20" s="233">
        <f xml:space="preserve">
IF($A$4&lt;=12,SUMIFS('ON Data'!AK:AK,'ON Data'!$D:$D,$A$4,'ON Data'!$E:$E,6),SUMIFS('ON Data'!AK:AK,'ON Data'!$E:$E,6))</f>
        <v>0</v>
      </c>
      <c r="AG20" s="357">
        <f xml:space="preserve">
IF($A$4&lt;=12,SUMIFS('ON Data'!AM:AM,'ON Data'!$D:$D,$A$4,'ON Data'!$E:$E,6),SUMIFS('ON Data'!AM:AM,'ON Data'!$E:$E,6))</f>
        <v>101288</v>
      </c>
      <c r="AH20" s="363"/>
    </row>
    <row r="21" spans="1:34" ht="15" hidden="1" outlineLevel="1" thickBot="1" x14ac:dyDescent="0.35">
      <c r="A21" s="199" t="s">
        <v>83</v>
      </c>
      <c r="B21" s="219">
        <f xml:space="preserve">
IF($A$4&lt;=12,SUMIFS('ON Data'!F:F,'ON Data'!$D:$D,$A$4,'ON Data'!$E:$E,12),SUMIFS('ON Data'!F:F,'ON Data'!$E:$E,12))</f>
        <v>0</v>
      </c>
      <c r="C21" s="220">
        <f xml:space="preserve">
IF($A$4&lt;=12,SUMIFS('ON Data'!G:G,'ON Data'!$D:$D,$A$4,'ON Data'!$E:$E,12),SUMIFS('ON Data'!G:G,'ON Data'!$E:$E,12))</f>
        <v>0</v>
      </c>
      <c r="D21" s="221">
        <f xml:space="preserve">
IF($A$4&lt;=12,SUMIFS('ON Data'!H:H,'ON Data'!$D:$D,$A$4,'ON Data'!$E:$E,12),SUMIFS('ON Data'!H:H,'ON Data'!$E:$E,12))</f>
        <v>0</v>
      </c>
      <c r="E21" s="221">
        <f xml:space="preserve">
IF($A$4&lt;=12,SUMIFS('ON Data'!I:I,'ON Data'!$D:$D,$A$4,'ON Data'!$E:$E,12),SUMIFS('ON Data'!I:I,'ON Data'!$E:$E,12))</f>
        <v>0</v>
      </c>
      <c r="F21" s="221">
        <f xml:space="preserve">
IF($A$4&lt;=12,SUMIFS('ON Data'!K:K,'ON Data'!$D:$D,$A$4,'ON Data'!$E:$E,12),SUMIFS('ON Data'!K:K,'ON Data'!$E:$E,12))</f>
        <v>0</v>
      </c>
      <c r="G21" s="221">
        <f xml:space="preserve">
IF($A$4&lt;=12,SUMIFS('ON Data'!L:L,'ON Data'!$D:$D,$A$4,'ON Data'!$E:$E,12),SUMIFS('ON Data'!L:L,'ON Data'!$E:$E,12))</f>
        <v>0</v>
      </c>
      <c r="H21" s="221">
        <f xml:space="preserve">
IF($A$4&lt;=12,SUMIFS('ON Data'!M:M,'ON Data'!$D:$D,$A$4,'ON Data'!$E:$E,12),SUMIFS('ON Data'!M:M,'ON Data'!$E:$E,12))</f>
        <v>0</v>
      </c>
      <c r="I21" s="221">
        <f xml:space="preserve">
IF($A$4&lt;=12,SUMIFS('ON Data'!N:N,'ON Data'!$D:$D,$A$4,'ON Data'!$E:$E,12),SUMIFS('ON Data'!N:N,'ON Data'!$E:$E,12))</f>
        <v>0</v>
      </c>
      <c r="J21" s="221">
        <f xml:space="preserve">
IF($A$4&lt;=12,SUMIFS('ON Data'!O:O,'ON Data'!$D:$D,$A$4,'ON Data'!$E:$E,12),SUMIFS('ON Data'!O:O,'ON Data'!$E:$E,12))</f>
        <v>0</v>
      </c>
      <c r="K21" s="221">
        <f xml:space="preserve">
IF($A$4&lt;=12,SUMIFS('ON Data'!P:P,'ON Data'!$D:$D,$A$4,'ON Data'!$E:$E,12),SUMIFS('ON Data'!P:P,'ON Data'!$E:$E,12))</f>
        <v>0</v>
      </c>
      <c r="L21" s="221">
        <f xml:space="preserve">
IF($A$4&lt;=12,SUMIFS('ON Data'!Q:Q,'ON Data'!$D:$D,$A$4,'ON Data'!$E:$E,12),SUMIFS('ON Data'!Q:Q,'ON Data'!$E:$E,12))</f>
        <v>0</v>
      </c>
      <c r="M21" s="221">
        <f xml:space="preserve">
IF($A$4&lt;=12,SUMIFS('ON Data'!R:R,'ON Data'!$D:$D,$A$4,'ON Data'!$E:$E,12),SUMIFS('ON Data'!R:R,'ON Data'!$E:$E,12))</f>
        <v>0</v>
      </c>
      <c r="N21" s="221">
        <f xml:space="preserve">
IF($A$4&lt;=12,SUMIFS('ON Data'!S:S,'ON Data'!$D:$D,$A$4,'ON Data'!$E:$E,12),SUMIFS('ON Data'!S:S,'ON Data'!$E:$E,12))</f>
        <v>0</v>
      </c>
      <c r="O21" s="221">
        <f xml:space="preserve">
IF($A$4&lt;=12,SUMIFS('ON Data'!T:T,'ON Data'!$D:$D,$A$4,'ON Data'!$E:$E,12),SUMIFS('ON Data'!T:T,'ON Data'!$E:$E,12))</f>
        <v>0</v>
      </c>
      <c r="P21" s="221">
        <f xml:space="preserve">
IF($A$4&lt;=12,SUMIFS('ON Data'!U:U,'ON Data'!$D:$D,$A$4,'ON Data'!$E:$E,12),SUMIFS('ON Data'!U:U,'ON Data'!$E:$E,12))</f>
        <v>0</v>
      </c>
      <c r="Q21" s="221">
        <f xml:space="preserve">
IF($A$4&lt;=12,SUMIFS('ON Data'!V:V,'ON Data'!$D:$D,$A$4,'ON Data'!$E:$E,12),SUMIFS('ON Data'!V:V,'ON Data'!$E:$E,12))</f>
        <v>0</v>
      </c>
      <c r="R21" s="221">
        <f xml:space="preserve">
IF($A$4&lt;=12,SUMIFS('ON Data'!W:W,'ON Data'!$D:$D,$A$4,'ON Data'!$E:$E,12),SUMIFS('ON Data'!W:W,'ON Data'!$E:$E,12))</f>
        <v>0</v>
      </c>
      <c r="S21" s="221">
        <f xml:space="preserve">
IF($A$4&lt;=12,SUMIFS('ON Data'!X:X,'ON Data'!$D:$D,$A$4,'ON Data'!$E:$E,12),SUMIFS('ON Data'!X:X,'ON Data'!$E:$E,12))</f>
        <v>0</v>
      </c>
      <c r="T21" s="221">
        <f xml:space="preserve">
IF($A$4&lt;=12,SUMIFS('ON Data'!Y:Y,'ON Data'!$D:$D,$A$4,'ON Data'!$E:$E,12),SUMIFS('ON Data'!Y:Y,'ON Data'!$E:$E,12))</f>
        <v>0</v>
      </c>
      <c r="U21" s="221">
        <f xml:space="preserve">
IF($A$4&lt;=12,SUMIFS('ON Data'!Z:Z,'ON Data'!$D:$D,$A$4,'ON Data'!$E:$E,12),SUMIFS('ON Data'!Z:Z,'ON Data'!$E:$E,12))</f>
        <v>0</v>
      </c>
      <c r="V21" s="221">
        <f xml:space="preserve">
IF($A$4&lt;=12,SUMIFS('ON Data'!AA:AA,'ON Data'!$D:$D,$A$4,'ON Data'!$E:$E,12),SUMIFS('ON Data'!AA:AA,'ON Data'!$E:$E,12))</f>
        <v>0</v>
      </c>
      <c r="W21" s="221">
        <f xml:space="preserve">
IF($A$4&lt;=12,SUMIFS('ON Data'!AB:AB,'ON Data'!$D:$D,$A$4,'ON Data'!$E:$E,12),SUMIFS('ON Data'!AB:AB,'ON Data'!$E:$E,12))</f>
        <v>0</v>
      </c>
      <c r="X21" s="221">
        <f xml:space="preserve">
IF($A$4&lt;=12,SUMIFS('ON Data'!AC:AC,'ON Data'!$D:$D,$A$4,'ON Data'!$E:$E,12),SUMIFS('ON Data'!AC:AC,'ON Data'!$E:$E,12))</f>
        <v>0</v>
      </c>
      <c r="Y21" s="221">
        <f xml:space="preserve">
IF($A$4&lt;=12,SUMIFS('ON Data'!AD:AD,'ON Data'!$D:$D,$A$4,'ON Data'!$E:$E,12),SUMIFS('ON Data'!AD:AD,'ON Data'!$E:$E,12))</f>
        <v>0</v>
      </c>
      <c r="Z21" s="221">
        <f xml:space="preserve">
IF($A$4&lt;=12,SUMIFS('ON Data'!AE:AE,'ON Data'!$D:$D,$A$4,'ON Data'!$E:$E,12),SUMIFS('ON Data'!AE:AE,'ON Data'!$E:$E,12))</f>
        <v>0</v>
      </c>
      <c r="AA21" s="221">
        <f xml:space="preserve">
IF($A$4&lt;=12,SUMIFS('ON Data'!AF:AF,'ON Data'!$D:$D,$A$4,'ON Data'!$E:$E,12),SUMIFS('ON Data'!AF:AF,'ON Data'!$E:$E,12))</f>
        <v>0</v>
      </c>
      <c r="AB21" s="221">
        <f xml:space="preserve">
IF($A$4&lt;=12,SUMIFS('ON Data'!AG:AG,'ON Data'!$D:$D,$A$4,'ON Data'!$E:$E,12),SUMIFS('ON Data'!AG:AG,'ON Data'!$E:$E,12))</f>
        <v>0</v>
      </c>
      <c r="AC21" s="221">
        <f xml:space="preserve">
IF($A$4&lt;=12,SUMIFS('ON Data'!AH:AH,'ON Data'!$D:$D,$A$4,'ON Data'!$E:$E,12),SUMIFS('ON Data'!AH:AH,'ON Data'!$E:$E,12))</f>
        <v>0</v>
      </c>
      <c r="AD21" s="221">
        <f xml:space="preserve">
IF($A$4&lt;=12,SUMIFS('ON Data'!AI:AI,'ON Data'!$D:$D,$A$4,'ON Data'!$E:$E,12),SUMIFS('ON Data'!AI:AI,'ON Data'!$E:$E,12))</f>
        <v>0</v>
      </c>
      <c r="AE21" s="221">
        <f xml:space="preserve">
IF($A$4&lt;=12,SUMIFS('ON Data'!AJ:AJ,'ON Data'!$D:$D,$A$4,'ON Data'!$E:$E,12),SUMIFS('ON Data'!AJ:AJ,'ON Data'!$E:$E,12))</f>
        <v>0</v>
      </c>
      <c r="AF21" s="221">
        <f xml:space="preserve">
IF($A$4&lt;=12,SUMIFS('ON Data'!AK:AK,'ON Data'!$D:$D,$A$4,'ON Data'!$E:$E,12),SUMIFS('ON Data'!AK:AK,'ON Data'!$E:$E,12))</f>
        <v>0</v>
      </c>
      <c r="AG21" s="353">
        <f xml:space="preserve">
IF($A$4&lt;=12,SUMIFS('ON Data'!AM:AM,'ON Data'!$D:$D,$A$4,'ON Data'!$E:$E,12),SUMIFS('ON Data'!AM:AM,'ON Data'!$E:$E,12))</f>
        <v>0</v>
      </c>
      <c r="AH21" s="363"/>
    </row>
    <row r="22" spans="1:34" ht="15" hidden="1" outlineLevel="1" thickBot="1" x14ac:dyDescent="0.35">
      <c r="A22" s="199" t="s">
        <v>50</v>
      </c>
      <c r="B22" s="256" t="str">
        <f xml:space="preserve">
IF(OR(B21="",B21=0),"",B20/B21)</f>
        <v/>
      </c>
      <c r="C22" s="257" t="str">
        <f t="shared" ref="C22:AG22" si="2" xml:space="preserve">
IF(OR(C21="",C21=0),"",C20/C21)</f>
        <v/>
      </c>
      <c r="D22" s="258" t="str">
        <f t="shared" si="2"/>
        <v/>
      </c>
      <c r="E22" s="258" t="str">
        <f t="shared" si="2"/>
        <v/>
      </c>
      <c r="F22" s="258" t="str">
        <f t="shared" si="2"/>
        <v/>
      </c>
      <c r="G22" s="258" t="str">
        <f t="shared" si="2"/>
        <v/>
      </c>
      <c r="H22" s="258" t="str">
        <f t="shared" si="2"/>
        <v/>
      </c>
      <c r="I22" s="258" t="str">
        <f t="shared" si="2"/>
        <v/>
      </c>
      <c r="J22" s="258" t="str">
        <f t="shared" si="2"/>
        <v/>
      </c>
      <c r="K22" s="258" t="str">
        <f t="shared" si="2"/>
        <v/>
      </c>
      <c r="L22" s="258" t="str">
        <f t="shared" si="2"/>
        <v/>
      </c>
      <c r="M22" s="258" t="str">
        <f t="shared" si="2"/>
        <v/>
      </c>
      <c r="N22" s="258" t="str">
        <f t="shared" si="2"/>
        <v/>
      </c>
      <c r="O22" s="258" t="str">
        <f t="shared" si="2"/>
        <v/>
      </c>
      <c r="P22" s="258" t="str">
        <f t="shared" si="2"/>
        <v/>
      </c>
      <c r="Q22" s="258" t="str">
        <f t="shared" si="2"/>
        <v/>
      </c>
      <c r="R22" s="258" t="str">
        <f t="shared" si="2"/>
        <v/>
      </c>
      <c r="S22" s="258" t="str">
        <f t="shared" si="2"/>
        <v/>
      </c>
      <c r="T22" s="258" t="str">
        <f t="shared" si="2"/>
        <v/>
      </c>
      <c r="U22" s="258" t="str">
        <f t="shared" si="2"/>
        <v/>
      </c>
      <c r="V22" s="258" t="str">
        <f t="shared" si="2"/>
        <v/>
      </c>
      <c r="W22" s="258" t="str">
        <f t="shared" si="2"/>
        <v/>
      </c>
      <c r="X22" s="258" t="str">
        <f t="shared" si="2"/>
        <v/>
      </c>
      <c r="Y22" s="258" t="str">
        <f t="shared" si="2"/>
        <v/>
      </c>
      <c r="Z22" s="258" t="str">
        <f t="shared" si="2"/>
        <v/>
      </c>
      <c r="AA22" s="258" t="str">
        <f t="shared" si="2"/>
        <v/>
      </c>
      <c r="AB22" s="258" t="str">
        <f t="shared" si="2"/>
        <v/>
      </c>
      <c r="AC22" s="258" t="str">
        <f t="shared" si="2"/>
        <v/>
      </c>
      <c r="AD22" s="258" t="str">
        <f t="shared" si="2"/>
        <v/>
      </c>
      <c r="AE22" s="258" t="str">
        <f t="shared" si="2"/>
        <v/>
      </c>
      <c r="AF22" s="258" t="str">
        <f t="shared" si="2"/>
        <v/>
      </c>
      <c r="AG22" s="358" t="str">
        <f t="shared" si="2"/>
        <v/>
      </c>
      <c r="AH22" s="363"/>
    </row>
    <row r="23" spans="1:34" ht="15" hidden="1" outlineLevel="1" thickBot="1" x14ac:dyDescent="0.35">
      <c r="A23" s="207" t="s">
        <v>43</v>
      </c>
      <c r="B23" s="222">
        <f xml:space="preserve">
IF(B21="","",B20-B21)</f>
        <v>1050630</v>
      </c>
      <c r="C23" s="223">
        <f t="shared" ref="C23:AG23" si="3" xml:space="preserve">
IF(C21="","",C20-C21)</f>
        <v>0</v>
      </c>
      <c r="D23" s="224">
        <f t="shared" si="3"/>
        <v>912506</v>
      </c>
      <c r="E23" s="224">
        <f t="shared" si="3"/>
        <v>0</v>
      </c>
      <c r="F23" s="224">
        <f t="shared" si="3"/>
        <v>0</v>
      </c>
      <c r="G23" s="224">
        <f t="shared" si="3"/>
        <v>0</v>
      </c>
      <c r="H23" s="224">
        <f t="shared" si="3"/>
        <v>0</v>
      </c>
      <c r="I23" s="224">
        <f t="shared" si="3"/>
        <v>0</v>
      </c>
      <c r="J23" s="224">
        <f t="shared" si="3"/>
        <v>0</v>
      </c>
      <c r="K23" s="224">
        <f t="shared" si="3"/>
        <v>0</v>
      </c>
      <c r="L23" s="224">
        <f t="shared" si="3"/>
        <v>0</v>
      </c>
      <c r="M23" s="224">
        <f t="shared" si="3"/>
        <v>0</v>
      </c>
      <c r="N23" s="224">
        <f t="shared" si="3"/>
        <v>0</v>
      </c>
      <c r="O23" s="224">
        <f t="shared" si="3"/>
        <v>0</v>
      </c>
      <c r="P23" s="224">
        <f t="shared" si="3"/>
        <v>0</v>
      </c>
      <c r="Q23" s="224">
        <f t="shared" si="3"/>
        <v>0</v>
      </c>
      <c r="R23" s="224">
        <f t="shared" si="3"/>
        <v>0</v>
      </c>
      <c r="S23" s="224">
        <f t="shared" si="3"/>
        <v>0</v>
      </c>
      <c r="T23" s="224">
        <f t="shared" si="3"/>
        <v>0</v>
      </c>
      <c r="U23" s="224">
        <f t="shared" si="3"/>
        <v>36836</v>
      </c>
      <c r="V23" s="224">
        <f t="shared" si="3"/>
        <v>0</v>
      </c>
      <c r="W23" s="224">
        <f t="shared" si="3"/>
        <v>0</v>
      </c>
      <c r="X23" s="224">
        <f t="shared" si="3"/>
        <v>0</v>
      </c>
      <c r="Y23" s="224">
        <f t="shared" si="3"/>
        <v>0</v>
      </c>
      <c r="Z23" s="224">
        <f t="shared" si="3"/>
        <v>0</v>
      </c>
      <c r="AA23" s="224">
        <f t="shared" si="3"/>
        <v>0</v>
      </c>
      <c r="AB23" s="224">
        <f t="shared" si="3"/>
        <v>0</v>
      </c>
      <c r="AC23" s="224">
        <f t="shared" si="3"/>
        <v>0</v>
      </c>
      <c r="AD23" s="224">
        <f t="shared" si="3"/>
        <v>0</v>
      </c>
      <c r="AE23" s="224">
        <f t="shared" si="3"/>
        <v>0</v>
      </c>
      <c r="AF23" s="224">
        <f t="shared" si="3"/>
        <v>0</v>
      </c>
      <c r="AG23" s="354">
        <f t="shared" si="3"/>
        <v>101288</v>
      </c>
      <c r="AH23" s="363"/>
    </row>
    <row r="24" spans="1:34" x14ac:dyDescent="0.3">
      <c r="A24" s="201" t="s">
        <v>166</v>
      </c>
      <c r="B24" s="248" t="s">
        <v>1</v>
      </c>
      <c r="C24" s="364" t="s">
        <v>177</v>
      </c>
      <c r="D24" s="338"/>
      <c r="E24" s="339"/>
      <c r="F24" s="339" t="s">
        <v>178</v>
      </c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59" t="s">
        <v>179</v>
      </c>
      <c r="AH24" s="363"/>
    </row>
    <row r="25" spans="1:34" x14ac:dyDescent="0.3">
      <c r="A25" s="202" t="s">
        <v>48</v>
      </c>
      <c r="B25" s="219">
        <f xml:space="preserve">
SUM(C25:AG25)</f>
        <v>7000</v>
      </c>
      <c r="C25" s="365">
        <f xml:space="preserve">
IF($A$4&lt;=12,SUMIFS('ON Data'!H:H,'ON Data'!$D:$D,$A$4,'ON Data'!$E:$E,10),SUMIFS('ON Data'!H:H,'ON Data'!$E:$E,10))</f>
        <v>7000</v>
      </c>
      <c r="D25" s="340"/>
      <c r="E25" s="341"/>
      <c r="F25" s="341">
        <f xml:space="preserve">
IF($A$4&lt;=12,SUMIFS('ON Data'!K:K,'ON Data'!$D:$D,$A$4,'ON Data'!$E:$E,10),SUMIFS('ON Data'!K:K,'ON Data'!$E:$E,10))</f>
        <v>0</v>
      </c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60">
        <f xml:space="preserve">
IF($A$4&lt;=12,SUMIFS('ON Data'!AM:AM,'ON Data'!$D:$D,$A$4,'ON Data'!$E:$E,10),SUMIFS('ON Data'!AM:AM,'ON Data'!$E:$E,10))</f>
        <v>0</v>
      </c>
      <c r="AH25" s="363"/>
    </row>
    <row r="26" spans="1:34" x14ac:dyDescent="0.3">
      <c r="A26" s="208" t="s">
        <v>176</v>
      </c>
      <c r="B26" s="228">
        <f xml:space="preserve">
SUM(C26:AG26)</f>
        <v>9031.0000000000018</v>
      </c>
      <c r="C26" s="365">
        <f xml:space="preserve">
IF($A$4&lt;=12,SUMIFS('ON Data'!H:H,'ON Data'!$D:$D,$A$4,'ON Data'!$E:$E,11),SUMIFS('ON Data'!H:H,'ON Data'!$E:$E,11))</f>
        <v>8114.3333333333348</v>
      </c>
      <c r="D26" s="340"/>
      <c r="E26" s="341"/>
      <c r="F26" s="342">
        <f xml:space="preserve">
IF($A$4&lt;=12,SUMIFS('ON Data'!K:K,'ON Data'!$D:$D,$A$4,'ON Data'!$E:$E,11),SUMIFS('ON Data'!K:K,'ON Data'!$E:$E,11))</f>
        <v>916.66666666666674</v>
      </c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60">
        <f xml:space="preserve">
IF($A$4&lt;=12,SUMIFS('ON Data'!AM:AM,'ON Data'!$D:$D,$A$4,'ON Data'!$E:$E,11),SUMIFS('ON Data'!AM:AM,'ON Data'!$E:$E,11))</f>
        <v>0</v>
      </c>
      <c r="AH26" s="363"/>
    </row>
    <row r="27" spans="1:34" x14ac:dyDescent="0.3">
      <c r="A27" s="208" t="s">
        <v>50</v>
      </c>
      <c r="B27" s="249">
        <f xml:space="preserve">
IF(B26=0,0,B25/B26)</f>
        <v>0.7751079614660612</v>
      </c>
      <c r="C27" s="366">
        <f xml:space="preserve">
IF(C26=0,0,C25/C26)</f>
        <v>0.86267099371482547</v>
      </c>
      <c r="D27" s="343"/>
      <c r="E27" s="344"/>
      <c r="F27" s="344">
        <f xml:space="preserve">
IF(F26=0,0,F25/F26)</f>
        <v>0</v>
      </c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61">
        <f xml:space="preserve">
IF(AG26=0,0,AG25/AG26)</f>
        <v>0</v>
      </c>
      <c r="AH27" s="363"/>
    </row>
    <row r="28" spans="1:34" ht="15" thickBot="1" x14ac:dyDescent="0.35">
      <c r="A28" s="208" t="s">
        <v>175</v>
      </c>
      <c r="B28" s="228">
        <f xml:space="preserve">
SUM(C28:AG28)</f>
        <v>2031.0000000000016</v>
      </c>
      <c r="C28" s="367">
        <f xml:space="preserve">
C26-C25</f>
        <v>1114.3333333333348</v>
      </c>
      <c r="D28" s="345"/>
      <c r="E28" s="346"/>
      <c r="F28" s="346">
        <f xml:space="preserve">
F26-F25</f>
        <v>916.66666666666674</v>
      </c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346"/>
      <c r="Z28" s="346"/>
      <c r="AA28" s="346"/>
      <c r="AB28" s="346"/>
      <c r="AC28" s="346"/>
      <c r="AD28" s="346"/>
      <c r="AE28" s="346"/>
      <c r="AF28" s="346"/>
      <c r="AG28" s="362">
        <f xml:space="preserve">
AG26-AG25</f>
        <v>0</v>
      </c>
      <c r="AH28" s="363"/>
    </row>
    <row r="29" spans="1:34" x14ac:dyDescent="0.3">
      <c r="A29" s="209"/>
      <c r="B29" s="209"/>
      <c r="C29" s="210"/>
      <c r="D29" s="209"/>
      <c r="E29" s="209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09"/>
      <c r="AF29" s="209"/>
      <c r="AG29" s="209"/>
    </row>
    <row r="30" spans="1:34" x14ac:dyDescent="0.3">
      <c r="A30" s="85" t="s">
        <v>110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20"/>
    </row>
    <row r="31" spans="1:34" x14ac:dyDescent="0.3">
      <c r="A31" s="86" t="s">
        <v>173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20"/>
    </row>
    <row r="32" spans="1:34" ht="14.4" customHeight="1" x14ac:dyDescent="0.3">
      <c r="A32" s="245" t="s">
        <v>170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</row>
    <row r="33" spans="1:1" x14ac:dyDescent="0.3">
      <c r="A33" s="247" t="s">
        <v>180</v>
      </c>
    </row>
    <row r="34" spans="1:1" x14ac:dyDescent="0.3">
      <c r="A34" s="247" t="s">
        <v>181</v>
      </c>
    </row>
    <row r="35" spans="1:1" x14ac:dyDescent="0.3">
      <c r="A35" s="247" t="s">
        <v>182</v>
      </c>
    </row>
    <row r="36" spans="1:1" x14ac:dyDescent="0.3">
      <c r="A36" s="247" t="s">
        <v>183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51"/>
  <sheetViews>
    <sheetView showGridLines="0" showRowColHeaders="0" workbookViewId="0"/>
  </sheetViews>
  <sheetFormatPr defaultRowHeight="14.4" x14ac:dyDescent="0.3"/>
  <cols>
    <col min="1" max="16384" width="8.88671875" style="188"/>
  </cols>
  <sheetData>
    <row r="1" spans="1:40" x14ac:dyDescent="0.3">
      <c r="A1" s="188" t="s">
        <v>275</v>
      </c>
    </row>
    <row r="2" spans="1:40" x14ac:dyDescent="0.3">
      <c r="A2" s="192" t="s">
        <v>214</v>
      </c>
    </row>
    <row r="3" spans="1:40" x14ac:dyDescent="0.3">
      <c r="A3" s="188" t="s">
        <v>140</v>
      </c>
      <c r="B3" s="213">
        <v>2014</v>
      </c>
      <c r="D3" s="189">
        <f>MAX(D5:D1048576)</f>
        <v>11</v>
      </c>
      <c r="F3" s="189">
        <f>SUMIF($E5:$E1048576,"&lt;10",F5:F1048576)</f>
        <v>1183169.9000000004</v>
      </c>
      <c r="G3" s="189">
        <f t="shared" ref="G3:AN3" si="0">SUMIF($E5:$E1048576,"&lt;10",G5:G1048576)</f>
        <v>0</v>
      </c>
      <c r="H3" s="189">
        <f t="shared" si="0"/>
        <v>1019097.35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89">
        <f t="shared" si="0"/>
        <v>0</v>
      </c>
      <c r="N3" s="189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89">
        <f t="shared" si="0"/>
        <v>0</v>
      </c>
      <c r="T3" s="189">
        <f t="shared" si="0"/>
        <v>0</v>
      </c>
      <c r="U3" s="189">
        <f t="shared" si="0"/>
        <v>0</v>
      </c>
      <c r="V3" s="189">
        <f t="shared" si="0"/>
        <v>0</v>
      </c>
      <c r="W3" s="189">
        <f t="shared" si="0"/>
        <v>0</v>
      </c>
      <c r="X3" s="189">
        <f t="shared" si="0"/>
        <v>0</v>
      </c>
      <c r="Y3" s="189">
        <f t="shared" si="0"/>
        <v>0</v>
      </c>
      <c r="Z3" s="189">
        <f t="shared" si="0"/>
        <v>47539.750000000007</v>
      </c>
      <c r="AA3" s="189">
        <f t="shared" si="0"/>
        <v>0</v>
      </c>
      <c r="AB3" s="189">
        <f t="shared" si="0"/>
        <v>0</v>
      </c>
      <c r="AC3" s="189">
        <f t="shared" si="0"/>
        <v>0</v>
      </c>
      <c r="AD3" s="189">
        <f t="shared" si="0"/>
        <v>0</v>
      </c>
      <c r="AE3" s="189">
        <f t="shared" si="0"/>
        <v>0</v>
      </c>
      <c r="AF3" s="189">
        <f t="shared" si="0"/>
        <v>0</v>
      </c>
      <c r="AG3" s="189">
        <f t="shared" si="0"/>
        <v>0</v>
      </c>
      <c r="AH3" s="189">
        <f t="shared" si="0"/>
        <v>0</v>
      </c>
      <c r="AI3" s="189">
        <f t="shared" si="0"/>
        <v>0</v>
      </c>
      <c r="AJ3" s="189">
        <f t="shared" si="0"/>
        <v>0</v>
      </c>
      <c r="AK3" s="189">
        <f t="shared" si="0"/>
        <v>0</v>
      </c>
      <c r="AL3" s="189">
        <f t="shared" si="0"/>
        <v>0</v>
      </c>
      <c r="AM3" s="189">
        <f t="shared" si="0"/>
        <v>116532.80000000002</v>
      </c>
      <c r="AN3" s="189">
        <f t="shared" si="0"/>
        <v>0</v>
      </c>
    </row>
    <row r="4" spans="1:40" x14ac:dyDescent="0.3">
      <c r="A4" s="188" t="s">
        <v>141</v>
      </c>
      <c r="B4" s="213">
        <v>1</v>
      </c>
      <c r="C4" s="190" t="s">
        <v>2</v>
      </c>
      <c r="D4" s="191" t="s">
        <v>42</v>
      </c>
      <c r="E4" s="191" t="s">
        <v>135</v>
      </c>
      <c r="F4" s="191" t="s">
        <v>1</v>
      </c>
      <c r="G4" s="191" t="s">
        <v>136</v>
      </c>
      <c r="H4" s="191" t="s">
        <v>137</v>
      </c>
      <c r="I4" s="191" t="s">
        <v>138</v>
      </c>
      <c r="J4" s="191" t="s">
        <v>139</v>
      </c>
      <c r="K4" s="191">
        <v>305</v>
      </c>
      <c r="L4" s="191">
        <v>306</v>
      </c>
      <c r="M4" s="191">
        <v>408</v>
      </c>
      <c r="N4" s="191">
        <v>409</v>
      </c>
      <c r="O4" s="191">
        <v>410</v>
      </c>
      <c r="P4" s="191">
        <v>415</v>
      </c>
      <c r="Q4" s="191">
        <v>416</v>
      </c>
      <c r="R4" s="191">
        <v>418</v>
      </c>
      <c r="S4" s="191">
        <v>419</v>
      </c>
      <c r="T4" s="191">
        <v>420</v>
      </c>
      <c r="U4" s="191">
        <v>421</v>
      </c>
      <c r="V4" s="191">
        <v>522</v>
      </c>
      <c r="W4" s="191">
        <v>523</v>
      </c>
      <c r="X4" s="191">
        <v>524</v>
      </c>
      <c r="Y4" s="191">
        <v>525</v>
      </c>
      <c r="Z4" s="191">
        <v>526</v>
      </c>
      <c r="AA4" s="191">
        <v>527</v>
      </c>
      <c r="AB4" s="191">
        <v>528</v>
      </c>
      <c r="AC4" s="191">
        <v>629</v>
      </c>
      <c r="AD4" s="191">
        <v>630</v>
      </c>
      <c r="AE4" s="191">
        <v>636</v>
      </c>
      <c r="AF4" s="191">
        <v>637</v>
      </c>
      <c r="AG4" s="191">
        <v>640</v>
      </c>
      <c r="AH4" s="191">
        <v>642</v>
      </c>
      <c r="AI4" s="191">
        <v>743</v>
      </c>
      <c r="AJ4" s="191">
        <v>745</v>
      </c>
      <c r="AK4" s="191">
        <v>746</v>
      </c>
      <c r="AL4" s="191">
        <v>747</v>
      </c>
      <c r="AM4" s="191">
        <v>930</v>
      </c>
      <c r="AN4" s="191">
        <v>940</v>
      </c>
    </row>
    <row r="5" spans="1:40" x14ac:dyDescent="0.3">
      <c r="A5" s="188" t="s">
        <v>142</v>
      </c>
      <c r="B5" s="213">
        <v>2</v>
      </c>
      <c r="C5" s="188">
        <v>43</v>
      </c>
      <c r="D5" s="188">
        <v>1</v>
      </c>
      <c r="E5" s="188">
        <v>1</v>
      </c>
      <c r="F5" s="188">
        <v>3.3</v>
      </c>
      <c r="G5" s="188">
        <v>0</v>
      </c>
      <c r="H5" s="188">
        <v>2.65</v>
      </c>
      <c r="I5" s="188">
        <v>0</v>
      </c>
      <c r="J5" s="188">
        <v>0</v>
      </c>
      <c r="K5" s="188">
        <v>0</v>
      </c>
      <c r="L5" s="188">
        <v>0</v>
      </c>
      <c r="M5" s="188">
        <v>0</v>
      </c>
      <c r="N5" s="188">
        <v>0</v>
      </c>
      <c r="O5" s="188">
        <v>0</v>
      </c>
      <c r="P5" s="188">
        <v>0</v>
      </c>
      <c r="Q5" s="188">
        <v>0</v>
      </c>
      <c r="R5" s="188">
        <v>0</v>
      </c>
      <c r="S5" s="188">
        <v>0</v>
      </c>
      <c r="T5" s="188">
        <v>0</v>
      </c>
      <c r="U5" s="188">
        <v>0</v>
      </c>
      <c r="V5" s="188">
        <v>0</v>
      </c>
      <c r="W5" s="188">
        <v>0</v>
      </c>
      <c r="X5" s="188">
        <v>0</v>
      </c>
      <c r="Y5" s="188">
        <v>0</v>
      </c>
      <c r="Z5" s="188">
        <v>0.05</v>
      </c>
      <c r="AA5" s="188">
        <v>0</v>
      </c>
      <c r="AB5" s="188">
        <v>0</v>
      </c>
      <c r="AC5" s="188">
        <v>0</v>
      </c>
      <c r="AD5" s="188">
        <v>0</v>
      </c>
      <c r="AE5" s="188">
        <v>0</v>
      </c>
      <c r="AF5" s="188">
        <v>0</v>
      </c>
      <c r="AG5" s="188">
        <v>0</v>
      </c>
      <c r="AH5" s="188">
        <v>0</v>
      </c>
      <c r="AI5" s="188">
        <v>0</v>
      </c>
      <c r="AJ5" s="188">
        <v>0</v>
      </c>
      <c r="AK5" s="188">
        <v>0</v>
      </c>
      <c r="AL5" s="188">
        <v>0</v>
      </c>
      <c r="AM5" s="188">
        <v>0.6</v>
      </c>
      <c r="AN5" s="188">
        <v>0</v>
      </c>
    </row>
    <row r="6" spans="1:40" x14ac:dyDescent="0.3">
      <c r="A6" s="188" t="s">
        <v>143</v>
      </c>
      <c r="B6" s="213">
        <v>3</v>
      </c>
      <c r="C6" s="188">
        <v>43</v>
      </c>
      <c r="D6" s="188">
        <v>1</v>
      </c>
      <c r="E6" s="188">
        <v>2</v>
      </c>
      <c r="F6" s="188">
        <v>536.79999999999995</v>
      </c>
      <c r="G6" s="188">
        <v>0</v>
      </c>
      <c r="H6" s="188">
        <v>425.2</v>
      </c>
      <c r="I6" s="188">
        <v>0</v>
      </c>
      <c r="J6" s="188">
        <v>0</v>
      </c>
      <c r="K6" s="188">
        <v>0</v>
      </c>
      <c r="L6" s="188">
        <v>0</v>
      </c>
      <c r="M6" s="188">
        <v>0</v>
      </c>
      <c r="N6" s="188">
        <v>0</v>
      </c>
      <c r="O6" s="188">
        <v>0</v>
      </c>
      <c r="P6" s="188">
        <v>0</v>
      </c>
      <c r="Q6" s="188">
        <v>0</v>
      </c>
      <c r="R6" s="188">
        <v>0</v>
      </c>
      <c r="S6" s="188">
        <v>0</v>
      </c>
      <c r="T6" s="188">
        <v>0</v>
      </c>
      <c r="U6" s="188">
        <v>0</v>
      </c>
      <c r="V6" s="188">
        <v>0</v>
      </c>
      <c r="W6" s="188">
        <v>0</v>
      </c>
      <c r="X6" s="188">
        <v>0</v>
      </c>
      <c r="Y6" s="188">
        <v>0</v>
      </c>
      <c r="Z6" s="188">
        <v>9.1999999999999993</v>
      </c>
      <c r="AA6" s="188">
        <v>0</v>
      </c>
      <c r="AB6" s="188">
        <v>0</v>
      </c>
      <c r="AC6" s="188">
        <v>0</v>
      </c>
      <c r="AD6" s="188">
        <v>0</v>
      </c>
      <c r="AE6" s="188">
        <v>0</v>
      </c>
      <c r="AF6" s="188">
        <v>0</v>
      </c>
      <c r="AG6" s="188">
        <v>0</v>
      </c>
      <c r="AH6" s="188">
        <v>0</v>
      </c>
      <c r="AI6" s="188">
        <v>0</v>
      </c>
      <c r="AJ6" s="188">
        <v>0</v>
      </c>
      <c r="AK6" s="188">
        <v>0</v>
      </c>
      <c r="AL6" s="188">
        <v>0</v>
      </c>
      <c r="AM6" s="188">
        <v>102.4</v>
      </c>
      <c r="AN6" s="188">
        <v>0</v>
      </c>
    </row>
    <row r="7" spans="1:40" x14ac:dyDescent="0.3">
      <c r="A7" s="188" t="s">
        <v>144</v>
      </c>
      <c r="B7" s="213">
        <v>4</v>
      </c>
      <c r="C7" s="188">
        <v>43</v>
      </c>
      <c r="D7" s="188">
        <v>1</v>
      </c>
      <c r="E7" s="188">
        <v>6</v>
      </c>
      <c r="F7" s="188">
        <v>103109</v>
      </c>
      <c r="G7" s="188">
        <v>0</v>
      </c>
      <c r="H7" s="188">
        <v>92656</v>
      </c>
      <c r="I7" s="188">
        <v>0</v>
      </c>
      <c r="J7" s="188">
        <v>0</v>
      </c>
      <c r="K7" s="188">
        <v>0</v>
      </c>
      <c r="L7" s="188">
        <v>0</v>
      </c>
      <c r="M7" s="188">
        <v>0</v>
      </c>
      <c r="N7" s="188">
        <v>0</v>
      </c>
      <c r="O7" s="188">
        <v>0</v>
      </c>
      <c r="P7" s="188">
        <v>0</v>
      </c>
      <c r="Q7" s="188">
        <v>0</v>
      </c>
      <c r="R7" s="188">
        <v>0</v>
      </c>
      <c r="S7" s="188">
        <v>0</v>
      </c>
      <c r="T7" s="188">
        <v>0</v>
      </c>
      <c r="U7" s="188">
        <v>0</v>
      </c>
      <c r="V7" s="188">
        <v>0</v>
      </c>
      <c r="W7" s="188">
        <v>0</v>
      </c>
      <c r="X7" s="188">
        <v>0</v>
      </c>
      <c r="Y7" s="188">
        <v>0</v>
      </c>
      <c r="Z7" s="188">
        <v>2494</v>
      </c>
      <c r="AA7" s="188">
        <v>0</v>
      </c>
      <c r="AB7" s="188">
        <v>0</v>
      </c>
      <c r="AC7" s="188">
        <v>0</v>
      </c>
      <c r="AD7" s="188">
        <v>0</v>
      </c>
      <c r="AE7" s="188">
        <v>0</v>
      </c>
      <c r="AF7" s="188">
        <v>0</v>
      </c>
      <c r="AG7" s="188">
        <v>0</v>
      </c>
      <c r="AH7" s="188">
        <v>0</v>
      </c>
      <c r="AI7" s="188">
        <v>0</v>
      </c>
      <c r="AJ7" s="188">
        <v>0</v>
      </c>
      <c r="AK7" s="188">
        <v>0</v>
      </c>
      <c r="AL7" s="188">
        <v>0</v>
      </c>
      <c r="AM7" s="188">
        <v>7959</v>
      </c>
      <c r="AN7" s="188">
        <v>0</v>
      </c>
    </row>
    <row r="8" spans="1:40" x14ac:dyDescent="0.3">
      <c r="A8" s="188" t="s">
        <v>145</v>
      </c>
      <c r="B8" s="213">
        <v>5</v>
      </c>
      <c r="C8" s="188">
        <v>43</v>
      </c>
      <c r="D8" s="188">
        <v>1</v>
      </c>
      <c r="E8" s="188">
        <v>11</v>
      </c>
      <c r="F8" s="188">
        <v>821</v>
      </c>
      <c r="G8" s="188">
        <v>0</v>
      </c>
      <c r="H8" s="188">
        <v>737.66666666666663</v>
      </c>
      <c r="I8" s="188">
        <v>0</v>
      </c>
      <c r="J8" s="188">
        <v>0</v>
      </c>
      <c r="K8" s="188">
        <v>83.333333333333329</v>
      </c>
      <c r="L8" s="188">
        <v>0</v>
      </c>
      <c r="M8" s="188">
        <v>0</v>
      </c>
      <c r="N8" s="188">
        <v>0</v>
      </c>
      <c r="O8" s="188">
        <v>0</v>
      </c>
      <c r="P8" s="188">
        <v>0</v>
      </c>
      <c r="Q8" s="188">
        <v>0</v>
      </c>
      <c r="R8" s="188">
        <v>0</v>
      </c>
      <c r="S8" s="188">
        <v>0</v>
      </c>
      <c r="T8" s="188">
        <v>0</v>
      </c>
      <c r="U8" s="188">
        <v>0</v>
      </c>
      <c r="V8" s="188">
        <v>0</v>
      </c>
      <c r="W8" s="188">
        <v>0</v>
      </c>
      <c r="X8" s="188">
        <v>0</v>
      </c>
      <c r="Y8" s="188">
        <v>0</v>
      </c>
      <c r="Z8" s="188">
        <v>0</v>
      </c>
      <c r="AA8" s="188">
        <v>0</v>
      </c>
      <c r="AB8" s="188">
        <v>0</v>
      </c>
      <c r="AC8" s="188">
        <v>0</v>
      </c>
      <c r="AD8" s="188">
        <v>0</v>
      </c>
      <c r="AE8" s="188">
        <v>0</v>
      </c>
      <c r="AF8" s="188">
        <v>0</v>
      </c>
      <c r="AG8" s="188">
        <v>0</v>
      </c>
      <c r="AH8" s="188">
        <v>0</v>
      </c>
      <c r="AI8" s="188">
        <v>0</v>
      </c>
      <c r="AJ8" s="188">
        <v>0</v>
      </c>
      <c r="AK8" s="188">
        <v>0</v>
      </c>
      <c r="AL8" s="188">
        <v>0</v>
      </c>
      <c r="AM8" s="188">
        <v>0</v>
      </c>
      <c r="AN8" s="188">
        <v>0</v>
      </c>
    </row>
    <row r="9" spans="1:40" x14ac:dyDescent="0.3">
      <c r="A9" s="188" t="s">
        <v>146</v>
      </c>
      <c r="B9" s="213">
        <v>6</v>
      </c>
      <c r="C9" s="188">
        <v>43</v>
      </c>
      <c r="D9" s="188">
        <v>2</v>
      </c>
      <c r="E9" s="188">
        <v>1</v>
      </c>
      <c r="F9" s="188">
        <v>3.3</v>
      </c>
      <c r="G9" s="188">
        <v>0</v>
      </c>
      <c r="H9" s="188">
        <v>2.65</v>
      </c>
      <c r="I9" s="188">
        <v>0</v>
      </c>
      <c r="J9" s="188">
        <v>0</v>
      </c>
      <c r="K9" s="188">
        <v>0</v>
      </c>
      <c r="L9" s="188">
        <v>0</v>
      </c>
      <c r="M9" s="188">
        <v>0</v>
      </c>
      <c r="N9" s="188">
        <v>0</v>
      </c>
      <c r="O9" s="188">
        <v>0</v>
      </c>
      <c r="P9" s="188">
        <v>0</v>
      </c>
      <c r="Q9" s="188">
        <v>0</v>
      </c>
      <c r="R9" s="188">
        <v>0</v>
      </c>
      <c r="S9" s="188">
        <v>0</v>
      </c>
      <c r="T9" s="188">
        <v>0</v>
      </c>
      <c r="U9" s="188">
        <v>0</v>
      </c>
      <c r="V9" s="188">
        <v>0</v>
      </c>
      <c r="W9" s="188">
        <v>0</v>
      </c>
      <c r="X9" s="188">
        <v>0</v>
      </c>
      <c r="Y9" s="188">
        <v>0</v>
      </c>
      <c r="Z9" s="188">
        <v>0.05</v>
      </c>
      <c r="AA9" s="188">
        <v>0</v>
      </c>
      <c r="AB9" s="188">
        <v>0</v>
      </c>
      <c r="AC9" s="188">
        <v>0</v>
      </c>
      <c r="AD9" s="188">
        <v>0</v>
      </c>
      <c r="AE9" s="188">
        <v>0</v>
      </c>
      <c r="AF9" s="188">
        <v>0</v>
      </c>
      <c r="AG9" s="188">
        <v>0</v>
      </c>
      <c r="AH9" s="188">
        <v>0</v>
      </c>
      <c r="AI9" s="188">
        <v>0</v>
      </c>
      <c r="AJ9" s="188">
        <v>0</v>
      </c>
      <c r="AK9" s="188">
        <v>0</v>
      </c>
      <c r="AL9" s="188">
        <v>0</v>
      </c>
      <c r="AM9" s="188">
        <v>0.6</v>
      </c>
      <c r="AN9" s="188">
        <v>0</v>
      </c>
    </row>
    <row r="10" spans="1:40" x14ac:dyDescent="0.3">
      <c r="A10" s="188" t="s">
        <v>147</v>
      </c>
      <c r="B10" s="213">
        <v>7</v>
      </c>
      <c r="C10" s="188">
        <v>43</v>
      </c>
      <c r="D10" s="188">
        <v>2</v>
      </c>
      <c r="E10" s="188">
        <v>2</v>
      </c>
      <c r="F10" s="188">
        <v>466</v>
      </c>
      <c r="G10" s="188">
        <v>0</v>
      </c>
      <c r="H10" s="188">
        <v>370</v>
      </c>
      <c r="I10" s="188">
        <v>0</v>
      </c>
      <c r="J10" s="188">
        <v>0</v>
      </c>
      <c r="K10" s="188">
        <v>0</v>
      </c>
      <c r="L10" s="188">
        <v>0</v>
      </c>
      <c r="M10" s="188">
        <v>0</v>
      </c>
      <c r="N10" s="188">
        <v>0</v>
      </c>
      <c r="O10" s="188">
        <v>0</v>
      </c>
      <c r="P10" s="188">
        <v>0</v>
      </c>
      <c r="Q10" s="188">
        <v>0</v>
      </c>
      <c r="R10" s="188">
        <v>0</v>
      </c>
      <c r="S10" s="188">
        <v>0</v>
      </c>
      <c r="T10" s="188">
        <v>0</v>
      </c>
      <c r="U10" s="188">
        <v>0</v>
      </c>
      <c r="V10" s="188">
        <v>0</v>
      </c>
      <c r="W10" s="188">
        <v>0</v>
      </c>
      <c r="X10" s="188">
        <v>0</v>
      </c>
      <c r="Y10" s="188">
        <v>0</v>
      </c>
      <c r="Z10" s="188">
        <v>8</v>
      </c>
      <c r="AA10" s="188">
        <v>0</v>
      </c>
      <c r="AB10" s="188">
        <v>0</v>
      </c>
      <c r="AC10" s="188">
        <v>0</v>
      </c>
      <c r="AD10" s="188">
        <v>0</v>
      </c>
      <c r="AE10" s="188">
        <v>0</v>
      </c>
      <c r="AF10" s="188">
        <v>0</v>
      </c>
      <c r="AG10" s="188">
        <v>0</v>
      </c>
      <c r="AH10" s="188">
        <v>0</v>
      </c>
      <c r="AI10" s="188">
        <v>0</v>
      </c>
      <c r="AJ10" s="188">
        <v>0</v>
      </c>
      <c r="AK10" s="188">
        <v>0</v>
      </c>
      <c r="AL10" s="188">
        <v>0</v>
      </c>
      <c r="AM10" s="188">
        <v>88</v>
      </c>
      <c r="AN10" s="188">
        <v>0</v>
      </c>
    </row>
    <row r="11" spans="1:40" x14ac:dyDescent="0.3">
      <c r="A11" s="188" t="s">
        <v>148</v>
      </c>
      <c r="B11" s="213">
        <v>8</v>
      </c>
      <c r="C11" s="188">
        <v>43</v>
      </c>
      <c r="D11" s="188">
        <v>2</v>
      </c>
      <c r="E11" s="188">
        <v>6</v>
      </c>
      <c r="F11" s="188">
        <v>98875</v>
      </c>
      <c r="G11" s="188">
        <v>0</v>
      </c>
      <c r="H11" s="188">
        <v>88503</v>
      </c>
      <c r="I11" s="188">
        <v>0</v>
      </c>
      <c r="J11" s="188">
        <v>0</v>
      </c>
      <c r="K11" s="188">
        <v>0</v>
      </c>
      <c r="L11" s="188">
        <v>0</v>
      </c>
      <c r="M11" s="188">
        <v>0</v>
      </c>
      <c r="N11" s="188">
        <v>0</v>
      </c>
      <c r="O11" s="188">
        <v>0</v>
      </c>
      <c r="P11" s="188">
        <v>0</v>
      </c>
      <c r="Q11" s="188">
        <v>0</v>
      </c>
      <c r="R11" s="188">
        <v>0</v>
      </c>
      <c r="S11" s="188">
        <v>0</v>
      </c>
      <c r="T11" s="188">
        <v>0</v>
      </c>
      <c r="U11" s="188">
        <v>0</v>
      </c>
      <c r="V11" s="188">
        <v>0</v>
      </c>
      <c r="W11" s="188">
        <v>0</v>
      </c>
      <c r="X11" s="188">
        <v>0</v>
      </c>
      <c r="Y11" s="188">
        <v>0</v>
      </c>
      <c r="Z11" s="188">
        <v>2494</v>
      </c>
      <c r="AA11" s="188">
        <v>0</v>
      </c>
      <c r="AB11" s="188">
        <v>0</v>
      </c>
      <c r="AC11" s="188">
        <v>0</v>
      </c>
      <c r="AD11" s="188">
        <v>0</v>
      </c>
      <c r="AE11" s="188">
        <v>0</v>
      </c>
      <c r="AF11" s="188">
        <v>0</v>
      </c>
      <c r="AG11" s="188">
        <v>0</v>
      </c>
      <c r="AH11" s="188">
        <v>0</v>
      </c>
      <c r="AI11" s="188">
        <v>0</v>
      </c>
      <c r="AJ11" s="188">
        <v>0</v>
      </c>
      <c r="AK11" s="188">
        <v>0</v>
      </c>
      <c r="AL11" s="188">
        <v>0</v>
      </c>
      <c r="AM11" s="188">
        <v>7878</v>
      </c>
      <c r="AN11" s="188">
        <v>0</v>
      </c>
    </row>
    <row r="12" spans="1:40" x14ac:dyDescent="0.3">
      <c r="A12" s="188" t="s">
        <v>149</v>
      </c>
      <c r="B12" s="213">
        <v>9</v>
      </c>
      <c r="C12" s="188">
        <v>43</v>
      </c>
      <c r="D12" s="188">
        <v>2</v>
      </c>
      <c r="E12" s="188">
        <v>11</v>
      </c>
      <c r="F12" s="188">
        <v>821</v>
      </c>
      <c r="G12" s="188">
        <v>0</v>
      </c>
      <c r="H12" s="188">
        <v>737.66666666666663</v>
      </c>
      <c r="I12" s="188">
        <v>0</v>
      </c>
      <c r="J12" s="188">
        <v>0</v>
      </c>
      <c r="K12" s="188">
        <v>83.333333333333329</v>
      </c>
      <c r="L12" s="188">
        <v>0</v>
      </c>
      <c r="M12" s="188">
        <v>0</v>
      </c>
      <c r="N12" s="188">
        <v>0</v>
      </c>
      <c r="O12" s="188">
        <v>0</v>
      </c>
      <c r="P12" s="188">
        <v>0</v>
      </c>
      <c r="Q12" s="188">
        <v>0</v>
      </c>
      <c r="R12" s="188">
        <v>0</v>
      </c>
      <c r="S12" s="188">
        <v>0</v>
      </c>
      <c r="T12" s="188">
        <v>0</v>
      </c>
      <c r="U12" s="188">
        <v>0</v>
      </c>
      <c r="V12" s="188">
        <v>0</v>
      </c>
      <c r="W12" s="188">
        <v>0</v>
      </c>
      <c r="X12" s="188">
        <v>0</v>
      </c>
      <c r="Y12" s="188">
        <v>0</v>
      </c>
      <c r="Z12" s="188">
        <v>0</v>
      </c>
      <c r="AA12" s="188">
        <v>0</v>
      </c>
      <c r="AB12" s="188">
        <v>0</v>
      </c>
      <c r="AC12" s="188">
        <v>0</v>
      </c>
      <c r="AD12" s="188">
        <v>0</v>
      </c>
      <c r="AE12" s="188">
        <v>0</v>
      </c>
      <c r="AF12" s="188">
        <v>0</v>
      </c>
      <c r="AG12" s="188">
        <v>0</v>
      </c>
      <c r="AH12" s="188">
        <v>0</v>
      </c>
      <c r="AI12" s="188">
        <v>0</v>
      </c>
      <c r="AJ12" s="188">
        <v>0</v>
      </c>
      <c r="AK12" s="188">
        <v>0</v>
      </c>
      <c r="AL12" s="188">
        <v>0</v>
      </c>
      <c r="AM12" s="188">
        <v>0</v>
      </c>
      <c r="AN12" s="188">
        <v>0</v>
      </c>
    </row>
    <row r="13" spans="1:40" x14ac:dyDescent="0.3">
      <c r="A13" s="188" t="s">
        <v>150</v>
      </c>
      <c r="B13" s="213">
        <v>10</v>
      </c>
      <c r="C13" s="188">
        <v>43</v>
      </c>
      <c r="D13" s="188">
        <v>3</v>
      </c>
      <c r="E13" s="188">
        <v>1</v>
      </c>
      <c r="F13" s="188">
        <v>3.3</v>
      </c>
      <c r="G13" s="188">
        <v>0</v>
      </c>
      <c r="H13" s="188">
        <v>2.65</v>
      </c>
      <c r="I13" s="188">
        <v>0</v>
      </c>
      <c r="J13" s="188">
        <v>0</v>
      </c>
      <c r="K13" s="188">
        <v>0</v>
      </c>
      <c r="L13" s="188">
        <v>0</v>
      </c>
      <c r="M13" s="188">
        <v>0</v>
      </c>
      <c r="N13" s="188">
        <v>0</v>
      </c>
      <c r="O13" s="188">
        <v>0</v>
      </c>
      <c r="P13" s="188">
        <v>0</v>
      </c>
      <c r="Q13" s="188">
        <v>0</v>
      </c>
      <c r="R13" s="188">
        <v>0</v>
      </c>
      <c r="S13" s="188">
        <v>0</v>
      </c>
      <c r="T13" s="188">
        <v>0</v>
      </c>
      <c r="U13" s="188">
        <v>0</v>
      </c>
      <c r="V13" s="188">
        <v>0</v>
      </c>
      <c r="W13" s="188">
        <v>0</v>
      </c>
      <c r="X13" s="188">
        <v>0</v>
      </c>
      <c r="Y13" s="188">
        <v>0</v>
      </c>
      <c r="Z13" s="188">
        <v>0.05</v>
      </c>
      <c r="AA13" s="188">
        <v>0</v>
      </c>
      <c r="AB13" s="188">
        <v>0</v>
      </c>
      <c r="AC13" s="188">
        <v>0</v>
      </c>
      <c r="AD13" s="188">
        <v>0</v>
      </c>
      <c r="AE13" s="188">
        <v>0</v>
      </c>
      <c r="AF13" s="188">
        <v>0</v>
      </c>
      <c r="AG13" s="188">
        <v>0</v>
      </c>
      <c r="AH13" s="188">
        <v>0</v>
      </c>
      <c r="AI13" s="188">
        <v>0</v>
      </c>
      <c r="AJ13" s="188">
        <v>0</v>
      </c>
      <c r="AK13" s="188">
        <v>0</v>
      </c>
      <c r="AL13" s="188">
        <v>0</v>
      </c>
      <c r="AM13" s="188">
        <v>0.6</v>
      </c>
      <c r="AN13" s="188">
        <v>0</v>
      </c>
    </row>
    <row r="14" spans="1:40" x14ac:dyDescent="0.3">
      <c r="A14" s="188" t="s">
        <v>151</v>
      </c>
      <c r="B14" s="213">
        <v>11</v>
      </c>
      <c r="C14" s="188">
        <v>43</v>
      </c>
      <c r="D14" s="188">
        <v>3</v>
      </c>
      <c r="E14" s="188">
        <v>2</v>
      </c>
      <c r="F14" s="188">
        <v>509.6</v>
      </c>
      <c r="G14" s="188">
        <v>0</v>
      </c>
      <c r="H14" s="188">
        <v>401.2</v>
      </c>
      <c r="I14" s="188">
        <v>0</v>
      </c>
      <c r="J14" s="188">
        <v>0</v>
      </c>
      <c r="K14" s="188">
        <v>0</v>
      </c>
      <c r="L14" s="188">
        <v>0</v>
      </c>
      <c r="M14" s="188">
        <v>0</v>
      </c>
      <c r="N14" s="188">
        <v>0</v>
      </c>
      <c r="O14" s="188">
        <v>0</v>
      </c>
      <c r="P14" s="188">
        <v>0</v>
      </c>
      <c r="Q14" s="188">
        <v>0</v>
      </c>
      <c r="R14" s="188">
        <v>0</v>
      </c>
      <c r="S14" s="188">
        <v>0</v>
      </c>
      <c r="T14" s="188">
        <v>0</v>
      </c>
      <c r="U14" s="188">
        <v>0</v>
      </c>
      <c r="V14" s="188">
        <v>0</v>
      </c>
      <c r="W14" s="188">
        <v>0</v>
      </c>
      <c r="X14" s="188">
        <v>0</v>
      </c>
      <c r="Y14" s="188">
        <v>0</v>
      </c>
      <c r="Z14" s="188">
        <v>8.4</v>
      </c>
      <c r="AA14" s="188">
        <v>0</v>
      </c>
      <c r="AB14" s="188">
        <v>0</v>
      </c>
      <c r="AC14" s="188">
        <v>0</v>
      </c>
      <c r="AD14" s="188">
        <v>0</v>
      </c>
      <c r="AE14" s="188">
        <v>0</v>
      </c>
      <c r="AF14" s="188">
        <v>0</v>
      </c>
      <c r="AG14" s="188">
        <v>0</v>
      </c>
      <c r="AH14" s="188">
        <v>0</v>
      </c>
      <c r="AI14" s="188">
        <v>0</v>
      </c>
      <c r="AJ14" s="188">
        <v>0</v>
      </c>
      <c r="AK14" s="188">
        <v>0</v>
      </c>
      <c r="AL14" s="188">
        <v>0</v>
      </c>
      <c r="AM14" s="188">
        <v>100</v>
      </c>
      <c r="AN14" s="188">
        <v>0</v>
      </c>
    </row>
    <row r="15" spans="1:40" x14ac:dyDescent="0.3">
      <c r="A15" s="188" t="s">
        <v>152</v>
      </c>
      <c r="B15" s="213">
        <v>12</v>
      </c>
      <c r="C15" s="188">
        <v>43</v>
      </c>
      <c r="D15" s="188">
        <v>3</v>
      </c>
      <c r="E15" s="188">
        <v>6</v>
      </c>
      <c r="F15" s="188">
        <v>98859</v>
      </c>
      <c r="G15" s="188">
        <v>0</v>
      </c>
      <c r="H15" s="188">
        <v>88520</v>
      </c>
      <c r="I15" s="188">
        <v>0</v>
      </c>
      <c r="J15" s="188">
        <v>0</v>
      </c>
      <c r="K15" s="188">
        <v>0</v>
      </c>
      <c r="L15" s="188">
        <v>0</v>
      </c>
      <c r="M15" s="188">
        <v>0</v>
      </c>
      <c r="N15" s="188">
        <v>0</v>
      </c>
      <c r="O15" s="188">
        <v>0</v>
      </c>
      <c r="P15" s="188">
        <v>0</v>
      </c>
      <c r="Q15" s="188">
        <v>0</v>
      </c>
      <c r="R15" s="188">
        <v>0</v>
      </c>
      <c r="S15" s="188">
        <v>0</v>
      </c>
      <c r="T15" s="188">
        <v>0</v>
      </c>
      <c r="U15" s="188">
        <v>0</v>
      </c>
      <c r="V15" s="188">
        <v>0</v>
      </c>
      <c r="W15" s="188">
        <v>0</v>
      </c>
      <c r="X15" s="188">
        <v>0</v>
      </c>
      <c r="Y15" s="188">
        <v>0</v>
      </c>
      <c r="Z15" s="188">
        <v>2494</v>
      </c>
      <c r="AA15" s="188">
        <v>0</v>
      </c>
      <c r="AB15" s="188">
        <v>0</v>
      </c>
      <c r="AC15" s="188">
        <v>0</v>
      </c>
      <c r="AD15" s="188">
        <v>0</v>
      </c>
      <c r="AE15" s="188">
        <v>0</v>
      </c>
      <c r="AF15" s="188">
        <v>0</v>
      </c>
      <c r="AG15" s="188">
        <v>0</v>
      </c>
      <c r="AH15" s="188">
        <v>0</v>
      </c>
      <c r="AI15" s="188">
        <v>0</v>
      </c>
      <c r="AJ15" s="188">
        <v>0</v>
      </c>
      <c r="AK15" s="188">
        <v>0</v>
      </c>
      <c r="AL15" s="188">
        <v>0</v>
      </c>
      <c r="AM15" s="188">
        <v>7845</v>
      </c>
      <c r="AN15" s="188">
        <v>0</v>
      </c>
    </row>
    <row r="16" spans="1:40" x14ac:dyDescent="0.3">
      <c r="A16" s="188" t="s">
        <v>140</v>
      </c>
      <c r="B16" s="213">
        <v>2014</v>
      </c>
      <c r="C16" s="188">
        <v>43</v>
      </c>
      <c r="D16" s="188">
        <v>3</v>
      </c>
      <c r="E16" s="188">
        <v>11</v>
      </c>
      <c r="F16" s="188">
        <v>821</v>
      </c>
      <c r="G16" s="188">
        <v>0</v>
      </c>
      <c r="H16" s="188">
        <v>737.66666666666663</v>
      </c>
      <c r="I16" s="188">
        <v>0</v>
      </c>
      <c r="J16" s="188">
        <v>0</v>
      </c>
      <c r="K16" s="188">
        <v>83.333333333333329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0</v>
      </c>
      <c r="AB16" s="188">
        <v>0</v>
      </c>
      <c r="AC16" s="188">
        <v>0</v>
      </c>
      <c r="AD16" s="188">
        <v>0</v>
      </c>
      <c r="AE16" s="188">
        <v>0</v>
      </c>
      <c r="AF16" s="188">
        <v>0</v>
      </c>
      <c r="AG16" s="188">
        <v>0</v>
      </c>
      <c r="AH16" s="188">
        <v>0</v>
      </c>
      <c r="AI16" s="188">
        <v>0</v>
      </c>
      <c r="AJ16" s="188">
        <v>0</v>
      </c>
      <c r="AK16" s="188">
        <v>0</v>
      </c>
      <c r="AL16" s="188">
        <v>0</v>
      </c>
      <c r="AM16" s="188">
        <v>0</v>
      </c>
      <c r="AN16" s="188">
        <v>0</v>
      </c>
    </row>
    <row r="17" spans="3:40" x14ac:dyDescent="0.3">
      <c r="C17" s="188">
        <v>43</v>
      </c>
      <c r="D17" s="188">
        <v>4</v>
      </c>
      <c r="E17" s="188">
        <v>1</v>
      </c>
      <c r="F17" s="188">
        <v>3.15</v>
      </c>
      <c r="G17" s="188">
        <v>0</v>
      </c>
      <c r="H17" s="188">
        <v>2.5</v>
      </c>
      <c r="I17" s="188">
        <v>0</v>
      </c>
      <c r="J17" s="188">
        <v>0</v>
      </c>
      <c r="K17" s="188">
        <v>0</v>
      </c>
      <c r="L17" s="188">
        <v>0</v>
      </c>
      <c r="M17" s="188">
        <v>0</v>
      </c>
      <c r="N17" s="188">
        <v>0</v>
      </c>
      <c r="O17" s="188">
        <v>0</v>
      </c>
      <c r="P17" s="188">
        <v>0</v>
      </c>
      <c r="Q17" s="188">
        <v>0</v>
      </c>
      <c r="R17" s="188">
        <v>0</v>
      </c>
      <c r="S17" s="188">
        <v>0</v>
      </c>
      <c r="T17" s="188">
        <v>0</v>
      </c>
      <c r="U17" s="188">
        <v>0</v>
      </c>
      <c r="V17" s="188">
        <v>0</v>
      </c>
      <c r="W17" s="188">
        <v>0</v>
      </c>
      <c r="X17" s="188">
        <v>0</v>
      </c>
      <c r="Y17" s="188">
        <v>0</v>
      </c>
      <c r="Z17" s="188">
        <v>0.05</v>
      </c>
      <c r="AA17" s="188">
        <v>0</v>
      </c>
      <c r="AB17" s="188">
        <v>0</v>
      </c>
      <c r="AC17" s="188">
        <v>0</v>
      </c>
      <c r="AD17" s="188">
        <v>0</v>
      </c>
      <c r="AE17" s="188">
        <v>0</v>
      </c>
      <c r="AF17" s="188">
        <v>0</v>
      </c>
      <c r="AG17" s="188">
        <v>0</v>
      </c>
      <c r="AH17" s="188">
        <v>0</v>
      </c>
      <c r="AI17" s="188">
        <v>0</v>
      </c>
      <c r="AJ17" s="188">
        <v>0</v>
      </c>
      <c r="AK17" s="188">
        <v>0</v>
      </c>
      <c r="AL17" s="188">
        <v>0</v>
      </c>
      <c r="AM17" s="188">
        <v>0.6</v>
      </c>
      <c r="AN17" s="188">
        <v>0</v>
      </c>
    </row>
    <row r="18" spans="3:40" x14ac:dyDescent="0.3">
      <c r="C18" s="188">
        <v>43</v>
      </c>
      <c r="D18" s="188">
        <v>4</v>
      </c>
      <c r="E18" s="188">
        <v>2</v>
      </c>
      <c r="F18" s="188">
        <v>526.4</v>
      </c>
      <c r="G18" s="188">
        <v>0</v>
      </c>
      <c r="H18" s="188">
        <v>420</v>
      </c>
      <c r="I18" s="188">
        <v>0</v>
      </c>
      <c r="J18" s="188">
        <v>0</v>
      </c>
      <c r="K18" s="188">
        <v>0</v>
      </c>
      <c r="L18" s="188">
        <v>0</v>
      </c>
      <c r="M18" s="188">
        <v>0</v>
      </c>
      <c r="N18" s="188">
        <v>0</v>
      </c>
      <c r="O18" s="188">
        <v>0</v>
      </c>
      <c r="P18" s="188">
        <v>0</v>
      </c>
      <c r="Q18" s="188">
        <v>0</v>
      </c>
      <c r="R18" s="188">
        <v>0</v>
      </c>
      <c r="S18" s="188">
        <v>0</v>
      </c>
      <c r="T18" s="188">
        <v>0</v>
      </c>
      <c r="U18" s="188">
        <v>0</v>
      </c>
      <c r="V18" s="188">
        <v>0</v>
      </c>
      <c r="W18" s="188">
        <v>0</v>
      </c>
      <c r="X18" s="188">
        <v>0</v>
      </c>
      <c r="Y18" s="188">
        <v>0</v>
      </c>
      <c r="Z18" s="188">
        <v>8.8000000000000007</v>
      </c>
      <c r="AA18" s="188">
        <v>0</v>
      </c>
      <c r="AB18" s="188">
        <v>0</v>
      </c>
      <c r="AC18" s="188">
        <v>0</v>
      </c>
      <c r="AD18" s="188">
        <v>0</v>
      </c>
      <c r="AE18" s="188">
        <v>0</v>
      </c>
      <c r="AF18" s="188">
        <v>0</v>
      </c>
      <c r="AG18" s="188">
        <v>0</v>
      </c>
      <c r="AH18" s="188">
        <v>0</v>
      </c>
      <c r="AI18" s="188">
        <v>0</v>
      </c>
      <c r="AJ18" s="188">
        <v>0</v>
      </c>
      <c r="AK18" s="188">
        <v>0</v>
      </c>
      <c r="AL18" s="188">
        <v>0</v>
      </c>
      <c r="AM18" s="188">
        <v>97.6</v>
      </c>
      <c r="AN18" s="188">
        <v>0</v>
      </c>
    </row>
    <row r="19" spans="3:40" x14ac:dyDescent="0.3">
      <c r="C19" s="188">
        <v>43</v>
      </c>
      <c r="D19" s="188">
        <v>4</v>
      </c>
      <c r="E19" s="188">
        <v>6</v>
      </c>
      <c r="F19" s="188">
        <v>95302</v>
      </c>
      <c r="G19" s="188">
        <v>0</v>
      </c>
      <c r="H19" s="188">
        <v>84917</v>
      </c>
      <c r="I19" s="188">
        <v>0</v>
      </c>
      <c r="J19" s="188">
        <v>0</v>
      </c>
      <c r="K19" s="188">
        <v>0</v>
      </c>
      <c r="L19" s="188">
        <v>0</v>
      </c>
      <c r="M19" s="188">
        <v>0</v>
      </c>
      <c r="N19" s="188">
        <v>0</v>
      </c>
      <c r="O19" s="188">
        <v>0</v>
      </c>
      <c r="P19" s="188">
        <v>0</v>
      </c>
      <c r="Q19" s="188">
        <v>0</v>
      </c>
      <c r="R19" s="188">
        <v>0</v>
      </c>
      <c r="S19" s="188">
        <v>0</v>
      </c>
      <c r="T19" s="188">
        <v>0</v>
      </c>
      <c r="U19" s="188">
        <v>0</v>
      </c>
      <c r="V19" s="188">
        <v>0</v>
      </c>
      <c r="W19" s="188">
        <v>0</v>
      </c>
      <c r="X19" s="188">
        <v>0</v>
      </c>
      <c r="Y19" s="188">
        <v>0</v>
      </c>
      <c r="Z19" s="188">
        <v>2494</v>
      </c>
      <c r="AA19" s="188">
        <v>0</v>
      </c>
      <c r="AB19" s="188">
        <v>0</v>
      </c>
      <c r="AC19" s="188">
        <v>0</v>
      </c>
      <c r="AD19" s="188">
        <v>0</v>
      </c>
      <c r="AE19" s="188">
        <v>0</v>
      </c>
      <c r="AF19" s="188">
        <v>0</v>
      </c>
      <c r="AG19" s="188">
        <v>0</v>
      </c>
      <c r="AH19" s="188">
        <v>0</v>
      </c>
      <c r="AI19" s="188">
        <v>0</v>
      </c>
      <c r="AJ19" s="188">
        <v>0</v>
      </c>
      <c r="AK19" s="188">
        <v>0</v>
      </c>
      <c r="AL19" s="188">
        <v>0</v>
      </c>
      <c r="AM19" s="188">
        <v>7891</v>
      </c>
      <c r="AN19" s="188">
        <v>0</v>
      </c>
    </row>
    <row r="20" spans="3:40" x14ac:dyDescent="0.3">
      <c r="C20" s="188">
        <v>43</v>
      </c>
      <c r="D20" s="188">
        <v>4</v>
      </c>
      <c r="E20" s="188">
        <v>11</v>
      </c>
      <c r="F20" s="188">
        <v>821</v>
      </c>
      <c r="G20" s="188">
        <v>0</v>
      </c>
      <c r="H20" s="188">
        <v>737.66666666666663</v>
      </c>
      <c r="I20" s="188">
        <v>0</v>
      </c>
      <c r="J20" s="188">
        <v>0</v>
      </c>
      <c r="K20" s="188">
        <v>83.333333333333329</v>
      </c>
      <c r="L20" s="188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8">
        <v>0</v>
      </c>
      <c r="S20" s="188">
        <v>0</v>
      </c>
      <c r="T20" s="188">
        <v>0</v>
      </c>
      <c r="U20" s="188">
        <v>0</v>
      </c>
      <c r="V20" s="188">
        <v>0</v>
      </c>
      <c r="W20" s="188">
        <v>0</v>
      </c>
      <c r="X20" s="188">
        <v>0</v>
      </c>
      <c r="Y20" s="188">
        <v>0</v>
      </c>
      <c r="Z20" s="188">
        <v>0</v>
      </c>
      <c r="AA20" s="188">
        <v>0</v>
      </c>
      <c r="AB20" s="188">
        <v>0</v>
      </c>
      <c r="AC20" s="188">
        <v>0</v>
      </c>
      <c r="AD20" s="188">
        <v>0</v>
      </c>
      <c r="AE20" s="188">
        <v>0</v>
      </c>
      <c r="AF20" s="188">
        <v>0</v>
      </c>
      <c r="AG20" s="188">
        <v>0</v>
      </c>
      <c r="AH20" s="188">
        <v>0</v>
      </c>
      <c r="AI20" s="188">
        <v>0</v>
      </c>
      <c r="AJ20" s="188">
        <v>0</v>
      </c>
      <c r="AK20" s="188">
        <v>0</v>
      </c>
      <c r="AL20" s="188">
        <v>0</v>
      </c>
      <c r="AM20" s="188">
        <v>0</v>
      </c>
      <c r="AN20" s="188">
        <v>0</v>
      </c>
    </row>
    <row r="21" spans="3:40" x14ac:dyDescent="0.3">
      <c r="C21" s="188">
        <v>43</v>
      </c>
      <c r="D21" s="188">
        <v>5</v>
      </c>
      <c r="E21" s="188">
        <v>1</v>
      </c>
      <c r="F21" s="188">
        <v>3.15</v>
      </c>
      <c r="G21" s="188">
        <v>0</v>
      </c>
      <c r="H21" s="188">
        <v>2.5</v>
      </c>
      <c r="I21" s="188">
        <v>0</v>
      </c>
      <c r="J21" s="188">
        <v>0</v>
      </c>
      <c r="K21" s="188">
        <v>0</v>
      </c>
      <c r="L21" s="188">
        <v>0</v>
      </c>
      <c r="M21" s="188">
        <v>0</v>
      </c>
      <c r="N21" s="188">
        <v>0</v>
      </c>
      <c r="O21" s="188">
        <v>0</v>
      </c>
      <c r="P21" s="188">
        <v>0</v>
      </c>
      <c r="Q21" s="188">
        <v>0</v>
      </c>
      <c r="R21" s="188">
        <v>0</v>
      </c>
      <c r="S21" s="188">
        <v>0</v>
      </c>
      <c r="T21" s="188">
        <v>0</v>
      </c>
      <c r="U21" s="188">
        <v>0</v>
      </c>
      <c r="V21" s="188">
        <v>0</v>
      </c>
      <c r="W21" s="188">
        <v>0</v>
      </c>
      <c r="X21" s="188">
        <v>0</v>
      </c>
      <c r="Y21" s="188">
        <v>0</v>
      </c>
      <c r="Z21" s="188">
        <v>0.05</v>
      </c>
      <c r="AA21" s="188">
        <v>0</v>
      </c>
      <c r="AB21" s="188">
        <v>0</v>
      </c>
      <c r="AC21" s="188">
        <v>0</v>
      </c>
      <c r="AD21" s="188">
        <v>0</v>
      </c>
      <c r="AE21" s="188">
        <v>0</v>
      </c>
      <c r="AF21" s="188">
        <v>0</v>
      </c>
      <c r="AG21" s="188">
        <v>0</v>
      </c>
      <c r="AH21" s="188">
        <v>0</v>
      </c>
      <c r="AI21" s="188">
        <v>0</v>
      </c>
      <c r="AJ21" s="188">
        <v>0</v>
      </c>
      <c r="AK21" s="188">
        <v>0</v>
      </c>
      <c r="AL21" s="188">
        <v>0</v>
      </c>
      <c r="AM21" s="188">
        <v>0.6</v>
      </c>
      <c r="AN21" s="188">
        <v>0</v>
      </c>
    </row>
    <row r="22" spans="3:40" x14ac:dyDescent="0.3">
      <c r="C22" s="188">
        <v>43</v>
      </c>
      <c r="D22" s="188">
        <v>5</v>
      </c>
      <c r="E22" s="188">
        <v>2</v>
      </c>
      <c r="F22" s="188">
        <v>441.6</v>
      </c>
      <c r="G22" s="188">
        <v>0</v>
      </c>
      <c r="H22" s="188">
        <v>336</v>
      </c>
      <c r="I22" s="188">
        <v>0</v>
      </c>
      <c r="J22" s="188">
        <v>0</v>
      </c>
      <c r="K22" s="188">
        <v>0</v>
      </c>
      <c r="L22" s="188">
        <v>0</v>
      </c>
      <c r="M22" s="188">
        <v>0</v>
      </c>
      <c r="N22" s="188">
        <v>0</v>
      </c>
      <c r="O22" s="188">
        <v>0</v>
      </c>
      <c r="P22" s="188">
        <v>0</v>
      </c>
      <c r="Q22" s="188">
        <v>0</v>
      </c>
      <c r="R22" s="188">
        <v>0</v>
      </c>
      <c r="S22" s="188">
        <v>0</v>
      </c>
      <c r="T22" s="188">
        <v>0</v>
      </c>
      <c r="U22" s="188">
        <v>0</v>
      </c>
      <c r="V22" s="188">
        <v>0</v>
      </c>
      <c r="W22" s="188">
        <v>0</v>
      </c>
      <c r="X22" s="188">
        <v>0</v>
      </c>
      <c r="Y22" s="188">
        <v>0</v>
      </c>
      <c r="Z22" s="188">
        <v>8.8000000000000007</v>
      </c>
      <c r="AA22" s="188">
        <v>0</v>
      </c>
      <c r="AB22" s="188">
        <v>0</v>
      </c>
      <c r="AC22" s="188">
        <v>0</v>
      </c>
      <c r="AD22" s="188">
        <v>0</v>
      </c>
      <c r="AE22" s="188">
        <v>0</v>
      </c>
      <c r="AF22" s="188">
        <v>0</v>
      </c>
      <c r="AG22" s="188">
        <v>0</v>
      </c>
      <c r="AH22" s="188">
        <v>0</v>
      </c>
      <c r="AI22" s="188">
        <v>0</v>
      </c>
      <c r="AJ22" s="188">
        <v>0</v>
      </c>
      <c r="AK22" s="188">
        <v>0</v>
      </c>
      <c r="AL22" s="188">
        <v>0</v>
      </c>
      <c r="AM22" s="188">
        <v>96.8</v>
      </c>
      <c r="AN22" s="188">
        <v>0</v>
      </c>
    </row>
    <row r="23" spans="3:40" x14ac:dyDescent="0.3">
      <c r="C23" s="188">
        <v>43</v>
      </c>
      <c r="D23" s="188">
        <v>5</v>
      </c>
      <c r="E23" s="188">
        <v>6</v>
      </c>
      <c r="F23" s="188">
        <v>95625</v>
      </c>
      <c r="G23" s="188">
        <v>0</v>
      </c>
      <c r="H23" s="188">
        <v>85233</v>
      </c>
      <c r="I23" s="188">
        <v>0</v>
      </c>
      <c r="J23" s="188">
        <v>0</v>
      </c>
      <c r="K23" s="188">
        <v>0</v>
      </c>
      <c r="L23" s="188">
        <v>0</v>
      </c>
      <c r="M23" s="188">
        <v>0</v>
      </c>
      <c r="N23" s="188">
        <v>0</v>
      </c>
      <c r="O23" s="188">
        <v>0</v>
      </c>
      <c r="P23" s="188">
        <v>0</v>
      </c>
      <c r="Q23" s="188">
        <v>0</v>
      </c>
      <c r="R23" s="188">
        <v>0</v>
      </c>
      <c r="S23" s="188">
        <v>0</v>
      </c>
      <c r="T23" s="188">
        <v>0</v>
      </c>
      <c r="U23" s="188">
        <v>0</v>
      </c>
      <c r="V23" s="188">
        <v>0</v>
      </c>
      <c r="W23" s="188">
        <v>0</v>
      </c>
      <c r="X23" s="188">
        <v>0</v>
      </c>
      <c r="Y23" s="188">
        <v>0</v>
      </c>
      <c r="Z23" s="188">
        <v>2494</v>
      </c>
      <c r="AA23" s="188">
        <v>0</v>
      </c>
      <c r="AB23" s="188">
        <v>0</v>
      </c>
      <c r="AC23" s="188">
        <v>0</v>
      </c>
      <c r="AD23" s="188">
        <v>0</v>
      </c>
      <c r="AE23" s="188">
        <v>0</v>
      </c>
      <c r="AF23" s="188">
        <v>0</v>
      </c>
      <c r="AG23" s="188">
        <v>0</v>
      </c>
      <c r="AH23" s="188">
        <v>0</v>
      </c>
      <c r="AI23" s="188">
        <v>0</v>
      </c>
      <c r="AJ23" s="188">
        <v>0</v>
      </c>
      <c r="AK23" s="188">
        <v>0</v>
      </c>
      <c r="AL23" s="188">
        <v>0</v>
      </c>
      <c r="AM23" s="188">
        <v>7898</v>
      </c>
      <c r="AN23" s="188">
        <v>0</v>
      </c>
    </row>
    <row r="24" spans="3:40" x14ac:dyDescent="0.3">
      <c r="C24" s="188">
        <v>43</v>
      </c>
      <c r="D24" s="188">
        <v>5</v>
      </c>
      <c r="E24" s="188">
        <v>10</v>
      </c>
      <c r="F24" s="188">
        <v>7000</v>
      </c>
      <c r="G24" s="188">
        <v>0</v>
      </c>
      <c r="H24" s="188">
        <v>7000</v>
      </c>
      <c r="I24" s="188">
        <v>0</v>
      </c>
      <c r="J24" s="188">
        <v>0</v>
      </c>
      <c r="K24" s="188">
        <v>0</v>
      </c>
      <c r="L24" s="188">
        <v>0</v>
      </c>
      <c r="M24" s="188">
        <v>0</v>
      </c>
      <c r="N24" s="188">
        <v>0</v>
      </c>
      <c r="O24" s="188">
        <v>0</v>
      </c>
      <c r="P24" s="188">
        <v>0</v>
      </c>
      <c r="Q24" s="188">
        <v>0</v>
      </c>
      <c r="R24" s="188">
        <v>0</v>
      </c>
      <c r="S24" s="188">
        <v>0</v>
      </c>
      <c r="T24" s="188">
        <v>0</v>
      </c>
      <c r="U24" s="188">
        <v>0</v>
      </c>
      <c r="V24" s="188">
        <v>0</v>
      </c>
      <c r="W24" s="188">
        <v>0</v>
      </c>
      <c r="X24" s="188">
        <v>0</v>
      </c>
      <c r="Y24" s="188">
        <v>0</v>
      </c>
      <c r="Z24" s="188">
        <v>0</v>
      </c>
      <c r="AA24" s="188">
        <v>0</v>
      </c>
      <c r="AB24" s="188">
        <v>0</v>
      </c>
      <c r="AC24" s="188">
        <v>0</v>
      </c>
      <c r="AD24" s="188">
        <v>0</v>
      </c>
      <c r="AE24" s="188">
        <v>0</v>
      </c>
      <c r="AF24" s="188">
        <v>0</v>
      </c>
      <c r="AG24" s="188">
        <v>0</v>
      </c>
      <c r="AH24" s="188">
        <v>0</v>
      </c>
      <c r="AI24" s="188">
        <v>0</v>
      </c>
      <c r="AJ24" s="188">
        <v>0</v>
      </c>
      <c r="AK24" s="188">
        <v>0</v>
      </c>
      <c r="AL24" s="188">
        <v>0</v>
      </c>
      <c r="AM24" s="188">
        <v>0</v>
      </c>
      <c r="AN24" s="188">
        <v>0</v>
      </c>
    </row>
    <row r="25" spans="3:40" x14ac:dyDescent="0.3">
      <c r="C25" s="188">
        <v>43</v>
      </c>
      <c r="D25" s="188">
        <v>5</v>
      </c>
      <c r="E25" s="188">
        <v>11</v>
      </c>
      <c r="F25" s="188">
        <v>821</v>
      </c>
      <c r="G25" s="188">
        <v>0</v>
      </c>
      <c r="H25" s="188">
        <v>737.66666666666663</v>
      </c>
      <c r="I25" s="188">
        <v>0</v>
      </c>
      <c r="J25" s="188">
        <v>0</v>
      </c>
      <c r="K25" s="188">
        <v>83.333333333333329</v>
      </c>
      <c r="L25" s="188">
        <v>0</v>
      </c>
      <c r="M25" s="188">
        <v>0</v>
      </c>
      <c r="N25" s="188">
        <v>0</v>
      </c>
      <c r="O25" s="188">
        <v>0</v>
      </c>
      <c r="P25" s="188">
        <v>0</v>
      </c>
      <c r="Q25" s="188">
        <v>0</v>
      </c>
      <c r="R25" s="188">
        <v>0</v>
      </c>
      <c r="S25" s="188">
        <v>0</v>
      </c>
      <c r="T25" s="188">
        <v>0</v>
      </c>
      <c r="U25" s="188">
        <v>0</v>
      </c>
      <c r="V25" s="188">
        <v>0</v>
      </c>
      <c r="W25" s="188">
        <v>0</v>
      </c>
      <c r="X25" s="188">
        <v>0</v>
      </c>
      <c r="Y25" s="188">
        <v>0</v>
      </c>
      <c r="Z25" s="188">
        <v>0</v>
      </c>
      <c r="AA25" s="188">
        <v>0</v>
      </c>
      <c r="AB25" s="188">
        <v>0</v>
      </c>
      <c r="AC25" s="188">
        <v>0</v>
      </c>
      <c r="AD25" s="188">
        <v>0</v>
      </c>
      <c r="AE25" s="188">
        <v>0</v>
      </c>
      <c r="AF25" s="188">
        <v>0</v>
      </c>
      <c r="AG25" s="188">
        <v>0</v>
      </c>
      <c r="AH25" s="188">
        <v>0</v>
      </c>
      <c r="AI25" s="188">
        <v>0</v>
      </c>
      <c r="AJ25" s="188">
        <v>0</v>
      </c>
      <c r="AK25" s="188">
        <v>0</v>
      </c>
      <c r="AL25" s="188">
        <v>0</v>
      </c>
      <c r="AM25" s="188">
        <v>0</v>
      </c>
      <c r="AN25" s="188">
        <v>0</v>
      </c>
    </row>
    <row r="26" spans="3:40" x14ac:dyDescent="0.3">
      <c r="C26" s="188">
        <v>43</v>
      </c>
      <c r="D26" s="188">
        <v>6</v>
      </c>
      <c r="E26" s="188">
        <v>1</v>
      </c>
      <c r="F26" s="188">
        <v>2.15</v>
      </c>
      <c r="G26" s="188">
        <v>0</v>
      </c>
      <c r="H26" s="188">
        <v>1.5</v>
      </c>
      <c r="I26" s="188">
        <v>0</v>
      </c>
      <c r="J26" s="188">
        <v>0</v>
      </c>
      <c r="K26" s="188">
        <v>0</v>
      </c>
      <c r="L26" s="188">
        <v>0</v>
      </c>
      <c r="M26" s="188">
        <v>0</v>
      </c>
      <c r="N26" s="188">
        <v>0</v>
      </c>
      <c r="O26" s="188">
        <v>0</v>
      </c>
      <c r="P26" s="188">
        <v>0</v>
      </c>
      <c r="Q26" s="188">
        <v>0</v>
      </c>
      <c r="R26" s="188">
        <v>0</v>
      </c>
      <c r="S26" s="188">
        <v>0</v>
      </c>
      <c r="T26" s="188">
        <v>0</v>
      </c>
      <c r="U26" s="188">
        <v>0</v>
      </c>
      <c r="V26" s="188">
        <v>0</v>
      </c>
      <c r="W26" s="188">
        <v>0</v>
      </c>
      <c r="X26" s="188">
        <v>0</v>
      </c>
      <c r="Y26" s="188">
        <v>0</v>
      </c>
      <c r="Z26" s="188">
        <v>0.05</v>
      </c>
      <c r="AA26" s="188">
        <v>0</v>
      </c>
      <c r="AB26" s="188">
        <v>0</v>
      </c>
      <c r="AC26" s="188">
        <v>0</v>
      </c>
      <c r="AD26" s="188">
        <v>0</v>
      </c>
      <c r="AE26" s="188">
        <v>0</v>
      </c>
      <c r="AF26" s="188">
        <v>0</v>
      </c>
      <c r="AG26" s="188">
        <v>0</v>
      </c>
      <c r="AH26" s="188">
        <v>0</v>
      </c>
      <c r="AI26" s="188">
        <v>0</v>
      </c>
      <c r="AJ26" s="188">
        <v>0</v>
      </c>
      <c r="AK26" s="188">
        <v>0</v>
      </c>
      <c r="AL26" s="188">
        <v>0</v>
      </c>
      <c r="AM26" s="188">
        <v>0.6</v>
      </c>
      <c r="AN26" s="188">
        <v>0</v>
      </c>
    </row>
    <row r="27" spans="3:40" x14ac:dyDescent="0.3">
      <c r="C27" s="188">
        <v>43</v>
      </c>
      <c r="D27" s="188">
        <v>6</v>
      </c>
      <c r="E27" s="188">
        <v>2</v>
      </c>
      <c r="F27" s="188">
        <v>321.2</v>
      </c>
      <c r="G27" s="188">
        <v>0</v>
      </c>
      <c r="H27" s="188">
        <v>232</v>
      </c>
      <c r="I27" s="188">
        <v>0</v>
      </c>
      <c r="J27" s="188">
        <v>0</v>
      </c>
      <c r="K27" s="188">
        <v>0</v>
      </c>
      <c r="L27" s="188">
        <v>0</v>
      </c>
      <c r="M27" s="188">
        <v>0</v>
      </c>
      <c r="N27" s="188">
        <v>0</v>
      </c>
      <c r="O27" s="188">
        <v>0</v>
      </c>
      <c r="P27" s="188">
        <v>0</v>
      </c>
      <c r="Q27" s="188">
        <v>0</v>
      </c>
      <c r="R27" s="188">
        <v>0</v>
      </c>
      <c r="S27" s="188">
        <v>0</v>
      </c>
      <c r="T27" s="188">
        <v>0</v>
      </c>
      <c r="U27" s="188">
        <v>0</v>
      </c>
      <c r="V27" s="188">
        <v>0</v>
      </c>
      <c r="W27" s="188">
        <v>0</v>
      </c>
      <c r="X27" s="188">
        <v>0</v>
      </c>
      <c r="Y27" s="188">
        <v>0</v>
      </c>
      <c r="Z27" s="188">
        <v>8.4</v>
      </c>
      <c r="AA27" s="188">
        <v>0</v>
      </c>
      <c r="AB27" s="188">
        <v>0</v>
      </c>
      <c r="AC27" s="188">
        <v>0</v>
      </c>
      <c r="AD27" s="188">
        <v>0</v>
      </c>
      <c r="AE27" s="188">
        <v>0</v>
      </c>
      <c r="AF27" s="188">
        <v>0</v>
      </c>
      <c r="AG27" s="188">
        <v>0</v>
      </c>
      <c r="AH27" s="188">
        <v>0</v>
      </c>
      <c r="AI27" s="188">
        <v>0</v>
      </c>
      <c r="AJ27" s="188">
        <v>0</v>
      </c>
      <c r="AK27" s="188">
        <v>0</v>
      </c>
      <c r="AL27" s="188">
        <v>0</v>
      </c>
      <c r="AM27" s="188">
        <v>80.8</v>
      </c>
      <c r="AN27" s="188">
        <v>0</v>
      </c>
    </row>
    <row r="28" spans="3:40" x14ac:dyDescent="0.3">
      <c r="C28" s="188">
        <v>43</v>
      </c>
      <c r="D28" s="188">
        <v>6</v>
      </c>
      <c r="E28" s="188">
        <v>6</v>
      </c>
      <c r="F28" s="188">
        <v>73618</v>
      </c>
      <c r="G28" s="188">
        <v>0</v>
      </c>
      <c r="H28" s="188">
        <v>63218</v>
      </c>
      <c r="I28" s="188">
        <v>0</v>
      </c>
      <c r="J28" s="188">
        <v>0</v>
      </c>
      <c r="K28" s="188">
        <v>0</v>
      </c>
      <c r="L28" s="188">
        <v>0</v>
      </c>
      <c r="M28" s="188">
        <v>0</v>
      </c>
      <c r="N28" s="188">
        <v>0</v>
      </c>
      <c r="O28" s="188">
        <v>0</v>
      </c>
      <c r="P28" s="188">
        <v>0</v>
      </c>
      <c r="Q28" s="188">
        <v>0</v>
      </c>
      <c r="R28" s="188">
        <v>0</v>
      </c>
      <c r="S28" s="188">
        <v>0</v>
      </c>
      <c r="T28" s="188">
        <v>0</v>
      </c>
      <c r="U28" s="188">
        <v>0</v>
      </c>
      <c r="V28" s="188">
        <v>0</v>
      </c>
      <c r="W28" s="188">
        <v>0</v>
      </c>
      <c r="X28" s="188">
        <v>0</v>
      </c>
      <c r="Y28" s="188">
        <v>0</v>
      </c>
      <c r="Z28" s="188">
        <v>2494</v>
      </c>
      <c r="AA28" s="188">
        <v>0</v>
      </c>
      <c r="AB28" s="188">
        <v>0</v>
      </c>
      <c r="AC28" s="188">
        <v>0</v>
      </c>
      <c r="AD28" s="188">
        <v>0</v>
      </c>
      <c r="AE28" s="188">
        <v>0</v>
      </c>
      <c r="AF28" s="188">
        <v>0</v>
      </c>
      <c r="AG28" s="188">
        <v>0</v>
      </c>
      <c r="AH28" s="188">
        <v>0</v>
      </c>
      <c r="AI28" s="188">
        <v>0</v>
      </c>
      <c r="AJ28" s="188">
        <v>0</v>
      </c>
      <c r="AK28" s="188">
        <v>0</v>
      </c>
      <c r="AL28" s="188">
        <v>0</v>
      </c>
      <c r="AM28" s="188">
        <v>7906</v>
      </c>
      <c r="AN28" s="188">
        <v>0</v>
      </c>
    </row>
    <row r="29" spans="3:40" x14ac:dyDescent="0.3">
      <c r="C29" s="188">
        <v>43</v>
      </c>
      <c r="D29" s="188">
        <v>6</v>
      </c>
      <c r="E29" s="188">
        <v>11</v>
      </c>
      <c r="F29" s="188">
        <v>821</v>
      </c>
      <c r="G29" s="188">
        <v>0</v>
      </c>
      <c r="H29" s="188">
        <v>737.66666666666663</v>
      </c>
      <c r="I29" s="188">
        <v>0</v>
      </c>
      <c r="J29" s="188">
        <v>0</v>
      </c>
      <c r="K29" s="188">
        <v>83.333333333333329</v>
      </c>
      <c r="L29" s="188">
        <v>0</v>
      </c>
      <c r="M29" s="188">
        <v>0</v>
      </c>
      <c r="N29" s="188">
        <v>0</v>
      </c>
      <c r="O29" s="188">
        <v>0</v>
      </c>
      <c r="P29" s="188">
        <v>0</v>
      </c>
      <c r="Q29" s="188">
        <v>0</v>
      </c>
      <c r="R29" s="188">
        <v>0</v>
      </c>
      <c r="S29" s="188">
        <v>0</v>
      </c>
      <c r="T29" s="188">
        <v>0</v>
      </c>
      <c r="U29" s="188">
        <v>0</v>
      </c>
      <c r="V29" s="188">
        <v>0</v>
      </c>
      <c r="W29" s="188">
        <v>0</v>
      </c>
      <c r="X29" s="188">
        <v>0</v>
      </c>
      <c r="Y29" s="188">
        <v>0</v>
      </c>
      <c r="Z29" s="188">
        <v>0</v>
      </c>
      <c r="AA29" s="188">
        <v>0</v>
      </c>
      <c r="AB29" s="188">
        <v>0</v>
      </c>
      <c r="AC29" s="188">
        <v>0</v>
      </c>
      <c r="AD29" s="188">
        <v>0</v>
      </c>
      <c r="AE29" s="188">
        <v>0</v>
      </c>
      <c r="AF29" s="188">
        <v>0</v>
      </c>
      <c r="AG29" s="188">
        <v>0</v>
      </c>
      <c r="AH29" s="188">
        <v>0</v>
      </c>
      <c r="AI29" s="188">
        <v>0</v>
      </c>
      <c r="AJ29" s="188">
        <v>0</v>
      </c>
      <c r="AK29" s="188">
        <v>0</v>
      </c>
      <c r="AL29" s="188">
        <v>0</v>
      </c>
      <c r="AM29" s="188">
        <v>0</v>
      </c>
      <c r="AN29" s="188">
        <v>0</v>
      </c>
    </row>
    <row r="30" spans="3:40" x14ac:dyDescent="0.3">
      <c r="C30" s="188">
        <v>43</v>
      </c>
      <c r="D30" s="188">
        <v>7</v>
      </c>
      <c r="E30" s="188">
        <v>1</v>
      </c>
      <c r="F30" s="188">
        <v>2.15</v>
      </c>
      <c r="G30" s="188">
        <v>0</v>
      </c>
      <c r="H30" s="188">
        <v>1.5</v>
      </c>
      <c r="I30" s="188">
        <v>0</v>
      </c>
      <c r="J30" s="188">
        <v>0</v>
      </c>
      <c r="K30" s="188">
        <v>0</v>
      </c>
      <c r="L30" s="188">
        <v>0</v>
      </c>
      <c r="M30" s="188">
        <v>0</v>
      </c>
      <c r="N30" s="188">
        <v>0</v>
      </c>
      <c r="O30" s="188">
        <v>0</v>
      </c>
      <c r="P30" s="188">
        <v>0</v>
      </c>
      <c r="Q30" s="188">
        <v>0</v>
      </c>
      <c r="R30" s="188">
        <v>0</v>
      </c>
      <c r="S30" s="188">
        <v>0</v>
      </c>
      <c r="T30" s="188">
        <v>0</v>
      </c>
      <c r="U30" s="188">
        <v>0</v>
      </c>
      <c r="V30" s="188">
        <v>0</v>
      </c>
      <c r="W30" s="188">
        <v>0</v>
      </c>
      <c r="X30" s="188">
        <v>0</v>
      </c>
      <c r="Y30" s="188">
        <v>0</v>
      </c>
      <c r="Z30" s="188">
        <v>0.05</v>
      </c>
      <c r="AA30" s="188">
        <v>0</v>
      </c>
      <c r="AB30" s="188">
        <v>0</v>
      </c>
      <c r="AC30" s="188">
        <v>0</v>
      </c>
      <c r="AD30" s="188">
        <v>0</v>
      </c>
      <c r="AE30" s="188">
        <v>0</v>
      </c>
      <c r="AF30" s="188">
        <v>0</v>
      </c>
      <c r="AG30" s="188">
        <v>0</v>
      </c>
      <c r="AH30" s="188">
        <v>0</v>
      </c>
      <c r="AI30" s="188">
        <v>0</v>
      </c>
      <c r="AJ30" s="188">
        <v>0</v>
      </c>
      <c r="AK30" s="188">
        <v>0</v>
      </c>
      <c r="AL30" s="188">
        <v>0</v>
      </c>
      <c r="AM30" s="188">
        <v>0.6</v>
      </c>
      <c r="AN30" s="188">
        <v>0</v>
      </c>
    </row>
    <row r="31" spans="3:40" x14ac:dyDescent="0.3">
      <c r="C31" s="188">
        <v>43</v>
      </c>
      <c r="D31" s="188">
        <v>7</v>
      </c>
      <c r="E31" s="188">
        <v>2</v>
      </c>
      <c r="F31" s="188">
        <v>265.2</v>
      </c>
      <c r="G31" s="188">
        <v>0</v>
      </c>
      <c r="H31" s="188">
        <v>196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8">
        <v>0</v>
      </c>
      <c r="S31" s="188">
        <v>0</v>
      </c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Y31" s="188">
        <v>0</v>
      </c>
      <c r="Z31" s="188">
        <v>5.2</v>
      </c>
      <c r="AA31" s="188">
        <v>0</v>
      </c>
      <c r="AB31" s="188">
        <v>0</v>
      </c>
      <c r="AC31" s="188">
        <v>0</v>
      </c>
      <c r="AD31" s="188">
        <v>0</v>
      </c>
      <c r="AE31" s="188">
        <v>0</v>
      </c>
      <c r="AF31" s="188">
        <v>0</v>
      </c>
      <c r="AG31" s="188">
        <v>0</v>
      </c>
      <c r="AH31" s="188">
        <v>0</v>
      </c>
      <c r="AI31" s="188">
        <v>0</v>
      </c>
      <c r="AJ31" s="188">
        <v>0</v>
      </c>
      <c r="AK31" s="188">
        <v>0</v>
      </c>
      <c r="AL31" s="188">
        <v>0</v>
      </c>
      <c r="AM31" s="188">
        <v>64</v>
      </c>
      <c r="AN31" s="188">
        <v>0</v>
      </c>
    </row>
    <row r="32" spans="3:40" x14ac:dyDescent="0.3">
      <c r="C32" s="188">
        <v>43</v>
      </c>
      <c r="D32" s="188">
        <v>7</v>
      </c>
      <c r="E32" s="188">
        <v>6</v>
      </c>
      <c r="F32" s="188">
        <v>120831</v>
      </c>
      <c r="G32" s="188">
        <v>0</v>
      </c>
      <c r="H32" s="188">
        <v>92484</v>
      </c>
      <c r="I32" s="188">
        <v>0</v>
      </c>
      <c r="J32" s="188">
        <v>0</v>
      </c>
      <c r="K32" s="188">
        <v>0</v>
      </c>
      <c r="L32" s="188">
        <v>0</v>
      </c>
      <c r="M32" s="188">
        <v>0</v>
      </c>
      <c r="N32" s="188">
        <v>0</v>
      </c>
      <c r="O32" s="188">
        <v>0</v>
      </c>
      <c r="P32" s="188">
        <v>0</v>
      </c>
      <c r="Q32" s="188">
        <v>0</v>
      </c>
      <c r="R32" s="188">
        <v>0</v>
      </c>
      <c r="S32" s="188">
        <v>0</v>
      </c>
      <c r="T32" s="188">
        <v>0</v>
      </c>
      <c r="U32" s="188">
        <v>0</v>
      </c>
      <c r="V32" s="188">
        <v>0</v>
      </c>
      <c r="W32" s="188">
        <v>0</v>
      </c>
      <c r="X32" s="188">
        <v>0</v>
      </c>
      <c r="Y32" s="188">
        <v>0</v>
      </c>
      <c r="Z32" s="188">
        <v>12561</v>
      </c>
      <c r="AA32" s="188">
        <v>0</v>
      </c>
      <c r="AB32" s="188">
        <v>0</v>
      </c>
      <c r="AC32" s="188">
        <v>0</v>
      </c>
      <c r="AD32" s="188">
        <v>0</v>
      </c>
      <c r="AE32" s="188">
        <v>0</v>
      </c>
      <c r="AF32" s="188">
        <v>0</v>
      </c>
      <c r="AG32" s="188">
        <v>0</v>
      </c>
      <c r="AH32" s="188">
        <v>0</v>
      </c>
      <c r="AI32" s="188">
        <v>0</v>
      </c>
      <c r="AJ32" s="188">
        <v>0</v>
      </c>
      <c r="AK32" s="188">
        <v>0</v>
      </c>
      <c r="AL32" s="188">
        <v>0</v>
      </c>
      <c r="AM32" s="188">
        <v>15786</v>
      </c>
      <c r="AN32" s="188">
        <v>0</v>
      </c>
    </row>
    <row r="33" spans="3:40" x14ac:dyDescent="0.3">
      <c r="C33" s="188">
        <v>43</v>
      </c>
      <c r="D33" s="188">
        <v>7</v>
      </c>
      <c r="E33" s="188">
        <v>9</v>
      </c>
      <c r="F33" s="188">
        <v>59740</v>
      </c>
      <c r="G33" s="188">
        <v>0</v>
      </c>
      <c r="H33" s="188">
        <v>41989</v>
      </c>
      <c r="I33" s="188">
        <v>0</v>
      </c>
      <c r="J33" s="188">
        <v>0</v>
      </c>
      <c r="K33" s="188">
        <v>0</v>
      </c>
      <c r="L33" s="188">
        <v>0</v>
      </c>
      <c r="M33" s="188">
        <v>0</v>
      </c>
      <c r="N33" s="188">
        <v>0</v>
      </c>
      <c r="O33" s="188">
        <v>0</v>
      </c>
      <c r="P33" s="188">
        <v>0</v>
      </c>
      <c r="Q33" s="188">
        <v>0</v>
      </c>
      <c r="R33" s="188">
        <v>0</v>
      </c>
      <c r="S33" s="188">
        <v>0</v>
      </c>
      <c r="T33" s="188">
        <v>0</v>
      </c>
      <c r="U33" s="188">
        <v>0</v>
      </c>
      <c r="V33" s="188">
        <v>0</v>
      </c>
      <c r="W33" s="188">
        <v>0</v>
      </c>
      <c r="X33" s="188">
        <v>0</v>
      </c>
      <c r="Y33" s="188">
        <v>0</v>
      </c>
      <c r="Z33" s="188">
        <v>10000</v>
      </c>
      <c r="AA33" s="188">
        <v>0</v>
      </c>
      <c r="AB33" s="188">
        <v>0</v>
      </c>
      <c r="AC33" s="188">
        <v>0</v>
      </c>
      <c r="AD33" s="188">
        <v>0</v>
      </c>
      <c r="AE33" s="188">
        <v>0</v>
      </c>
      <c r="AF33" s="188">
        <v>0</v>
      </c>
      <c r="AG33" s="188">
        <v>0</v>
      </c>
      <c r="AH33" s="188">
        <v>0</v>
      </c>
      <c r="AI33" s="188">
        <v>0</v>
      </c>
      <c r="AJ33" s="188">
        <v>0</v>
      </c>
      <c r="AK33" s="188">
        <v>0</v>
      </c>
      <c r="AL33" s="188">
        <v>0</v>
      </c>
      <c r="AM33" s="188">
        <v>7751</v>
      </c>
      <c r="AN33" s="188">
        <v>0</v>
      </c>
    </row>
    <row r="34" spans="3:40" x14ac:dyDescent="0.3">
      <c r="C34" s="188">
        <v>43</v>
      </c>
      <c r="D34" s="188">
        <v>7</v>
      </c>
      <c r="E34" s="188">
        <v>11</v>
      </c>
      <c r="F34" s="188">
        <v>821</v>
      </c>
      <c r="G34" s="188">
        <v>0</v>
      </c>
      <c r="H34" s="188">
        <v>737.66666666666663</v>
      </c>
      <c r="I34" s="188">
        <v>0</v>
      </c>
      <c r="J34" s="188">
        <v>0</v>
      </c>
      <c r="K34" s="188">
        <v>83.333333333333329</v>
      </c>
      <c r="L34" s="188">
        <v>0</v>
      </c>
      <c r="M34" s="188">
        <v>0</v>
      </c>
      <c r="N34" s="188">
        <v>0</v>
      </c>
      <c r="O34" s="188">
        <v>0</v>
      </c>
      <c r="P34" s="188">
        <v>0</v>
      </c>
      <c r="Q34" s="188">
        <v>0</v>
      </c>
      <c r="R34" s="188">
        <v>0</v>
      </c>
      <c r="S34" s="188">
        <v>0</v>
      </c>
      <c r="T34" s="188">
        <v>0</v>
      </c>
      <c r="U34" s="188">
        <v>0</v>
      </c>
      <c r="V34" s="188">
        <v>0</v>
      </c>
      <c r="W34" s="188">
        <v>0</v>
      </c>
      <c r="X34" s="188">
        <v>0</v>
      </c>
      <c r="Y34" s="188">
        <v>0</v>
      </c>
      <c r="Z34" s="188">
        <v>0</v>
      </c>
      <c r="AA34" s="188">
        <v>0</v>
      </c>
      <c r="AB34" s="188">
        <v>0</v>
      </c>
      <c r="AC34" s="188">
        <v>0</v>
      </c>
      <c r="AD34" s="188">
        <v>0</v>
      </c>
      <c r="AE34" s="188">
        <v>0</v>
      </c>
      <c r="AF34" s="188">
        <v>0</v>
      </c>
      <c r="AG34" s="188">
        <v>0</v>
      </c>
      <c r="AH34" s="188">
        <v>0</v>
      </c>
      <c r="AI34" s="188">
        <v>0</v>
      </c>
      <c r="AJ34" s="188">
        <v>0</v>
      </c>
      <c r="AK34" s="188">
        <v>0</v>
      </c>
      <c r="AL34" s="188">
        <v>0</v>
      </c>
      <c r="AM34" s="188">
        <v>0</v>
      </c>
      <c r="AN34" s="188">
        <v>0</v>
      </c>
    </row>
    <row r="35" spans="3:40" x14ac:dyDescent="0.3">
      <c r="C35" s="188">
        <v>43</v>
      </c>
      <c r="D35" s="188">
        <v>8</v>
      </c>
      <c r="E35" s="188">
        <v>1</v>
      </c>
      <c r="F35" s="188">
        <v>2.15</v>
      </c>
      <c r="G35" s="188">
        <v>0</v>
      </c>
      <c r="H35" s="188">
        <v>1.5</v>
      </c>
      <c r="I35" s="188">
        <v>0</v>
      </c>
      <c r="J35" s="188">
        <v>0</v>
      </c>
      <c r="K35" s="188">
        <v>0</v>
      </c>
      <c r="L35" s="188">
        <v>0</v>
      </c>
      <c r="M35" s="188">
        <v>0</v>
      </c>
      <c r="N35" s="188">
        <v>0</v>
      </c>
      <c r="O35" s="188">
        <v>0</v>
      </c>
      <c r="P35" s="188">
        <v>0</v>
      </c>
      <c r="Q35" s="188">
        <v>0</v>
      </c>
      <c r="R35" s="188">
        <v>0</v>
      </c>
      <c r="S35" s="188">
        <v>0</v>
      </c>
      <c r="T35" s="188">
        <v>0</v>
      </c>
      <c r="U35" s="188">
        <v>0</v>
      </c>
      <c r="V35" s="188">
        <v>0</v>
      </c>
      <c r="W35" s="188">
        <v>0</v>
      </c>
      <c r="X35" s="188">
        <v>0</v>
      </c>
      <c r="Y35" s="188">
        <v>0</v>
      </c>
      <c r="Z35" s="188">
        <v>0.05</v>
      </c>
      <c r="AA35" s="188">
        <v>0</v>
      </c>
      <c r="AB35" s="188">
        <v>0</v>
      </c>
      <c r="AC35" s="188">
        <v>0</v>
      </c>
      <c r="AD35" s="188">
        <v>0</v>
      </c>
      <c r="AE35" s="188">
        <v>0</v>
      </c>
      <c r="AF35" s="188">
        <v>0</v>
      </c>
      <c r="AG35" s="188">
        <v>0</v>
      </c>
      <c r="AH35" s="188">
        <v>0</v>
      </c>
      <c r="AI35" s="188">
        <v>0</v>
      </c>
      <c r="AJ35" s="188">
        <v>0</v>
      </c>
      <c r="AK35" s="188">
        <v>0</v>
      </c>
      <c r="AL35" s="188">
        <v>0</v>
      </c>
      <c r="AM35" s="188">
        <v>0.6</v>
      </c>
      <c r="AN35" s="188">
        <v>0</v>
      </c>
    </row>
    <row r="36" spans="3:40" x14ac:dyDescent="0.3">
      <c r="C36" s="188">
        <v>43</v>
      </c>
      <c r="D36" s="188">
        <v>8</v>
      </c>
      <c r="E36" s="188">
        <v>2</v>
      </c>
      <c r="F36" s="188">
        <v>316.39999999999998</v>
      </c>
      <c r="G36" s="188">
        <v>0</v>
      </c>
      <c r="H36" s="188">
        <v>216</v>
      </c>
      <c r="I36" s="188">
        <v>0</v>
      </c>
      <c r="J36" s="188">
        <v>0</v>
      </c>
      <c r="K36" s="188">
        <v>0</v>
      </c>
      <c r="L36" s="188">
        <v>0</v>
      </c>
      <c r="M36" s="188">
        <v>0</v>
      </c>
      <c r="N36" s="188">
        <v>0</v>
      </c>
      <c r="O36" s="188">
        <v>0</v>
      </c>
      <c r="P36" s="188">
        <v>0</v>
      </c>
      <c r="Q36" s="188">
        <v>0</v>
      </c>
      <c r="R36" s="188">
        <v>0</v>
      </c>
      <c r="S36" s="188">
        <v>0</v>
      </c>
      <c r="T36" s="188">
        <v>0</v>
      </c>
      <c r="U36" s="188">
        <v>0</v>
      </c>
      <c r="V36" s="188">
        <v>0</v>
      </c>
      <c r="W36" s="188">
        <v>0</v>
      </c>
      <c r="X36" s="188">
        <v>0</v>
      </c>
      <c r="Y36" s="188">
        <v>0</v>
      </c>
      <c r="Z36" s="188">
        <v>4.4000000000000004</v>
      </c>
      <c r="AA36" s="188">
        <v>0</v>
      </c>
      <c r="AB36" s="188">
        <v>0</v>
      </c>
      <c r="AC36" s="188">
        <v>0</v>
      </c>
      <c r="AD36" s="188">
        <v>0</v>
      </c>
      <c r="AE36" s="188">
        <v>0</v>
      </c>
      <c r="AF36" s="188">
        <v>0</v>
      </c>
      <c r="AG36" s="188">
        <v>0</v>
      </c>
      <c r="AH36" s="188">
        <v>0</v>
      </c>
      <c r="AI36" s="188">
        <v>0</v>
      </c>
      <c r="AJ36" s="188">
        <v>0</v>
      </c>
      <c r="AK36" s="188">
        <v>0</v>
      </c>
      <c r="AL36" s="188">
        <v>0</v>
      </c>
      <c r="AM36" s="188">
        <v>96</v>
      </c>
      <c r="AN36" s="188">
        <v>0</v>
      </c>
    </row>
    <row r="37" spans="3:40" x14ac:dyDescent="0.3">
      <c r="C37" s="188">
        <v>43</v>
      </c>
      <c r="D37" s="188">
        <v>8</v>
      </c>
      <c r="E37" s="188">
        <v>6</v>
      </c>
      <c r="F37" s="188">
        <v>65627</v>
      </c>
      <c r="G37" s="188">
        <v>0</v>
      </c>
      <c r="H37" s="188">
        <v>55346</v>
      </c>
      <c r="I37" s="188">
        <v>0</v>
      </c>
      <c r="J37" s="188">
        <v>0</v>
      </c>
      <c r="K37" s="188">
        <v>0</v>
      </c>
      <c r="L37" s="188">
        <v>0</v>
      </c>
      <c r="M37" s="188">
        <v>0</v>
      </c>
      <c r="N37" s="188">
        <v>0</v>
      </c>
      <c r="O37" s="188">
        <v>0</v>
      </c>
      <c r="P37" s="188">
        <v>0</v>
      </c>
      <c r="Q37" s="188">
        <v>0</v>
      </c>
      <c r="R37" s="188">
        <v>0</v>
      </c>
      <c r="S37" s="188">
        <v>0</v>
      </c>
      <c r="T37" s="188">
        <v>0</v>
      </c>
      <c r="U37" s="188">
        <v>0</v>
      </c>
      <c r="V37" s="188">
        <v>0</v>
      </c>
      <c r="W37" s="188">
        <v>0</v>
      </c>
      <c r="X37" s="188">
        <v>0</v>
      </c>
      <c r="Y37" s="188">
        <v>0</v>
      </c>
      <c r="Z37" s="188">
        <v>2458</v>
      </c>
      <c r="AA37" s="188">
        <v>0</v>
      </c>
      <c r="AB37" s="188">
        <v>0</v>
      </c>
      <c r="AC37" s="188">
        <v>0</v>
      </c>
      <c r="AD37" s="188">
        <v>0</v>
      </c>
      <c r="AE37" s="188">
        <v>0</v>
      </c>
      <c r="AF37" s="188">
        <v>0</v>
      </c>
      <c r="AG37" s="188">
        <v>0</v>
      </c>
      <c r="AH37" s="188">
        <v>0</v>
      </c>
      <c r="AI37" s="188">
        <v>0</v>
      </c>
      <c r="AJ37" s="188">
        <v>0</v>
      </c>
      <c r="AK37" s="188">
        <v>0</v>
      </c>
      <c r="AL37" s="188">
        <v>0</v>
      </c>
      <c r="AM37" s="188">
        <v>7823</v>
      </c>
      <c r="AN37" s="188">
        <v>0</v>
      </c>
    </row>
    <row r="38" spans="3:40" x14ac:dyDescent="0.3">
      <c r="C38" s="188">
        <v>43</v>
      </c>
      <c r="D38" s="188">
        <v>8</v>
      </c>
      <c r="E38" s="188">
        <v>11</v>
      </c>
      <c r="F38" s="188">
        <v>821</v>
      </c>
      <c r="G38" s="188">
        <v>0</v>
      </c>
      <c r="H38" s="188">
        <v>737.66666666666663</v>
      </c>
      <c r="I38" s="188">
        <v>0</v>
      </c>
      <c r="J38" s="188">
        <v>0</v>
      </c>
      <c r="K38" s="188">
        <v>83.333333333333329</v>
      </c>
      <c r="L38" s="188">
        <v>0</v>
      </c>
      <c r="M38" s="188">
        <v>0</v>
      </c>
      <c r="N38" s="188">
        <v>0</v>
      </c>
      <c r="O38" s="188">
        <v>0</v>
      </c>
      <c r="P38" s="188">
        <v>0</v>
      </c>
      <c r="Q38" s="188">
        <v>0</v>
      </c>
      <c r="R38" s="188">
        <v>0</v>
      </c>
      <c r="S38" s="188">
        <v>0</v>
      </c>
      <c r="T38" s="188">
        <v>0</v>
      </c>
      <c r="U38" s="188">
        <v>0</v>
      </c>
      <c r="V38" s="188">
        <v>0</v>
      </c>
      <c r="W38" s="188">
        <v>0</v>
      </c>
      <c r="X38" s="188">
        <v>0</v>
      </c>
      <c r="Y38" s="188">
        <v>0</v>
      </c>
      <c r="Z38" s="188">
        <v>0</v>
      </c>
      <c r="AA38" s="188">
        <v>0</v>
      </c>
      <c r="AB38" s="188">
        <v>0</v>
      </c>
      <c r="AC38" s="188">
        <v>0</v>
      </c>
      <c r="AD38" s="188">
        <v>0</v>
      </c>
      <c r="AE38" s="188">
        <v>0</v>
      </c>
      <c r="AF38" s="188">
        <v>0</v>
      </c>
      <c r="AG38" s="188">
        <v>0</v>
      </c>
      <c r="AH38" s="188">
        <v>0</v>
      </c>
      <c r="AI38" s="188">
        <v>0</v>
      </c>
      <c r="AJ38" s="188">
        <v>0</v>
      </c>
      <c r="AK38" s="188">
        <v>0</v>
      </c>
      <c r="AL38" s="188">
        <v>0</v>
      </c>
      <c r="AM38" s="188">
        <v>0</v>
      </c>
      <c r="AN38" s="188">
        <v>0</v>
      </c>
    </row>
    <row r="39" spans="3:40" x14ac:dyDescent="0.3">
      <c r="C39" s="188">
        <v>43</v>
      </c>
      <c r="D39" s="188">
        <v>9</v>
      </c>
      <c r="E39" s="188">
        <v>1</v>
      </c>
      <c r="F39" s="188">
        <v>2.15</v>
      </c>
      <c r="G39" s="188">
        <v>0</v>
      </c>
      <c r="H39" s="188">
        <v>1.5</v>
      </c>
      <c r="I39" s="188">
        <v>0</v>
      </c>
      <c r="J39" s="188">
        <v>0</v>
      </c>
      <c r="K39" s="188">
        <v>0</v>
      </c>
      <c r="L39" s="188">
        <v>0</v>
      </c>
      <c r="M39" s="188">
        <v>0</v>
      </c>
      <c r="N39" s="188">
        <v>0</v>
      </c>
      <c r="O39" s="188">
        <v>0</v>
      </c>
      <c r="P39" s="188">
        <v>0</v>
      </c>
      <c r="Q39" s="188">
        <v>0</v>
      </c>
      <c r="R39" s="188">
        <v>0</v>
      </c>
      <c r="S39" s="188">
        <v>0</v>
      </c>
      <c r="T39" s="188">
        <v>0</v>
      </c>
      <c r="U39" s="188">
        <v>0</v>
      </c>
      <c r="V39" s="188">
        <v>0</v>
      </c>
      <c r="W39" s="188">
        <v>0</v>
      </c>
      <c r="X39" s="188">
        <v>0</v>
      </c>
      <c r="Y39" s="188">
        <v>0</v>
      </c>
      <c r="Z39" s="188">
        <v>0.05</v>
      </c>
      <c r="AA39" s="188">
        <v>0</v>
      </c>
      <c r="AB39" s="188">
        <v>0</v>
      </c>
      <c r="AC39" s="188">
        <v>0</v>
      </c>
      <c r="AD39" s="188">
        <v>0</v>
      </c>
      <c r="AE39" s="188">
        <v>0</v>
      </c>
      <c r="AF39" s="188">
        <v>0</v>
      </c>
      <c r="AG39" s="188">
        <v>0</v>
      </c>
      <c r="AH39" s="188">
        <v>0</v>
      </c>
      <c r="AI39" s="188">
        <v>0</v>
      </c>
      <c r="AJ39" s="188">
        <v>0</v>
      </c>
      <c r="AK39" s="188">
        <v>0</v>
      </c>
      <c r="AL39" s="188">
        <v>0</v>
      </c>
      <c r="AM39" s="188">
        <v>0.6</v>
      </c>
      <c r="AN39" s="188">
        <v>0</v>
      </c>
    </row>
    <row r="40" spans="3:40" x14ac:dyDescent="0.3">
      <c r="C40" s="188">
        <v>43</v>
      </c>
      <c r="D40" s="188">
        <v>9</v>
      </c>
      <c r="E40" s="188">
        <v>2</v>
      </c>
      <c r="F40" s="188">
        <v>370.4</v>
      </c>
      <c r="G40" s="188">
        <v>0</v>
      </c>
      <c r="H40" s="188">
        <v>256</v>
      </c>
      <c r="I40" s="188">
        <v>0</v>
      </c>
      <c r="J40" s="188">
        <v>0</v>
      </c>
      <c r="K40" s="188">
        <v>0</v>
      </c>
      <c r="L40" s="188">
        <v>0</v>
      </c>
      <c r="M40" s="188">
        <v>0</v>
      </c>
      <c r="N40" s="188">
        <v>0</v>
      </c>
      <c r="O40" s="188">
        <v>0</v>
      </c>
      <c r="P40" s="188">
        <v>0</v>
      </c>
      <c r="Q40" s="188">
        <v>0</v>
      </c>
      <c r="R40" s="188">
        <v>0</v>
      </c>
      <c r="S40" s="188">
        <v>0</v>
      </c>
      <c r="T40" s="188">
        <v>0</v>
      </c>
      <c r="U40" s="188">
        <v>0</v>
      </c>
      <c r="V40" s="188">
        <v>0</v>
      </c>
      <c r="W40" s="188">
        <v>0</v>
      </c>
      <c r="X40" s="188">
        <v>0</v>
      </c>
      <c r="Y40" s="188">
        <v>0</v>
      </c>
      <c r="Z40" s="188">
        <v>8.8000000000000007</v>
      </c>
      <c r="AA40" s="188">
        <v>0</v>
      </c>
      <c r="AB40" s="188">
        <v>0</v>
      </c>
      <c r="AC40" s="188">
        <v>0</v>
      </c>
      <c r="AD40" s="188">
        <v>0</v>
      </c>
      <c r="AE40" s="188">
        <v>0</v>
      </c>
      <c r="AF40" s="188">
        <v>0</v>
      </c>
      <c r="AG40" s="188">
        <v>0</v>
      </c>
      <c r="AH40" s="188">
        <v>0</v>
      </c>
      <c r="AI40" s="188">
        <v>0</v>
      </c>
      <c r="AJ40" s="188">
        <v>0</v>
      </c>
      <c r="AK40" s="188">
        <v>0</v>
      </c>
      <c r="AL40" s="188">
        <v>0</v>
      </c>
      <c r="AM40" s="188">
        <v>105.6</v>
      </c>
      <c r="AN40" s="188">
        <v>0</v>
      </c>
    </row>
    <row r="41" spans="3:40" x14ac:dyDescent="0.3">
      <c r="C41" s="188">
        <v>43</v>
      </c>
      <c r="D41" s="188">
        <v>9</v>
      </c>
      <c r="E41" s="188">
        <v>6</v>
      </c>
      <c r="F41" s="188">
        <v>66654</v>
      </c>
      <c r="G41" s="188">
        <v>0</v>
      </c>
      <c r="H41" s="188">
        <v>56738</v>
      </c>
      <c r="I41" s="188">
        <v>0</v>
      </c>
      <c r="J41" s="188">
        <v>0</v>
      </c>
      <c r="K41" s="188">
        <v>0</v>
      </c>
      <c r="L41" s="188">
        <v>0</v>
      </c>
      <c r="M41" s="188">
        <v>0</v>
      </c>
      <c r="N41" s="188">
        <v>0</v>
      </c>
      <c r="O41" s="188">
        <v>0</v>
      </c>
      <c r="P41" s="188">
        <v>0</v>
      </c>
      <c r="Q41" s="188">
        <v>0</v>
      </c>
      <c r="R41" s="188">
        <v>0</v>
      </c>
      <c r="S41" s="188">
        <v>0</v>
      </c>
      <c r="T41" s="188">
        <v>0</v>
      </c>
      <c r="U41" s="188">
        <v>0</v>
      </c>
      <c r="V41" s="188">
        <v>0</v>
      </c>
      <c r="W41" s="188">
        <v>0</v>
      </c>
      <c r="X41" s="188">
        <v>0</v>
      </c>
      <c r="Y41" s="188">
        <v>0</v>
      </c>
      <c r="Z41" s="188">
        <v>2079</v>
      </c>
      <c r="AA41" s="188">
        <v>0</v>
      </c>
      <c r="AB41" s="188">
        <v>0</v>
      </c>
      <c r="AC41" s="188">
        <v>0</v>
      </c>
      <c r="AD41" s="188">
        <v>0</v>
      </c>
      <c r="AE41" s="188">
        <v>0</v>
      </c>
      <c r="AF41" s="188">
        <v>0</v>
      </c>
      <c r="AG41" s="188">
        <v>0</v>
      </c>
      <c r="AH41" s="188">
        <v>0</v>
      </c>
      <c r="AI41" s="188">
        <v>0</v>
      </c>
      <c r="AJ41" s="188">
        <v>0</v>
      </c>
      <c r="AK41" s="188">
        <v>0</v>
      </c>
      <c r="AL41" s="188">
        <v>0</v>
      </c>
      <c r="AM41" s="188">
        <v>7837</v>
      </c>
      <c r="AN41" s="188">
        <v>0</v>
      </c>
    </row>
    <row r="42" spans="3:40" x14ac:dyDescent="0.3">
      <c r="C42" s="188">
        <v>43</v>
      </c>
      <c r="D42" s="188">
        <v>9</v>
      </c>
      <c r="E42" s="188">
        <v>11</v>
      </c>
      <c r="F42" s="188">
        <v>821</v>
      </c>
      <c r="G42" s="188">
        <v>0</v>
      </c>
      <c r="H42" s="188">
        <v>737.66666666666663</v>
      </c>
      <c r="I42" s="188">
        <v>0</v>
      </c>
      <c r="J42" s="188">
        <v>0</v>
      </c>
      <c r="K42" s="188">
        <v>83.333333333333329</v>
      </c>
      <c r="L42" s="188">
        <v>0</v>
      </c>
      <c r="M42" s="188">
        <v>0</v>
      </c>
      <c r="N42" s="188">
        <v>0</v>
      </c>
      <c r="O42" s="188">
        <v>0</v>
      </c>
      <c r="P42" s="188">
        <v>0</v>
      </c>
      <c r="Q42" s="188">
        <v>0</v>
      </c>
      <c r="R42" s="188">
        <v>0</v>
      </c>
      <c r="S42" s="188">
        <v>0</v>
      </c>
      <c r="T42" s="188">
        <v>0</v>
      </c>
      <c r="U42" s="188">
        <v>0</v>
      </c>
      <c r="V42" s="188">
        <v>0</v>
      </c>
      <c r="W42" s="188">
        <v>0</v>
      </c>
      <c r="X42" s="188">
        <v>0</v>
      </c>
      <c r="Y42" s="188">
        <v>0</v>
      </c>
      <c r="Z42" s="188">
        <v>0</v>
      </c>
      <c r="AA42" s="188">
        <v>0</v>
      </c>
      <c r="AB42" s="188">
        <v>0</v>
      </c>
      <c r="AC42" s="188">
        <v>0</v>
      </c>
      <c r="AD42" s="188">
        <v>0</v>
      </c>
      <c r="AE42" s="188">
        <v>0</v>
      </c>
      <c r="AF42" s="188">
        <v>0</v>
      </c>
      <c r="AG42" s="188">
        <v>0</v>
      </c>
      <c r="AH42" s="188">
        <v>0</v>
      </c>
      <c r="AI42" s="188">
        <v>0</v>
      </c>
      <c r="AJ42" s="188">
        <v>0</v>
      </c>
      <c r="AK42" s="188">
        <v>0</v>
      </c>
      <c r="AL42" s="188">
        <v>0</v>
      </c>
      <c r="AM42" s="188">
        <v>0</v>
      </c>
      <c r="AN42" s="188">
        <v>0</v>
      </c>
    </row>
    <row r="43" spans="3:40" x14ac:dyDescent="0.3">
      <c r="C43" s="188">
        <v>43</v>
      </c>
      <c r="D43" s="188">
        <v>10</v>
      </c>
      <c r="E43" s="188">
        <v>1</v>
      </c>
      <c r="F43" s="188">
        <v>2.65</v>
      </c>
      <c r="G43" s="188">
        <v>0</v>
      </c>
      <c r="H43" s="188">
        <v>2</v>
      </c>
      <c r="I43" s="188">
        <v>0</v>
      </c>
      <c r="J43" s="188">
        <v>0</v>
      </c>
      <c r="K43" s="188">
        <v>0</v>
      </c>
      <c r="L43" s="188">
        <v>0</v>
      </c>
      <c r="M43" s="188">
        <v>0</v>
      </c>
      <c r="N43" s="188">
        <v>0</v>
      </c>
      <c r="O43" s="188">
        <v>0</v>
      </c>
      <c r="P43" s="188">
        <v>0</v>
      </c>
      <c r="Q43" s="188">
        <v>0</v>
      </c>
      <c r="R43" s="188">
        <v>0</v>
      </c>
      <c r="S43" s="188">
        <v>0</v>
      </c>
      <c r="T43" s="188">
        <v>0</v>
      </c>
      <c r="U43" s="188">
        <v>0</v>
      </c>
      <c r="V43" s="188">
        <v>0</v>
      </c>
      <c r="W43" s="188">
        <v>0</v>
      </c>
      <c r="X43" s="188">
        <v>0</v>
      </c>
      <c r="Y43" s="188">
        <v>0</v>
      </c>
      <c r="Z43" s="188">
        <v>0.05</v>
      </c>
      <c r="AA43" s="188">
        <v>0</v>
      </c>
      <c r="AB43" s="188">
        <v>0</v>
      </c>
      <c r="AC43" s="188">
        <v>0</v>
      </c>
      <c r="AD43" s="188">
        <v>0</v>
      </c>
      <c r="AE43" s="188">
        <v>0</v>
      </c>
      <c r="AF43" s="188">
        <v>0</v>
      </c>
      <c r="AG43" s="188">
        <v>0</v>
      </c>
      <c r="AH43" s="188">
        <v>0</v>
      </c>
      <c r="AI43" s="188">
        <v>0</v>
      </c>
      <c r="AJ43" s="188">
        <v>0</v>
      </c>
      <c r="AK43" s="188">
        <v>0</v>
      </c>
      <c r="AL43" s="188">
        <v>0</v>
      </c>
      <c r="AM43" s="188">
        <v>0.6</v>
      </c>
      <c r="AN43" s="188">
        <v>0</v>
      </c>
    </row>
    <row r="44" spans="3:40" x14ac:dyDescent="0.3">
      <c r="C44" s="188">
        <v>43</v>
      </c>
      <c r="D44" s="188">
        <v>10</v>
      </c>
      <c r="E44" s="188">
        <v>2</v>
      </c>
      <c r="F44" s="188">
        <v>442.8</v>
      </c>
      <c r="G44" s="188">
        <v>0</v>
      </c>
      <c r="H44" s="188">
        <v>328</v>
      </c>
      <c r="I44" s="188">
        <v>0</v>
      </c>
      <c r="J44" s="188">
        <v>0</v>
      </c>
      <c r="K44" s="188">
        <v>0</v>
      </c>
      <c r="L44" s="188">
        <v>0</v>
      </c>
      <c r="M44" s="188">
        <v>0</v>
      </c>
      <c r="N44" s="188">
        <v>0</v>
      </c>
      <c r="O44" s="188">
        <v>0</v>
      </c>
      <c r="P44" s="188">
        <v>0</v>
      </c>
      <c r="Q44" s="188">
        <v>0</v>
      </c>
      <c r="R44" s="188">
        <v>0</v>
      </c>
      <c r="S44" s="188">
        <v>0</v>
      </c>
      <c r="T44" s="188">
        <v>0</v>
      </c>
      <c r="U44" s="188">
        <v>0</v>
      </c>
      <c r="V44" s="188">
        <v>0</v>
      </c>
      <c r="W44" s="188">
        <v>0</v>
      </c>
      <c r="X44" s="188">
        <v>0</v>
      </c>
      <c r="Y44" s="188">
        <v>0</v>
      </c>
      <c r="Z44" s="188">
        <v>9.1999999999999993</v>
      </c>
      <c r="AA44" s="188">
        <v>0</v>
      </c>
      <c r="AB44" s="188">
        <v>0</v>
      </c>
      <c r="AC44" s="188">
        <v>0</v>
      </c>
      <c r="AD44" s="188">
        <v>0</v>
      </c>
      <c r="AE44" s="188">
        <v>0</v>
      </c>
      <c r="AF44" s="188">
        <v>0</v>
      </c>
      <c r="AG44" s="188">
        <v>0</v>
      </c>
      <c r="AH44" s="188">
        <v>0</v>
      </c>
      <c r="AI44" s="188">
        <v>0</v>
      </c>
      <c r="AJ44" s="188">
        <v>0</v>
      </c>
      <c r="AK44" s="188">
        <v>0</v>
      </c>
      <c r="AL44" s="188">
        <v>0</v>
      </c>
      <c r="AM44" s="188">
        <v>105.6</v>
      </c>
      <c r="AN44" s="188">
        <v>0</v>
      </c>
    </row>
    <row r="45" spans="3:40" x14ac:dyDescent="0.3">
      <c r="C45" s="188">
        <v>43</v>
      </c>
      <c r="D45" s="188">
        <v>10</v>
      </c>
      <c r="E45" s="188">
        <v>6</v>
      </c>
      <c r="F45" s="188">
        <v>82307</v>
      </c>
      <c r="G45" s="188">
        <v>0</v>
      </c>
      <c r="H45" s="188">
        <v>72312</v>
      </c>
      <c r="I45" s="188">
        <v>0</v>
      </c>
      <c r="J45" s="188">
        <v>0</v>
      </c>
      <c r="K45" s="188">
        <v>0</v>
      </c>
      <c r="L45" s="188">
        <v>0</v>
      </c>
      <c r="M45" s="188">
        <v>0</v>
      </c>
      <c r="N45" s="188">
        <v>0</v>
      </c>
      <c r="O45" s="188">
        <v>0</v>
      </c>
      <c r="P45" s="188">
        <v>0</v>
      </c>
      <c r="Q45" s="188">
        <v>0</v>
      </c>
      <c r="R45" s="188">
        <v>0</v>
      </c>
      <c r="S45" s="188">
        <v>0</v>
      </c>
      <c r="T45" s="188">
        <v>0</v>
      </c>
      <c r="U45" s="188">
        <v>0</v>
      </c>
      <c r="V45" s="188">
        <v>0</v>
      </c>
      <c r="W45" s="188">
        <v>0</v>
      </c>
      <c r="X45" s="188">
        <v>0</v>
      </c>
      <c r="Y45" s="188">
        <v>0</v>
      </c>
      <c r="Z45" s="188">
        <v>2079</v>
      </c>
      <c r="AA45" s="188">
        <v>0</v>
      </c>
      <c r="AB45" s="188">
        <v>0</v>
      </c>
      <c r="AC45" s="188">
        <v>0</v>
      </c>
      <c r="AD45" s="188">
        <v>0</v>
      </c>
      <c r="AE45" s="188">
        <v>0</v>
      </c>
      <c r="AF45" s="188">
        <v>0</v>
      </c>
      <c r="AG45" s="188">
        <v>0</v>
      </c>
      <c r="AH45" s="188">
        <v>0</v>
      </c>
      <c r="AI45" s="188">
        <v>0</v>
      </c>
      <c r="AJ45" s="188">
        <v>0</v>
      </c>
      <c r="AK45" s="188">
        <v>0</v>
      </c>
      <c r="AL45" s="188">
        <v>0</v>
      </c>
      <c r="AM45" s="188">
        <v>7916</v>
      </c>
      <c r="AN45" s="188">
        <v>0</v>
      </c>
    </row>
    <row r="46" spans="3:40" x14ac:dyDescent="0.3">
      <c r="C46" s="188">
        <v>43</v>
      </c>
      <c r="D46" s="188">
        <v>10</v>
      </c>
      <c r="E46" s="188">
        <v>11</v>
      </c>
      <c r="F46" s="188">
        <v>821</v>
      </c>
      <c r="G46" s="188">
        <v>0</v>
      </c>
      <c r="H46" s="188">
        <v>737.66666666666663</v>
      </c>
      <c r="I46" s="188">
        <v>0</v>
      </c>
      <c r="J46" s="188">
        <v>0</v>
      </c>
      <c r="K46" s="188">
        <v>83.333333333333329</v>
      </c>
      <c r="L46" s="188">
        <v>0</v>
      </c>
      <c r="M46" s="188">
        <v>0</v>
      </c>
      <c r="N46" s="188">
        <v>0</v>
      </c>
      <c r="O46" s="188">
        <v>0</v>
      </c>
      <c r="P46" s="188">
        <v>0</v>
      </c>
      <c r="Q46" s="188">
        <v>0</v>
      </c>
      <c r="R46" s="188">
        <v>0</v>
      </c>
      <c r="S46" s="188">
        <v>0</v>
      </c>
      <c r="T46" s="188">
        <v>0</v>
      </c>
      <c r="U46" s="188">
        <v>0</v>
      </c>
      <c r="V46" s="188">
        <v>0</v>
      </c>
      <c r="W46" s="188">
        <v>0</v>
      </c>
      <c r="X46" s="188">
        <v>0</v>
      </c>
      <c r="Y46" s="188">
        <v>0</v>
      </c>
      <c r="Z46" s="188">
        <v>0</v>
      </c>
      <c r="AA46" s="188">
        <v>0</v>
      </c>
      <c r="AB46" s="188">
        <v>0</v>
      </c>
      <c r="AC46" s="188">
        <v>0</v>
      </c>
      <c r="AD46" s="188">
        <v>0</v>
      </c>
      <c r="AE46" s="188">
        <v>0</v>
      </c>
      <c r="AF46" s="188">
        <v>0</v>
      </c>
      <c r="AG46" s="188">
        <v>0</v>
      </c>
      <c r="AH46" s="188">
        <v>0</v>
      </c>
      <c r="AI46" s="188">
        <v>0</v>
      </c>
      <c r="AJ46" s="188">
        <v>0</v>
      </c>
      <c r="AK46" s="188">
        <v>0</v>
      </c>
      <c r="AL46" s="188">
        <v>0</v>
      </c>
      <c r="AM46" s="188">
        <v>0</v>
      </c>
      <c r="AN46" s="188">
        <v>0</v>
      </c>
    </row>
    <row r="47" spans="3:40" x14ac:dyDescent="0.3">
      <c r="C47" s="188">
        <v>43</v>
      </c>
      <c r="D47" s="188">
        <v>11</v>
      </c>
      <c r="E47" s="188">
        <v>1</v>
      </c>
      <c r="F47" s="188">
        <v>2.65</v>
      </c>
      <c r="G47" s="188">
        <v>0</v>
      </c>
      <c r="H47" s="188">
        <v>2</v>
      </c>
      <c r="I47" s="188">
        <v>0</v>
      </c>
      <c r="J47" s="188">
        <v>0</v>
      </c>
      <c r="K47" s="188">
        <v>0</v>
      </c>
      <c r="L47" s="188">
        <v>0</v>
      </c>
      <c r="M47" s="188">
        <v>0</v>
      </c>
      <c r="N47" s="188">
        <v>0</v>
      </c>
      <c r="O47" s="188">
        <v>0</v>
      </c>
      <c r="P47" s="188">
        <v>0</v>
      </c>
      <c r="Q47" s="188">
        <v>0</v>
      </c>
      <c r="R47" s="188">
        <v>0</v>
      </c>
      <c r="S47" s="188">
        <v>0</v>
      </c>
      <c r="T47" s="188">
        <v>0</v>
      </c>
      <c r="U47" s="188">
        <v>0</v>
      </c>
      <c r="V47" s="188">
        <v>0</v>
      </c>
      <c r="W47" s="188">
        <v>0</v>
      </c>
      <c r="X47" s="188">
        <v>0</v>
      </c>
      <c r="Y47" s="188">
        <v>0</v>
      </c>
      <c r="Z47" s="188">
        <v>0.05</v>
      </c>
      <c r="AA47" s="188">
        <v>0</v>
      </c>
      <c r="AB47" s="188">
        <v>0</v>
      </c>
      <c r="AC47" s="188">
        <v>0</v>
      </c>
      <c r="AD47" s="188">
        <v>0</v>
      </c>
      <c r="AE47" s="188">
        <v>0</v>
      </c>
      <c r="AF47" s="188">
        <v>0</v>
      </c>
      <c r="AG47" s="188">
        <v>0</v>
      </c>
      <c r="AH47" s="188">
        <v>0</v>
      </c>
      <c r="AI47" s="188">
        <v>0</v>
      </c>
      <c r="AJ47" s="188">
        <v>0</v>
      </c>
      <c r="AK47" s="188">
        <v>0</v>
      </c>
      <c r="AL47" s="188">
        <v>0</v>
      </c>
      <c r="AM47" s="188">
        <v>0.6</v>
      </c>
      <c r="AN47" s="188">
        <v>0</v>
      </c>
    </row>
    <row r="48" spans="3:40" x14ac:dyDescent="0.3">
      <c r="C48" s="188">
        <v>43</v>
      </c>
      <c r="D48" s="188">
        <v>11</v>
      </c>
      <c r="E48" s="188">
        <v>2</v>
      </c>
      <c r="F48" s="188">
        <v>394.4</v>
      </c>
      <c r="G48" s="188">
        <v>0</v>
      </c>
      <c r="H48" s="188">
        <v>296</v>
      </c>
      <c r="I48" s="188">
        <v>0</v>
      </c>
      <c r="J48" s="188">
        <v>0</v>
      </c>
      <c r="K48" s="188">
        <v>0</v>
      </c>
      <c r="L48" s="188">
        <v>0</v>
      </c>
      <c r="M48" s="188">
        <v>0</v>
      </c>
      <c r="N48" s="188">
        <v>0</v>
      </c>
      <c r="O48" s="188">
        <v>0</v>
      </c>
      <c r="P48" s="188">
        <v>0</v>
      </c>
      <c r="Q48" s="188">
        <v>0</v>
      </c>
      <c r="R48" s="188">
        <v>0</v>
      </c>
      <c r="S48" s="188">
        <v>0</v>
      </c>
      <c r="T48" s="188">
        <v>0</v>
      </c>
      <c r="U48" s="188">
        <v>0</v>
      </c>
      <c r="V48" s="188">
        <v>0</v>
      </c>
      <c r="W48" s="188">
        <v>0</v>
      </c>
      <c r="X48" s="188">
        <v>0</v>
      </c>
      <c r="Y48" s="188">
        <v>0</v>
      </c>
      <c r="Z48" s="188">
        <v>8</v>
      </c>
      <c r="AA48" s="188">
        <v>0</v>
      </c>
      <c r="AB48" s="188">
        <v>0</v>
      </c>
      <c r="AC48" s="188">
        <v>0</v>
      </c>
      <c r="AD48" s="188">
        <v>0</v>
      </c>
      <c r="AE48" s="188">
        <v>0</v>
      </c>
      <c r="AF48" s="188">
        <v>0</v>
      </c>
      <c r="AG48" s="188">
        <v>0</v>
      </c>
      <c r="AH48" s="188">
        <v>0</v>
      </c>
      <c r="AI48" s="188">
        <v>0</v>
      </c>
      <c r="AJ48" s="188">
        <v>0</v>
      </c>
      <c r="AK48" s="188">
        <v>0</v>
      </c>
      <c r="AL48" s="188">
        <v>0</v>
      </c>
      <c r="AM48" s="188">
        <v>90.4</v>
      </c>
      <c r="AN48" s="188">
        <v>0</v>
      </c>
    </row>
    <row r="49" spans="3:40" x14ac:dyDescent="0.3">
      <c r="C49" s="188">
        <v>43</v>
      </c>
      <c r="D49" s="188">
        <v>11</v>
      </c>
      <c r="E49" s="188">
        <v>6</v>
      </c>
      <c r="F49" s="188">
        <v>149823</v>
      </c>
      <c r="G49" s="188">
        <v>0</v>
      </c>
      <c r="H49" s="188">
        <v>132579</v>
      </c>
      <c r="I49" s="188">
        <v>0</v>
      </c>
      <c r="J49" s="188">
        <v>0</v>
      </c>
      <c r="K49" s="188">
        <v>0</v>
      </c>
      <c r="L49" s="188">
        <v>0</v>
      </c>
      <c r="M49" s="188">
        <v>0</v>
      </c>
      <c r="N49" s="188">
        <v>0</v>
      </c>
      <c r="O49" s="188">
        <v>0</v>
      </c>
      <c r="P49" s="188">
        <v>0</v>
      </c>
      <c r="Q49" s="188">
        <v>0</v>
      </c>
      <c r="R49" s="188">
        <v>0</v>
      </c>
      <c r="S49" s="188">
        <v>0</v>
      </c>
      <c r="T49" s="188">
        <v>0</v>
      </c>
      <c r="U49" s="188">
        <v>0</v>
      </c>
      <c r="V49" s="188">
        <v>0</v>
      </c>
      <c r="W49" s="188">
        <v>0</v>
      </c>
      <c r="X49" s="188">
        <v>0</v>
      </c>
      <c r="Y49" s="188">
        <v>0</v>
      </c>
      <c r="Z49" s="188">
        <v>2695</v>
      </c>
      <c r="AA49" s="188">
        <v>0</v>
      </c>
      <c r="AB49" s="188">
        <v>0</v>
      </c>
      <c r="AC49" s="188">
        <v>0</v>
      </c>
      <c r="AD49" s="188">
        <v>0</v>
      </c>
      <c r="AE49" s="188">
        <v>0</v>
      </c>
      <c r="AF49" s="188">
        <v>0</v>
      </c>
      <c r="AG49" s="188">
        <v>0</v>
      </c>
      <c r="AH49" s="188">
        <v>0</v>
      </c>
      <c r="AI49" s="188">
        <v>0</v>
      </c>
      <c r="AJ49" s="188">
        <v>0</v>
      </c>
      <c r="AK49" s="188">
        <v>0</v>
      </c>
      <c r="AL49" s="188">
        <v>0</v>
      </c>
      <c r="AM49" s="188">
        <v>14549</v>
      </c>
      <c r="AN49" s="188">
        <v>0</v>
      </c>
    </row>
    <row r="50" spans="3:40" x14ac:dyDescent="0.3">
      <c r="C50" s="188">
        <v>43</v>
      </c>
      <c r="D50" s="188">
        <v>11</v>
      </c>
      <c r="E50" s="188">
        <v>9</v>
      </c>
      <c r="F50" s="188">
        <v>68179</v>
      </c>
      <c r="G50" s="188">
        <v>0</v>
      </c>
      <c r="H50" s="188">
        <v>61103</v>
      </c>
      <c r="I50" s="188">
        <v>0</v>
      </c>
      <c r="J50" s="188">
        <v>0</v>
      </c>
      <c r="K50" s="188">
        <v>0</v>
      </c>
      <c r="L50" s="188">
        <v>0</v>
      </c>
      <c r="M50" s="188">
        <v>0</v>
      </c>
      <c r="N50" s="188">
        <v>0</v>
      </c>
      <c r="O50" s="188">
        <v>0</v>
      </c>
      <c r="P50" s="188">
        <v>0</v>
      </c>
      <c r="Q50" s="188">
        <v>0</v>
      </c>
      <c r="R50" s="188">
        <v>0</v>
      </c>
      <c r="S50" s="188">
        <v>0</v>
      </c>
      <c r="T50" s="188">
        <v>0</v>
      </c>
      <c r="U50" s="188">
        <v>0</v>
      </c>
      <c r="V50" s="188">
        <v>0</v>
      </c>
      <c r="W50" s="188">
        <v>0</v>
      </c>
      <c r="X50" s="188">
        <v>0</v>
      </c>
      <c r="Y50" s="188">
        <v>0</v>
      </c>
      <c r="Z50" s="188">
        <v>616</v>
      </c>
      <c r="AA50" s="188">
        <v>0</v>
      </c>
      <c r="AB50" s="188">
        <v>0</v>
      </c>
      <c r="AC50" s="188">
        <v>0</v>
      </c>
      <c r="AD50" s="188">
        <v>0</v>
      </c>
      <c r="AE50" s="188">
        <v>0</v>
      </c>
      <c r="AF50" s="188">
        <v>0</v>
      </c>
      <c r="AG50" s="188">
        <v>0</v>
      </c>
      <c r="AH50" s="188">
        <v>0</v>
      </c>
      <c r="AI50" s="188">
        <v>0</v>
      </c>
      <c r="AJ50" s="188">
        <v>0</v>
      </c>
      <c r="AK50" s="188">
        <v>0</v>
      </c>
      <c r="AL50" s="188">
        <v>0</v>
      </c>
      <c r="AM50" s="188">
        <v>6460</v>
      </c>
      <c r="AN50" s="188">
        <v>0</v>
      </c>
    </row>
    <row r="51" spans="3:40" x14ac:dyDescent="0.3">
      <c r="C51" s="188">
        <v>43</v>
      </c>
      <c r="D51" s="188">
        <v>11</v>
      </c>
      <c r="E51" s="188">
        <v>11</v>
      </c>
      <c r="F51" s="188">
        <v>821</v>
      </c>
      <c r="G51" s="188">
        <v>0</v>
      </c>
      <c r="H51" s="188">
        <v>737.66666666666663</v>
      </c>
      <c r="I51" s="188">
        <v>0</v>
      </c>
      <c r="J51" s="188">
        <v>0</v>
      </c>
      <c r="K51" s="188">
        <v>83.333333333333329</v>
      </c>
      <c r="L51" s="188">
        <v>0</v>
      </c>
      <c r="M51" s="188">
        <v>0</v>
      </c>
      <c r="N51" s="188">
        <v>0</v>
      </c>
      <c r="O51" s="188">
        <v>0</v>
      </c>
      <c r="P51" s="188">
        <v>0</v>
      </c>
      <c r="Q51" s="188">
        <v>0</v>
      </c>
      <c r="R51" s="188">
        <v>0</v>
      </c>
      <c r="S51" s="188">
        <v>0</v>
      </c>
      <c r="T51" s="188">
        <v>0</v>
      </c>
      <c r="U51" s="188">
        <v>0</v>
      </c>
      <c r="V51" s="188">
        <v>0</v>
      </c>
      <c r="W51" s="188">
        <v>0</v>
      </c>
      <c r="X51" s="188">
        <v>0</v>
      </c>
      <c r="Y51" s="188">
        <v>0</v>
      </c>
      <c r="Z51" s="188">
        <v>0</v>
      </c>
      <c r="AA51" s="188">
        <v>0</v>
      </c>
      <c r="AB51" s="188">
        <v>0</v>
      </c>
      <c r="AC51" s="188">
        <v>0</v>
      </c>
      <c r="AD51" s="188">
        <v>0</v>
      </c>
      <c r="AE51" s="188">
        <v>0</v>
      </c>
      <c r="AF51" s="188">
        <v>0</v>
      </c>
      <c r="AG51" s="188">
        <v>0</v>
      </c>
      <c r="AH51" s="188">
        <v>0</v>
      </c>
      <c r="AI51" s="188">
        <v>0</v>
      </c>
      <c r="AJ51" s="188">
        <v>0</v>
      </c>
      <c r="AK51" s="188">
        <v>0</v>
      </c>
      <c r="AL51" s="188">
        <v>0</v>
      </c>
      <c r="AM51" s="188">
        <v>0</v>
      </c>
      <c r="AN51" s="18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7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7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7" customWidth="1"/>
    <col min="20" max="16384" width="8.88671875" style="102"/>
  </cols>
  <sheetData>
    <row r="1" spans="1:19" ht="18.600000000000001" customHeight="1" thickBot="1" x14ac:dyDescent="0.4">
      <c r="A1" s="291" t="s">
        <v>280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19" ht="14.4" customHeight="1" thickBot="1" x14ac:dyDescent="0.35">
      <c r="A2" s="192" t="s">
        <v>214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78" t="s">
        <v>98</v>
      </c>
      <c r="B3" s="179">
        <f>SUBTOTAL(9,B6:B1048576)</f>
        <v>0</v>
      </c>
      <c r="C3" s="180">
        <f t="shared" ref="C3:R3" si="0">SUBTOTAL(9,C6:C1048576)</f>
        <v>0</v>
      </c>
      <c r="D3" s="180">
        <f t="shared" si="0"/>
        <v>327</v>
      </c>
      <c r="E3" s="180">
        <f t="shared" si="0"/>
        <v>0</v>
      </c>
      <c r="F3" s="180">
        <f t="shared" si="0"/>
        <v>327</v>
      </c>
      <c r="G3" s="181" t="str">
        <f>IF(B3&lt;&gt;0,F3/B3,"")</f>
        <v/>
      </c>
      <c r="H3" s="182">
        <f t="shared" si="0"/>
        <v>0</v>
      </c>
      <c r="I3" s="180">
        <f t="shared" si="0"/>
        <v>0</v>
      </c>
      <c r="J3" s="180">
        <f t="shared" si="0"/>
        <v>0</v>
      </c>
      <c r="K3" s="180">
        <f t="shared" si="0"/>
        <v>0</v>
      </c>
      <c r="L3" s="180">
        <f t="shared" si="0"/>
        <v>0</v>
      </c>
      <c r="M3" s="183" t="str">
        <f>IF(H3&lt;&gt;0,L3/H3,"")</f>
        <v/>
      </c>
      <c r="N3" s="179">
        <f t="shared" si="0"/>
        <v>0</v>
      </c>
      <c r="O3" s="180">
        <f t="shared" si="0"/>
        <v>0</v>
      </c>
      <c r="P3" s="180">
        <f t="shared" si="0"/>
        <v>0</v>
      </c>
      <c r="Q3" s="180">
        <f t="shared" si="0"/>
        <v>0</v>
      </c>
      <c r="R3" s="180">
        <f t="shared" si="0"/>
        <v>0</v>
      </c>
      <c r="S3" s="181" t="str">
        <f>IF(N3&lt;&gt;0,R3/N3,"")</f>
        <v/>
      </c>
    </row>
    <row r="4" spans="1:19" ht="14.4" customHeight="1" x14ac:dyDescent="0.3">
      <c r="A4" s="292" t="s">
        <v>74</v>
      </c>
      <c r="B4" s="293" t="s">
        <v>75</v>
      </c>
      <c r="C4" s="294"/>
      <c r="D4" s="294"/>
      <c r="E4" s="294"/>
      <c r="F4" s="294"/>
      <c r="G4" s="295"/>
      <c r="H4" s="293" t="s">
        <v>76</v>
      </c>
      <c r="I4" s="294"/>
      <c r="J4" s="294"/>
      <c r="K4" s="294"/>
      <c r="L4" s="294"/>
      <c r="M4" s="295"/>
      <c r="N4" s="293" t="s">
        <v>77</v>
      </c>
      <c r="O4" s="294"/>
      <c r="P4" s="294"/>
      <c r="Q4" s="294"/>
      <c r="R4" s="294"/>
      <c r="S4" s="295"/>
    </row>
    <row r="5" spans="1:19" ht="14.4" customHeight="1" thickBot="1" x14ac:dyDescent="0.35">
      <c r="A5" s="368"/>
      <c r="B5" s="369">
        <v>2012</v>
      </c>
      <c r="C5" s="370"/>
      <c r="D5" s="370">
        <v>2013</v>
      </c>
      <c r="E5" s="370"/>
      <c r="F5" s="370">
        <v>2014</v>
      </c>
      <c r="G5" s="371" t="s">
        <v>0</v>
      </c>
      <c r="H5" s="369">
        <v>2012</v>
      </c>
      <c r="I5" s="370"/>
      <c r="J5" s="370">
        <v>2013</v>
      </c>
      <c r="K5" s="370"/>
      <c r="L5" s="370">
        <v>2014</v>
      </c>
      <c r="M5" s="371" t="s">
        <v>0</v>
      </c>
      <c r="N5" s="369">
        <v>2012</v>
      </c>
      <c r="O5" s="370"/>
      <c r="P5" s="370">
        <v>2013</v>
      </c>
      <c r="Q5" s="370"/>
      <c r="R5" s="370">
        <v>2014</v>
      </c>
      <c r="S5" s="371" t="s">
        <v>0</v>
      </c>
    </row>
    <row r="6" spans="1:19" ht="14.4" customHeight="1" thickBot="1" x14ac:dyDescent="0.35">
      <c r="A6" s="375" t="s">
        <v>276</v>
      </c>
      <c r="B6" s="373"/>
      <c r="C6" s="374"/>
      <c r="D6" s="373">
        <v>327</v>
      </c>
      <c r="E6" s="374"/>
      <c r="F6" s="373">
        <v>327</v>
      </c>
      <c r="G6" s="250"/>
      <c r="H6" s="373"/>
      <c r="I6" s="374"/>
      <c r="J6" s="373"/>
      <c r="K6" s="374"/>
      <c r="L6" s="373"/>
      <c r="M6" s="250"/>
      <c r="N6" s="373"/>
      <c r="O6" s="374"/>
      <c r="P6" s="373"/>
      <c r="Q6" s="374"/>
      <c r="R6" s="373"/>
      <c r="S6" s="251"/>
    </row>
    <row r="7" spans="1:19" ht="14.4" customHeight="1" x14ac:dyDescent="0.3">
      <c r="A7" s="376" t="s">
        <v>277</v>
      </c>
    </row>
    <row r="8" spans="1:19" ht="14.4" customHeight="1" x14ac:dyDescent="0.3">
      <c r="A8" s="377" t="s">
        <v>278</v>
      </c>
    </row>
    <row r="9" spans="1:19" ht="14.4" customHeight="1" x14ac:dyDescent="0.3">
      <c r="A9" s="376" t="s">
        <v>279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2014-12-18T09:36:06Z</dcterms:modified>
</cp:coreProperties>
</file>