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Detail" sheetId="345" r:id="rId10"/>
    <sheet name="ZV Vykáz.-H" sheetId="410" r:id="rId11"/>
    <sheet name="ZV Vykáz.-H Detail" sheetId="377" r:id="rId12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9" hidden="1">'ZV Vykáz.-A Detail'!$A$5:$P$5</definedName>
    <definedName name="_xlnm._FilterDatabase" localSheetId="1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C15" i="414"/>
  <c r="D4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J3" i="345"/>
  <c r="I3" i="345"/>
  <c r="F3" i="345"/>
  <c r="O3" i="345" s="1"/>
  <c r="E3" i="345"/>
  <c r="C18" i="414"/>
  <c r="D18" i="414"/>
  <c r="Q3" i="377" l="1"/>
  <c r="P3" i="345"/>
  <c r="F13" i="339"/>
  <c r="E13" i="339"/>
  <c r="E15" i="339" s="1"/>
  <c r="H12" i="339"/>
  <c r="G12" i="339"/>
  <c r="A4" i="383"/>
  <c r="A17" i="383"/>
  <c r="A16" i="383"/>
  <c r="A15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<sst xmlns="http://schemas.openxmlformats.org/spreadsheetml/2006/main" count="515" uniqueCount="310">
  <si>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</si>
  <si>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</si>
  <si>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</si>
  <si>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</si>
  <si>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</si>
  <si>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</si>
  <si>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</si>
  <si>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</si>
  <si>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</si>
  <si>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</si>
  <si>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</si>
  <si>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</si>
  <si>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</si>
  <si>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</si>
  <si>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</si>
  <si>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</si>
  <si>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</si>
  <si>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</si>
  <si>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</si>
  <si>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</si>
  <si>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</si>
  <si>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</si>
  <si>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</si>
  <si>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</si>
  <si>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</si>
  <si>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</si>
  <si>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</si>
  <si>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</si>
  <si>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</si>
  <si>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</si>
  <si>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</si>
  <si>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</si>
  <si>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</si>
  <si>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</si>
  <si>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</si>
  <si>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</si>
  <si>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</si>
  <si>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</si>
  <si>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</si>
  <si>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</si>
  <si>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</si>
  <si>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</si>
  <si>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</si>
  <si>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</si>
  <si>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</si>
  <si>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</si>
  <si>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</si>
  <si>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</si>
  <si>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</si>
  <si>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</si>
  <si>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</si>
  <si>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</si>
  <si>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</si>
  <si>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</si>
  <si>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</si>
  <si>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</si>
  <si>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</si>
  <si>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</si>
  <si>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</si>
  <si>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</si>
  <si>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</si>
  <si>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</si>
  <si>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</si>
  <si>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</si>
  <si>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</si>
  <si>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</si>
  <si>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</si>
  <si>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</si>
  <si>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</si>
  <si>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</si>
  <si>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</si>
  <si>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</si>
  <si>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</si>
  <si>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</si>
  <si>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</si>
  <si>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</si>
  <si>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</si>
  <si>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</si>
  <si>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</si>
  <si>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</si>
  <si>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</si>
  <si>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</si>
  <si>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</si>
  <si>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</si>
  <si>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</si>
  <si>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</si>
  <si>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</si>
  <si>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</si>
  <si>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</si>
  <si>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</si>
  <si>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</si>
  <si>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</si>
  <si>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</si>
  <si>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</si>
  <si>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</si>
  <si>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</si>
  <si>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</si>
  <si>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</si>
  <si>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</si>
  <si>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</si>
  <si>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</si>
  <si>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</si>
  <si>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</si>
  <si>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</si>
  <si>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</si>
  <si>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</si>
  <si>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</si>
  <si>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</si>
  <si>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</si>
  <si>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</si>
  <si>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</si>
  <si>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</si>
  <si>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</si>
  <si>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</si>
  <si>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</si>
  <si>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</si>
  <si>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</si>
  <si>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</si>
  <si>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</si>
  <si>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</si>
  <si>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</si>
  <si>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</si>
  <si>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</si>
  <si>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</si>
  <si>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</si>
  <si>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</si>
  <si>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</si>
  <si>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</si>
  <si>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</si>
  <si>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</si>
  <si>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</si>
  <si>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</si>
  <si>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</si>
  <si>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</si>
  <si>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</si>
  <si>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</si>
  <si>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</si>
  <si>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</si>
  <si>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</si>
  <si>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</si>
  <si>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</si>
  <si>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</si>
  <si>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</si>
  <si>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</si>
  <si>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</si>
  <si>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</si>
  <si>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</si>
  <si>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</si>
  <si>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</si>
  <si>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</si>
  <si>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</si>
  <si>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</si>
  <si>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</si>
  <si>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</si>
  <si>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</si>
  <si>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</si>
  <si>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</si>
  <si>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</si>
  <si>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</si>
  <si>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</si>
  <si>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</si>
  <si>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</si>
  <si>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</si>
  <si>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</si>
  <si>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</si>
  <si>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</si>
  <si>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</si>
  <si>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</si>
  <si>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</si>
  <si>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</si>
  <si>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</si>
  <si>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</si>
  <si>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</si>
  <si>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</si>
  <si>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</si>
  <si>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</si>
  <si>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</si>
  <si>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</si>
  <si>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</si>
  <si>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</si>
  <si>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</si>
  <si>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</si>
  <si>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</si>
  <si>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</si>
  <si>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</si>
  <si>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</si>
  <si>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</si>
  <si>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</si>
  <si>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</si>
  <si>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</si>
  <si>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</si>
  <si>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</si>
  <si>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</si>
  <si>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</si>
  <si>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</si>
  <si>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</si>
  <si>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</si>
  <si>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</si>
  <si>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</si>
  <si>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</si>
  <si>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</si>
  <si>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</si>
  <si>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</si>
  <si>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</si>
  <si>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</si>
  <si>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</si>
  <si>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</si>
  <si>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</si>
  <si>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</si>
  <si>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</si>
  <si>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</si>
  <si>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</si>
  <si>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</si>
  <si>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</si>
  <si>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</si>
  <si>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</si>
  <si>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</si>
  <si>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</si>
  <si>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</si>
  <si>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</si>
  <si>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--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</si>
  <si>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</si>
  <si>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</si>
  <si>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</si>
  <si>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</si>
  <si>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</si>
  <si>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</si>
  <si>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</si>
  <si>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</si>
  <si>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</si>
  <si>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</si>
  <si>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</si>
  <si>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</si>
  <si>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</si>
  <si>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</si>
  <si>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</si>
  <si>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</si>
  <si>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</si>
  <si>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</si>
  <si>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</si>
  <si>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</si>
  <si>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</si>
  <si>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</si>
  <si>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</si>
  <si>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6     Účtová třída 6 - Výnosy</t>
  </si>
  <si>
    <t>60     Tržby za vlastní výkony a zboží</t>
  </si>
  <si>
    <t>602     Výnosy z prodeje služeb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</si>
  <si>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</si>
  <si>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</si>
  <si>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</si>
  <si>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</si>
  <si>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</si>
  <si>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</si>
  <si>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</si>
  <si>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</si>
  <si>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</si>
  <si>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</si>
  <si>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</si>
  <si>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</si>
  <si>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</si>
  <si>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</si>
  <si>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</si>
  <si>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</si>
  <si>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</si>
  <si>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</si>
  <si>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</si>
  <si>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</si>
  <si>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</si>
  <si>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</si>
  <si>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</si>
  <si>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</si>
  <si>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</si>
  <si>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</si>
  <si>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</si>
  <si>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</si>
  <si>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</si>
  <si>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</si>
  <si>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</si>
  <si>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</si>
  <si>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</si>
  <si>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</si>
  <si>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</si>
  <si>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</si>
  <si>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</si>
  <si>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</si>
  <si>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</si>
  <si>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</si>
  <si>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</si>
  <si>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</si>
  <si>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14 - Oční klinika</t>
  </si>
  <si>
    <t>21 - Onkologická klinika</t>
  </si>
  <si>
    <t>30 - Oddělení geriatrie</t>
  </si>
  <si>
    <t>32 - Hemato-onkologická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</si>
  <si>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</si>
  <si>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</si>
  <si>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</si>
  <si>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</si>
  <si>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</si>
  <si>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</si>
  <si>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06</t>
  </si>
  <si>
    <t>07</t>
  </si>
  <si>
    <t>08</t>
  </si>
  <si>
    <t>09</t>
  </si>
  <si>
    <t>10</t>
  </si>
  <si>
    <t>14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</si>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</sst>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5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2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2" fontId="28" fillId="3" borderId="26" xfId="78" applyNumberFormat="1" applyFont="1" applyFill="1" applyBorder="1"/>
    <xf numFmtId="172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8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3" fillId="2" borderId="65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66" xfId="0" applyNumberFormat="1" applyFont="1" applyBorder="1"/>
    <xf numFmtId="174" fontId="39" fillId="2" borderId="83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0" borderId="69" xfId="0" applyNumberFormat="1" applyFont="1" applyBorder="1"/>
    <xf numFmtId="174" fontId="32" fillId="0" borderId="84" xfId="0" applyNumberFormat="1" applyFont="1" applyBorder="1"/>
    <xf numFmtId="174" fontId="32" fillId="0" borderId="63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7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89" xfId="0" applyNumberFormat="1" applyFont="1" applyFill="1" applyBorder="1" applyAlignment="1">
      <alignment horizontal="right" vertical="top"/>
    </xf>
    <xf numFmtId="3" fontId="33" fillId="9" borderId="90" xfId="0" applyNumberFormat="1" applyFont="1" applyFill="1" applyBorder="1" applyAlignment="1">
      <alignment horizontal="right" vertical="top"/>
    </xf>
    <xf numFmtId="177" fontId="33" fillId="9" borderId="91" xfId="0" applyNumberFormat="1" applyFont="1" applyFill="1" applyBorder="1" applyAlignment="1">
      <alignment horizontal="right" vertical="top"/>
    </xf>
    <xf numFmtId="3" fontId="33" fillId="0" borderId="89" xfId="0" applyNumberFormat="1" applyFont="1" applyBorder="1" applyAlignment="1">
      <alignment horizontal="right" vertical="top"/>
    </xf>
    <xf numFmtId="177" fontId="33" fillId="9" borderId="92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177" fontId="35" fillId="9" borderId="96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177" fontId="35" fillId="9" borderId="101" xfId="0" applyNumberFormat="1" applyFont="1" applyFill="1" applyBorder="1" applyAlignment="1">
      <alignment horizontal="right" vertical="top"/>
    </xf>
    <xf numFmtId="0" fontId="37" fillId="10" borderId="88" xfId="0" applyFont="1" applyFill="1" applyBorder="1" applyAlignment="1">
      <alignment vertical="top"/>
    </xf>
    <xf numFmtId="0" fontId="37" fillId="10" borderId="88" xfId="0" applyFont="1" applyFill="1" applyBorder="1" applyAlignment="1">
      <alignment vertical="top" indent="2"/>
    </xf>
    <xf numFmtId="0" fontId="37" fillId="10" borderId="88" xfId="0" applyFont="1" applyFill="1" applyBorder="1" applyAlignment="1">
      <alignment vertical="top" indent="4"/>
    </xf>
    <xf numFmtId="0" fontId="38" fillId="10" borderId="93" xfId="0" applyFont="1" applyFill="1" applyBorder="1" applyAlignment="1">
      <alignment vertical="top" indent="6"/>
    </xf>
    <xf numFmtId="0" fontId="37" fillId="10" borderId="88" xfId="0" applyFont="1" applyFill="1" applyBorder="1" applyAlignment="1">
      <alignment vertical="top" indent="8"/>
    </xf>
    <xf numFmtId="0" fontId="38" fillId="10" borderId="93" xfId="0" applyFont="1" applyFill="1" applyBorder="1" applyAlignment="1">
      <alignment vertical="top" indent="2"/>
    </xf>
    <xf numFmtId="0" fontId="38" fillId="10" borderId="93" xfId="0" applyFont="1" applyFill="1" applyBorder="1" applyAlignment="1">
      <alignment vertical="top" indent="4"/>
    </xf>
    <xf numFmtId="0" fontId="32" fillId="10" borderId="88" xfId="0" applyFont="1" applyFill="1" applyBorder="1"/>
    <xf numFmtId="0" fontId="38" fillId="10" borderId="17" xfId="0" applyFont="1" applyFill="1" applyBorder="1" applyAlignment="1">
      <alignment vertical="top"/>
    </xf>
    <xf numFmtId="174" fontId="39" fillId="4" borderId="102" xfId="0" applyNumberFormat="1" applyFont="1" applyFill="1" applyBorder="1" applyAlignment="1">
      <alignment horizontal="center"/>
    </xf>
    <xf numFmtId="174" fontId="39" fillId="4" borderId="103" xfId="0" applyNumberFormat="1" applyFont="1" applyFill="1" applyBorder="1" applyAlignment="1">
      <alignment horizontal="center"/>
    </xf>
    <xf numFmtId="174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 wrapText="1"/>
    </xf>
    <xf numFmtId="176" fontId="32" fillId="0" borderId="104" xfId="0" applyNumberFormat="1" applyFont="1" applyBorder="1" applyAlignment="1">
      <alignment horizontal="right"/>
    </xf>
    <xf numFmtId="176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174" fontId="32" fillId="0" borderId="107" xfId="0" applyNumberFormat="1" applyFont="1" applyBorder="1" applyAlignment="1">
      <alignment horizontal="right"/>
    </xf>
    <xf numFmtId="0" fontId="39" fillId="2" borderId="46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5" fontId="32" fillId="2" borderId="46" xfId="0" applyNumberFormat="1" applyFont="1" applyFill="1" applyBorder="1" applyAlignment="1"/>
    <xf numFmtId="175" fontId="32" fillId="0" borderId="86" xfId="0" applyNumberFormat="1" applyFont="1" applyBorder="1"/>
    <xf numFmtId="175" fontId="32" fillId="0" borderId="108" xfId="0" applyNumberFormat="1" applyFont="1" applyBorder="1"/>
    <xf numFmtId="174" fontId="39" fillId="4" borderId="46" xfId="0" applyNumberFormat="1" applyFont="1" applyFill="1" applyBorder="1" applyAlignment="1"/>
    <xf numFmtId="174" fontId="32" fillId="0" borderId="86" xfId="0" applyNumberFormat="1" applyFont="1" applyBorder="1"/>
    <xf numFmtId="174" fontId="32" fillId="0" borderId="87" xfId="0" applyNumberFormat="1" applyFont="1" applyBorder="1"/>
    <xf numFmtId="174" fontId="39" fillId="2" borderId="46" xfId="0" applyNumberFormat="1" applyFont="1" applyFill="1" applyBorder="1" applyAlignment="1"/>
    <xf numFmtId="174" fontId="32" fillId="0" borderId="108" xfId="0" applyNumberFormat="1" applyFont="1" applyBorder="1"/>
    <xf numFmtId="174" fontId="32" fillId="0" borderId="46" xfId="0" applyNumberFormat="1" applyFont="1" applyBorder="1"/>
    <xf numFmtId="174" fontId="39" fillId="4" borderId="109" xfId="0" applyNumberFormat="1" applyFont="1" applyFill="1" applyBorder="1" applyAlignment="1">
      <alignment horizontal="center"/>
    </xf>
    <xf numFmtId="174" fontId="32" fillId="0" borderId="110" xfId="0" applyNumberFormat="1" applyFont="1" applyBorder="1" applyAlignment="1">
      <alignment horizontal="right"/>
    </xf>
    <xf numFmtId="176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70" xfId="0" applyNumberFormat="1" applyFont="1" applyBorder="1" applyAlignment="1">
      <alignment horizontal="right"/>
    </xf>
    <xf numFmtId="176" fontId="32" fillId="0" borderId="70" xfId="0" applyNumberFormat="1" applyFont="1" applyBorder="1" applyAlignment="1">
      <alignment horizontal="right"/>
    </xf>
    <xf numFmtId="174" fontId="32" fillId="0" borderId="80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70" fontId="32" fillId="0" borderId="26" xfId="0" applyNumberFormat="1" applyFont="1" applyFill="1" applyBorder="1"/>
    <xf numFmtId="0" fontId="32" fillId="0" borderId="26" xfId="0" applyFont="1" applyFill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2" fillId="0" borderId="62" xfId="0" applyFont="1" applyFill="1" applyBorder="1"/>
    <xf numFmtId="170" fontId="32" fillId="0" borderId="63" xfId="0" applyNumberFormat="1" applyFont="1" applyFill="1" applyBorder="1"/>
    <xf numFmtId="0" fontId="32" fillId="0" borderId="63" xfId="0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0" fontId="32" fillId="0" borderId="72" xfId="0" applyFont="1" applyFill="1" applyBorder="1"/>
    <xf numFmtId="170" fontId="32" fillId="0" borderId="7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2" fillId="0" borderId="65" xfId="0" applyFont="1" applyFill="1" applyBorder="1"/>
    <xf numFmtId="170" fontId="32" fillId="0" borderId="66" xfId="0" applyNumberFormat="1" applyFont="1" applyFill="1" applyBorder="1"/>
    <xf numFmtId="0" fontId="32" fillId="0" borderId="66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2.3666422427257063E-3</c:v>
                </c:pt>
                <c:pt idx="1">
                  <c:v>1.2083167220576989E-3</c:v>
                </c:pt>
                <c:pt idx="2">
                  <c:v>8.1129831399308773E-4</c:v>
                </c:pt>
                <c:pt idx="3">
                  <c:v>6.1608684134028505E-4</c:v>
                </c:pt>
                <c:pt idx="4">
                  <c:v>4.9291098288424583E-4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8016"/>
        <c:axId val="9040624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64384"/>
        <c:axId val="906434432"/>
      </c:scatterChart>
      <c:catAx>
        <c:axId val="9016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0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062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1638016"/>
        <c:crosses val="autoZero"/>
        <c:crossBetween val="between"/>
      </c:valAx>
      <c:valAx>
        <c:axId val="90406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434432"/>
        <c:crosses val="max"/>
        <c:crossBetween val="midCat"/>
      </c:valAx>
      <c:valAx>
        <c:axId val="906434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406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4" t="s">
        <v>83</v>
      </c>
      <c r="B1" s="254"/>
    </row>
    <row r="2" spans="1:3" ht="14.4" customHeight="1" thickBot="1" x14ac:dyDescent="0.35">
      <c r="A2" s="192" t="s">
        <v>210</v>
      </c>
      <c r="B2" s="41"/>
    </row>
    <row r="3" spans="1:3" ht="14.4" customHeight="1" thickBot="1" x14ac:dyDescent="0.35">
      <c r="A3" s="250" t="s">
        <v>99</v>
      </c>
      <c r="B3" s="25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90</v>
      </c>
      <c r="C4" s="42" t="s">
        <v>91</v>
      </c>
    </row>
    <row r="5" spans="1:3" ht="14.4" customHeight="1" x14ac:dyDescent="0.3">
      <c r="A5" s="115" t="str">
        <f t="shared" si="0"/>
        <v>HI</v>
      </c>
      <c r="B5" s="64" t="s">
        <v>98</v>
      </c>
      <c r="C5" s="42" t="s">
        <v>86</v>
      </c>
    </row>
    <row r="6" spans="1:3" ht="14.4" customHeight="1" x14ac:dyDescent="0.3">
      <c r="A6" s="116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6" t="str">
        <f t="shared" si="0"/>
        <v>Man Tab</v>
      </c>
      <c r="B7" s="65" t="s">
        <v>212</v>
      </c>
      <c r="C7" s="42" t="s">
        <v>88</v>
      </c>
    </row>
    <row r="8" spans="1:3" ht="14.4" customHeight="1" thickBot="1" x14ac:dyDescent="0.35">
      <c r="A8" s="117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52" t="s">
        <v>84</v>
      </c>
      <c r="B10" s="251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81</v>
      </c>
      <c r="C11" s="42" t="s">
        <v>89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3" t="s">
        <v>85</v>
      </c>
      <c r="B13" s="251"/>
    </row>
    <row r="14" spans="1:3" ht="14.4" customHeight="1" x14ac:dyDescent="0.3">
      <c r="A14" s="119" t="str">
        <f t="shared" ref="A14:A17" si="2">HYPERLINK("#'"&amp;C14&amp;"'!A1",C14)</f>
        <v>ZV Vykáz.-A</v>
      </c>
      <c r="B14" s="64" t="s">
        <v>275</v>
      </c>
      <c r="C14" s="42" t="s">
        <v>92</v>
      </c>
    </row>
    <row r="15" spans="1:3" ht="14.4" customHeight="1" x14ac:dyDescent="0.3">
      <c r="A15" s="116" t="str">
        <f t="shared" si="2"/>
        <v>ZV Vykáz.-A Detail</v>
      </c>
      <c r="B15" s="65" t="s">
        <v>280</v>
      </c>
      <c r="C15" s="42" t="s">
        <v>93</v>
      </c>
    </row>
    <row r="16" spans="1:3" ht="14.4" customHeight="1" x14ac:dyDescent="0.3">
      <c r="A16" s="116" t="str">
        <f t="shared" si="2"/>
        <v>ZV Vykáz.-H</v>
      </c>
      <c r="B16" s="65" t="s">
        <v>96</v>
      </c>
      <c r="C16" s="42" t="s">
        <v>94</v>
      </c>
    </row>
    <row r="17" spans="1:3" ht="14.4" customHeight="1" x14ac:dyDescent="0.3">
      <c r="A17" s="116" t="str">
        <f t="shared" si="2"/>
        <v>ZV Vykáz.-H Detail</v>
      </c>
      <c r="B17" s="65" t="s">
        <v>309</v>
      </c>
      <c r="C17" s="42" t="s">
        <v>95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bestFit="1" customWidth="1"/>
    <col min="4" max="4" width="50.88671875" style="102" bestFit="1" customWidth="1"/>
    <col min="5" max="6" width="11.109375" style="176" customWidth="1"/>
    <col min="7" max="8" width="9.33203125" style="102" hidden="1" customWidth="1"/>
    <col min="9" max="10" width="11.109375" style="176" customWidth="1"/>
    <col min="11" max="12" width="9.33203125" style="102" hidden="1" customWidth="1"/>
    <col min="13" max="14" width="11.109375" style="176" customWidth="1"/>
    <col min="15" max="15" width="11.109375" style="177" customWidth="1"/>
    <col min="16" max="16" width="11.109375" style="176" customWidth="1"/>
    <col min="17" max="16384" width="8.88671875" style="102"/>
  </cols>
  <sheetData>
    <row r="1" spans="1:16" ht="18.600000000000001" customHeight="1" thickBot="1" x14ac:dyDescent="0.4">
      <c r="A1" s="254" t="s">
        <v>280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14.4" customHeight="1" thickBot="1" x14ac:dyDescent="0.35">
      <c r="A2" s="192" t="s">
        <v>210</v>
      </c>
      <c r="B2" s="103"/>
      <c r="C2" s="103"/>
      <c r="D2" s="103"/>
      <c r="E2" s="186"/>
      <c r="F2" s="186"/>
      <c r="G2" s="103"/>
      <c r="H2" s="103"/>
      <c r="I2" s="186"/>
      <c r="J2" s="186"/>
      <c r="K2" s="103"/>
      <c r="L2" s="103"/>
      <c r="M2" s="186"/>
      <c r="N2" s="186"/>
      <c r="O2" s="187"/>
      <c r="P2" s="186"/>
    </row>
    <row r="3" spans="1:16" ht="14.4" customHeight="1" thickBot="1" x14ac:dyDescent="0.35">
      <c r="D3" s="62" t="s">
        <v>97</v>
      </c>
      <c r="E3" s="74">
        <f t="shared" ref="E3:N3" si="0">SUBTOTAL(9,E6:E1048576)</f>
        <v>0</v>
      </c>
      <c r="F3" s="75">
        <f t="shared" si="0"/>
        <v>0</v>
      </c>
      <c r="G3" s="57"/>
      <c r="H3" s="57"/>
      <c r="I3" s="75">
        <f t="shared" si="0"/>
        <v>1</v>
      </c>
      <c r="J3" s="75">
        <f t="shared" si="0"/>
        <v>327</v>
      </c>
      <c r="K3" s="57"/>
      <c r="L3" s="57"/>
      <c r="M3" s="75">
        <f t="shared" si="0"/>
        <v>1</v>
      </c>
      <c r="N3" s="75">
        <f t="shared" si="0"/>
        <v>327</v>
      </c>
      <c r="O3" s="58">
        <f>IF(F3=0,0,N3/F3)</f>
        <v>0</v>
      </c>
      <c r="P3" s="76">
        <f>IF(M3=0,0,N3/M3)</f>
        <v>327</v>
      </c>
    </row>
    <row r="4" spans="1:16" ht="14.4" customHeight="1" x14ac:dyDescent="0.3">
      <c r="A4" s="288" t="s">
        <v>69</v>
      </c>
      <c r="B4" s="289" t="s">
        <v>70</v>
      </c>
      <c r="C4" s="290" t="s">
        <v>71</v>
      </c>
      <c r="D4" s="291" t="s">
        <v>45</v>
      </c>
      <c r="E4" s="292">
        <v>2012</v>
      </c>
      <c r="F4" s="293"/>
      <c r="G4" s="73"/>
      <c r="H4" s="73"/>
      <c r="I4" s="292">
        <v>2013</v>
      </c>
      <c r="J4" s="293"/>
      <c r="K4" s="73"/>
      <c r="L4" s="73"/>
      <c r="M4" s="292">
        <v>2014</v>
      </c>
      <c r="N4" s="293"/>
      <c r="O4" s="294" t="s">
        <v>0</v>
      </c>
      <c r="P4" s="287" t="s">
        <v>72</v>
      </c>
    </row>
    <row r="5" spans="1:16" ht="14.4" customHeight="1" thickBot="1" x14ac:dyDescent="0.35">
      <c r="A5" s="366"/>
      <c r="B5" s="367"/>
      <c r="C5" s="368"/>
      <c r="D5" s="369"/>
      <c r="E5" s="370" t="s">
        <v>46</v>
      </c>
      <c r="F5" s="371" t="s">
        <v>3</v>
      </c>
      <c r="G5" s="372"/>
      <c r="H5" s="372"/>
      <c r="I5" s="370" t="s">
        <v>46</v>
      </c>
      <c r="J5" s="371" t="s">
        <v>3</v>
      </c>
      <c r="K5" s="372"/>
      <c r="L5" s="372"/>
      <c r="M5" s="370" t="s">
        <v>46</v>
      </c>
      <c r="N5" s="371" t="s">
        <v>3</v>
      </c>
      <c r="O5" s="373"/>
      <c r="P5" s="374"/>
    </row>
    <row r="6" spans="1:16" ht="14.4" customHeight="1" thickBot="1" x14ac:dyDescent="0.35">
      <c r="A6" s="358" t="s">
        <v>276</v>
      </c>
      <c r="B6" s="360" t="s">
        <v>277</v>
      </c>
      <c r="C6" s="360" t="s">
        <v>278</v>
      </c>
      <c r="D6" s="360" t="s">
        <v>279</v>
      </c>
      <c r="E6" s="375"/>
      <c r="F6" s="375"/>
      <c r="G6" s="360"/>
      <c r="H6" s="360"/>
      <c r="I6" s="375">
        <v>1</v>
      </c>
      <c r="J6" s="375">
        <v>327</v>
      </c>
      <c r="K6" s="360"/>
      <c r="L6" s="360">
        <v>327</v>
      </c>
      <c r="M6" s="375">
        <v>1</v>
      </c>
      <c r="N6" s="375">
        <v>327</v>
      </c>
      <c r="O6" s="361"/>
      <c r="P6" s="376">
        <v>327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63" t="s">
        <v>96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</row>
    <row r="2" spans="1:19" ht="14.4" customHeight="1" thickBot="1" x14ac:dyDescent="0.35">
      <c r="A2" s="192" t="s">
        <v>210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" customHeight="1" thickBot="1" x14ac:dyDescent="0.35">
      <c r="A3" s="178" t="s">
        <v>97</v>
      </c>
      <c r="B3" s="179">
        <f>SUBTOTAL(9,B6:B1048576)</f>
        <v>25424</v>
      </c>
      <c r="C3" s="180">
        <f t="shared" ref="C3:R3" si="0">SUBTOTAL(9,C6:C1048576)</f>
        <v>8</v>
      </c>
      <c r="D3" s="180">
        <f t="shared" si="0"/>
        <v>19781</v>
      </c>
      <c r="E3" s="180">
        <f t="shared" si="0"/>
        <v>4.3496947786364961</v>
      </c>
      <c r="F3" s="180">
        <f t="shared" si="0"/>
        <v>17418</v>
      </c>
      <c r="G3" s="183">
        <f>IF(B3&lt;&gt;0,F3/B3,"")</f>
        <v>0.68510069225928261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IF(H3&lt;&gt;0,L3/H3,"")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83" t="s">
        <v>80</v>
      </c>
      <c r="B4" s="284" t="s">
        <v>74</v>
      </c>
      <c r="C4" s="285"/>
      <c r="D4" s="285"/>
      <c r="E4" s="285"/>
      <c r="F4" s="285"/>
      <c r="G4" s="286"/>
      <c r="H4" s="284" t="s">
        <v>75</v>
      </c>
      <c r="I4" s="285"/>
      <c r="J4" s="285"/>
      <c r="K4" s="285"/>
      <c r="L4" s="285"/>
      <c r="M4" s="286"/>
      <c r="N4" s="284" t="s">
        <v>76</v>
      </c>
      <c r="O4" s="285"/>
      <c r="P4" s="285"/>
      <c r="Q4" s="285"/>
      <c r="R4" s="285"/>
      <c r="S4" s="286"/>
    </row>
    <row r="5" spans="1:19" ht="14.4" customHeight="1" thickBot="1" x14ac:dyDescent="0.35">
      <c r="A5" s="354"/>
      <c r="B5" s="355">
        <v>2012</v>
      </c>
      <c r="C5" s="356"/>
      <c r="D5" s="356">
        <v>2013</v>
      </c>
      <c r="E5" s="356"/>
      <c r="F5" s="356">
        <v>2014</v>
      </c>
      <c r="G5" s="357" t="s">
        <v>0</v>
      </c>
      <c r="H5" s="355">
        <v>2012</v>
      </c>
      <c r="I5" s="356"/>
      <c r="J5" s="356">
        <v>2013</v>
      </c>
      <c r="K5" s="356"/>
      <c r="L5" s="356">
        <v>2014</v>
      </c>
      <c r="M5" s="357" t="s">
        <v>0</v>
      </c>
      <c r="N5" s="355">
        <v>2012</v>
      </c>
      <c r="O5" s="356"/>
      <c r="P5" s="356">
        <v>2013</v>
      </c>
      <c r="Q5" s="356"/>
      <c r="R5" s="356">
        <v>2014</v>
      </c>
      <c r="S5" s="357" t="s">
        <v>0</v>
      </c>
    </row>
    <row r="6" spans="1:19" ht="14.4" customHeight="1" x14ac:dyDescent="0.3">
      <c r="A6" s="392" t="s">
        <v>281</v>
      </c>
      <c r="B6" s="378">
        <v>978</v>
      </c>
      <c r="C6" s="379">
        <v>1</v>
      </c>
      <c r="D6" s="378">
        <v>2452</v>
      </c>
      <c r="E6" s="379">
        <v>2.5071574642126788</v>
      </c>
      <c r="F6" s="378"/>
      <c r="G6" s="380"/>
      <c r="H6" s="378"/>
      <c r="I6" s="379"/>
      <c r="J6" s="378"/>
      <c r="K6" s="379"/>
      <c r="L6" s="378"/>
      <c r="M6" s="380"/>
      <c r="N6" s="378"/>
      <c r="O6" s="379"/>
      <c r="P6" s="378"/>
      <c r="Q6" s="379"/>
      <c r="R6" s="378"/>
      <c r="S6" s="381"/>
    </row>
    <row r="7" spans="1:19" ht="14.4" customHeight="1" x14ac:dyDescent="0.3">
      <c r="A7" s="393" t="s">
        <v>282</v>
      </c>
      <c r="B7" s="383">
        <v>17600</v>
      </c>
      <c r="C7" s="384">
        <v>1</v>
      </c>
      <c r="D7" s="383">
        <v>15204</v>
      </c>
      <c r="E7" s="384">
        <v>0.86386363636363639</v>
      </c>
      <c r="F7" s="383">
        <v>9855</v>
      </c>
      <c r="G7" s="385">
        <v>0.55994318181818181</v>
      </c>
      <c r="H7" s="383"/>
      <c r="I7" s="384"/>
      <c r="J7" s="383"/>
      <c r="K7" s="384"/>
      <c r="L7" s="383"/>
      <c r="M7" s="385"/>
      <c r="N7" s="383"/>
      <c r="O7" s="384"/>
      <c r="P7" s="383"/>
      <c r="Q7" s="384"/>
      <c r="R7" s="383"/>
      <c r="S7" s="386"/>
    </row>
    <row r="8" spans="1:19" ht="14.4" customHeight="1" x14ac:dyDescent="0.3">
      <c r="A8" s="393" t="s">
        <v>283</v>
      </c>
      <c r="B8" s="383">
        <v>978</v>
      </c>
      <c r="C8" s="384">
        <v>1</v>
      </c>
      <c r="D8" s="383">
        <v>817</v>
      </c>
      <c r="E8" s="384">
        <v>0.83537832310838445</v>
      </c>
      <c r="F8" s="383">
        <v>2801</v>
      </c>
      <c r="G8" s="385">
        <v>2.8640081799591002</v>
      </c>
      <c r="H8" s="383"/>
      <c r="I8" s="384"/>
      <c r="J8" s="383"/>
      <c r="K8" s="384"/>
      <c r="L8" s="383"/>
      <c r="M8" s="385"/>
      <c r="N8" s="383"/>
      <c r="O8" s="384"/>
      <c r="P8" s="383"/>
      <c r="Q8" s="384"/>
      <c r="R8" s="383"/>
      <c r="S8" s="386"/>
    </row>
    <row r="9" spans="1:19" ht="14.4" customHeight="1" x14ac:dyDescent="0.3">
      <c r="A9" s="393" t="s">
        <v>284</v>
      </c>
      <c r="B9" s="383">
        <v>326</v>
      </c>
      <c r="C9" s="384">
        <v>1</v>
      </c>
      <c r="D9" s="383"/>
      <c r="E9" s="384"/>
      <c r="F9" s="383"/>
      <c r="G9" s="385"/>
      <c r="H9" s="383"/>
      <c r="I9" s="384"/>
      <c r="J9" s="383"/>
      <c r="K9" s="384"/>
      <c r="L9" s="383"/>
      <c r="M9" s="385"/>
      <c r="N9" s="383"/>
      <c r="O9" s="384"/>
      <c r="P9" s="383"/>
      <c r="Q9" s="384"/>
      <c r="R9" s="383"/>
      <c r="S9" s="386"/>
    </row>
    <row r="10" spans="1:19" ht="14.4" customHeight="1" x14ac:dyDescent="0.3">
      <c r="A10" s="393" t="s">
        <v>285</v>
      </c>
      <c r="B10" s="383"/>
      <c r="C10" s="384"/>
      <c r="D10" s="383">
        <v>327</v>
      </c>
      <c r="E10" s="384"/>
      <c r="F10" s="383">
        <v>660</v>
      </c>
      <c r="G10" s="385"/>
      <c r="H10" s="383"/>
      <c r="I10" s="384"/>
      <c r="J10" s="383"/>
      <c r="K10" s="384"/>
      <c r="L10" s="383"/>
      <c r="M10" s="385"/>
      <c r="N10" s="383"/>
      <c r="O10" s="384"/>
      <c r="P10" s="383"/>
      <c r="Q10" s="384"/>
      <c r="R10" s="383"/>
      <c r="S10" s="386"/>
    </row>
    <row r="11" spans="1:19" ht="14.4" customHeight="1" x14ac:dyDescent="0.3">
      <c r="A11" s="393" t="s">
        <v>286</v>
      </c>
      <c r="B11" s="383">
        <v>326</v>
      </c>
      <c r="C11" s="384">
        <v>1</v>
      </c>
      <c r="D11" s="383"/>
      <c r="E11" s="384"/>
      <c r="F11" s="383"/>
      <c r="G11" s="385"/>
      <c r="H11" s="383"/>
      <c r="I11" s="384"/>
      <c r="J11" s="383"/>
      <c r="K11" s="384"/>
      <c r="L11" s="383"/>
      <c r="M11" s="385"/>
      <c r="N11" s="383"/>
      <c r="O11" s="384"/>
      <c r="P11" s="383"/>
      <c r="Q11" s="384"/>
      <c r="R11" s="383"/>
      <c r="S11" s="386"/>
    </row>
    <row r="12" spans="1:19" ht="14.4" customHeight="1" x14ac:dyDescent="0.3">
      <c r="A12" s="393" t="s">
        <v>287</v>
      </c>
      <c r="B12" s="383">
        <v>326</v>
      </c>
      <c r="C12" s="384">
        <v>1</v>
      </c>
      <c r="D12" s="383"/>
      <c r="E12" s="384"/>
      <c r="F12" s="383"/>
      <c r="G12" s="385"/>
      <c r="H12" s="383"/>
      <c r="I12" s="384"/>
      <c r="J12" s="383"/>
      <c r="K12" s="384"/>
      <c r="L12" s="383"/>
      <c r="M12" s="385"/>
      <c r="N12" s="383"/>
      <c r="O12" s="384"/>
      <c r="P12" s="383"/>
      <c r="Q12" s="384"/>
      <c r="R12" s="383"/>
      <c r="S12" s="386"/>
    </row>
    <row r="13" spans="1:19" ht="14.4" customHeight="1" x14ac:dyDescent="0.3">
      <c r="A13" s="393" t="s">
        <v>288</v>
      </c>
      <c r="B13" s="383"/>
      <c r="C13" s="384"/>
      <c r="D13" s="383">
        <v>327</v>
      </c>
      <c r="E13" s="384"/>
      <c r="F13" s="383">
        <v>490</v>
      </c>
      <c r="G13" s="385"/>
      <c r="H13" s="383"/>
      <c r="I13" s="384"/>
      <c r="J13" s="383"/>
      <c r="K13" s="384"/>
      <c r="L13" s="383"/>
      <c r="M13" s="385"/>
      <c r="N13" s="383"/>
      <c r="O13" s="384"/>
      <c r="P13" s="383"/>
      <c r="Q13" s="384"/>
      <c r="R13" s="383"/>
      <c r="S13" s="386"/>
    </row>
    <row r="14" spans="1:19" ht="14.4" customHeight="1" x14ac:dyDescent="0.3">
      <c r="A14" s="393" t="s">
        <v>289</v>
      </c>
      <c r="B14" s="383"/>
      <c r="C14" s="384"/>
      <c r="D14" s="383"/>
      <c r="E14" s="384"/>
      <c r="F14" s="383">
        <v>660</v>
      </c>
      <c r="G14" s="385"/>
      <c r="H14" s="383"/>
      <c r="I14" s="384"/>
      <c r="J14" s="383"/>
      <c r="K14" s="384"/>
      <c r="L14" s="383"/>
      <c r="M14" s="385"/>
      <c r="N14" s="383"/>
      <c r="O14" s="384"/>
      <c r="P14" s="383"/>
      <c r="Q14" s="384"/>
      <c r="R14" s="383"/>
      <c r="S14" s="386"/>
    </row>
    <row r="15" spans="1:19" ht="14.4" customHeight="1" x14ac:dyDescent="0.3">
      <c r="A15" s="393" t="s">
        <v>290</v>
      </c>
      <c r="B15" s="383"/>
      <c r="C15" s="384"/>
      <c r="D15" s="383"/>
      <c r="E15" s="384"/>
      <c r="F15" s="383">
        <v>327</v>
      </c>
      <c r="G15" s="385"/>
      <c r="H15" s="383"/>
      <c r="I15" s="384"/>
      <c r="J15" s="383"/>
      <c r="K15" s="384"/>
      <c r="L15" s="383"/>
      <c r="M15" s="385"/>
      <c r="N15" s="383"/>
      <c r="O15" s="384"/>
      <c r="P15" s="383"/>
      <c r="Q15" s="384"/>
      <c r="R15" s="383"/>
      <c r="S15" s="386"/>
    </row>
    <row r="16" spans="1:19" ht="14.4" customHeight="1" x14ac:dyDescent="0.3">
      <c r="A16" s="393" t="s">
        <v>291</v>
      </c>
      <c r="B16" s="383">
        <v>4564</v>
      </c>
      <c r="C16" s="384">
        <v>1</v>
      </c>
      <c r="D16" s="383">
        <v>654</v>
      </c>
      <c r="E16" s="384">
        <v>0.14329535495179668</v>
      </c>
      <c r="F16" s="383">
        <v>1968</v>
      </c>
      <c r="G16" s="385">
        <v>0.43120070113935144</v>
      </c>
      <c r="H16" s="383"/>
      <c r="I16" s="384"/>
      <c r="J16" s="383"/>
      <c r="K16" s="384"/>
      <c r="L16" s="383"/>
      <c r="M16" s="385"/>
      <c r="N16" s="383"/>
      <c r="O16" s="384"/>
      <c r="P16" s="383"/>
      <c r="Q16" s="384"/>
      <c r="R16" s="383"/>
      <c r="S16" s="386"/>
    </row>
    <row r="17" spans="1:19" ht="14.4" customHeight="1" x14ac:dyDescent="0.3">
      <c r="A17" s="393" t="s">
        <v>292</v>
      </c>
      <c r="B17" s="383"/>
      <c r="C17" s="384"/>
      <c r="D17" s="383"/>
      <c r="E17" s="384"/>
      <c r="F17" s="383">
        <v>330</v>
      </c>
      <c r="G17" s="385"/>
      <c r="H17" s="383"/>
      <c r="I17" s="384"/>
      <c r="J17" s="383"/>
      <c r="K17" s="384"/>
      <c r="L17" s="383"/>
      <c r="M17" s="385"/>
      <c r="N17" s="383"/>
      <c r="O17" s="384"/>
      <c r="P17" s="383"/>
      <c r="Q17" s="384"/>
      <c r="R17" s="383"/>
      <c r="S17" s="386"/>
    </row>
    <row r="18" spans="1:19" ht="14.4" customHeight="1" thickBot="1" x14ac:dyDescent="0.35">
      <c r="A18" s="394" t="s">
        <v>293</v>
      </c>
      <c r="B18" s="388">
        <v>326</v>
      </c>
      <c r="C18" s="389">
        <v>1</v>
      </c>
      <c r="D18" s="388"/>
      <c r="E18" s="389"/>
      <c r="F18" s="388">
        <v>327</v>
      </c>
      <c r="G18" s="390">
        <v>1.0030674846625767</v>
      </c>
      <c r="H18" s="388"/>
      <c r="I18" s="389"/>
      <c r="J18" s="388"/>
      <c r="K18" s="389"/>
      <c r="L18" s="388"/>
      <c r="M18" s="390"/>
      <c r="N18" s="388"/>
      <c r="O18" s="389"/>
      <c r="P18" s="388"/>
      <c r="Q18" s="389"/>
      <c r="R18" s="388"/>
      <c r="S18" s="39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7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54" t="s">
        <v>309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ht="14.4" customHeight="1" thickBot="1" x14ac:dyDescent="0.35">
      <c r="A2" s="192" t="s">
        <v>210</v>
      </c>
      <c r="B2" s="103"/>
      <c r="C2" s="103"/>
      <c r="D2" s="103"/>
      <c r="E2" s="103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" customHeight="1" thickBot="1" x14ac:dyDescent="0.35">
      <c r="E3" s="62" t="s">
        <v>97</v>
      </c>
      <c r="F3" s="74">
        <f t="shared" ref="F3:O3" si="0">SUBTOTAL(9,F6:F1048576)</f>
        <v>80</v>
      </c>
      <c r="G3" s="75">
        <f t="shared" si="0"/>
        <v>25424</v>
      </c>
      <c r="H3" s="75"/>
      <c r="I3" s="75"/>
      <c r="J3" s="75">
        <f t="shared" si="0"/>
        <v>63</v>
      </c>
      <c r="K3" s="75">
        <f t="shared" si="0"/>
        <v>19781</v>
      </c>
      <c r="L3" s="75"/>
      <c r="M3" s="75"/>
      <c r="N3" s="75">
        <f t="shared" si="0"/>
        <v>57</v>
      </c>
      <c r="O3" s="75">
        <f t="shared" si="0"/>
        <v>17418</v>
      </c>
      <c r="P3" s="58">
        <f>IF(G3=0,0,O3/G3)</f>
        <v>0.68510069225928261</v>
      </c>
      <c r="Q3" s="76">
        <f>IF(N3=0,0,O3/N3)</f>
        <v>305.57894736842104</v>
      </c>
    </row>
    <row r="4" spans="1:17" ht="14.4" customHeight="1" x14ac:dyDescent="0.3">
      <c r="A4" s="289" t="s">
        <v>44</v>
      </c>
      <c r="B4" s="288" t="s">
        <v>69</v>
      </c>
      <c r="C4" s="289" t="s">
        <v>70</v>
      </c>
      <c r="D4" s="290" t="s">
        <v>71</v>
      </c>
      <c r="E4" s="291" t="s">
        <v>45</v>
      </c>
      <c r="F4" s="295">
        <v>2012</v>
      </c>
      <c r="G4" s="296"/>
      <c r="H4" s="77"/>
      <c r="I4" s="77"/>
      <c r="J4" s="295">
        <v>2013</v>
      </c>
      <c r="K4" s="296"/>
      <c r="L4" s="77"/>
      <c r="M4" s="77"/>
      <c r="N4" s="295">
        <v>2014</v>
      </c>
      <c r="O4" s="296"/>
      <c r="P4" s="297" t="s">
        <v>0</v>
      </c>
      <c r="Q4" s="287" t="s">
        <v>72</v>
      </c>
    </row>
    <row r="5" spans="1:17" ht="14.4" customHeight="1" thickBot="1" x14ac:dyDescent="0.35">
      <c r="A5" s="367"/>
      <c r="B5" s="366"/>
      <c r="C5" s="367"/>
      <c r="D5" s="368"/>
      <c r="E5" s="369"/>
      <c r="F5" s="395" t="s">
        <v>46</v>
      </c>
      <c r="G5" s="396" t="s">
        <v>3</v>
      </c>
      <c r="H5" s="397"/>
      <c r="I5" s="397"/>
      <c r="J5" s="395" t="s">
        <v>46</v>
      </c>
      <c r="K5" s="396" t="s">
        <v>3</v>
      </c>
      <c r="L5" s="397"/>
      <c r="M5" s="397"/>
      <c r="N5" s="395" t="s">
        <v>46</v>
      </c>
      <c r="O5" s="396" t="s">
        <v>3</v>
      </c>
      <c r="P5" s="398"/>
      <c r="Q5" s="374"/>
    </row>
    <row r="6" spans="1:17" ht="14.4" customHeight="1" x14ac:dyDescent="0.3">
      <c r="A6" s="377" t="s">
        <v>294</v>
      </c>
      <c r="B6" s="379" t="s">
        <v>276</v>
      </c>
      <c r="C6" s="379" t="s">
        <v>277</v>
      </c>
      <c r="D6" s="379" t="s">
        <v>278</v>
      </c>
      <c r="E6" s="379" t="s">
        <v>279</v>
      </c>
      <c r="F6" s="399">
        <v>3</v>
      </c>
      <c r="G6" s="399">
        <v>978</v>
      </c>
      <c r="H6" s="399">
        <v>1</v>
      </c>
      <c r="I6" s="399">
        <v>326</v>
      </c>
      <c r="J6" s="399">
        <v>7</v>
      </c>
      <c r="K6" s="399">
        <v>2289</v>
      </c>
      <c r="L6" s="399">
        <v>2.3404907975460123</v>
      </c>
      <c r="M6" s="399">
        <v>327</v>
      </c>
      <c r="N6" s="399"/>
      <c r="O6" s="399"/>
      <c r="P6" s="380"/>
      <c r="Q6" s="400"/>
    </row>
    <row r="7" spans="1:17" ht="14.4" customHeight="1" x14ac:dyDescent="0.3">
      <c r="A7" s="382" t="s">
        <v>294</v>
      </c>
      <c r="B7" s="384" t="s">
        <v>276</v>
      </c>
      <c r="C7" s="384" t="s">
        <v>277</v>
      </c>
      <c r="D7" s="384" t="s">
        <v>295</v>
      </c>
      <c r="E7" s="384" t="s">
        <v>296</v>
      </c>
      <c r="F7" s="401"/>
      <c r="G7" s="401"/>
      <c r="H7" s="401"/>
      <c r="I7" s="401"/>
      <c r="J7" s="401">
        <v>1</v>
      </c>
      <c r="K7" s="401">
        <v>163</v>
      </c>
      <c r="L7" s="401"/>
      <c r="M7" s="401">
        <v>163</v>
      </c>
      <c r="N7" s="401"/>
      <c r="O7" s="401"/>
      <c r="P7" s="385"/>
      <c r="Q7" s="402"/>
    </row>
    <row r="8" spans="1:17" ht="14.4" customHeight="1" x14ac:dyDescent="0.3">
      <c r="A8" s="382" t="s">
        <v>297</v>
      </c>
      <c r="B8" s="384" t="s">
        <v>276</v>
      </c>
      <c r="C8" s="384" t="s">
        <v>277</v>
      </c>
      <c r="D8" s="384" t="s">
        <v>278</v>
      </c>
      <c r="E8" s="384" t="s">
        <v>279</v>
      </c>
      <c r="F8" s="401">
        <v>52</v>
      </c>
      <c r="G8" s="401">
        <v>16952</v>
      </c>
      <c r="H8" s="401">
        <v>1</v>
      </c>
      <c r="I8" s="401">
        <v>326</v>
      </c>
      <c r="J8" s="401">
        <v>45</v>
      </c>
      <c r="K8" s="401">
        <v>14715</v>
      </c>
      <c r="L8" s="401">
        <v>0.86803916941953752</v>
      </c>
      <c r="M8" s="401">
        <v>327</v>
      </c>
      <c r="N8" s="401">
        <v>27</v>
      </c>
      <c r="O8" s="401">
        <v>8874</v>
      </c>
      <c r="P8" s="385">
        <v>0.52347805568664463</v>
      </c>
      <c r="Q8" s="402">
        <v>328.66666666666669</v>
      </c>
    </row>
    <row r="9" spans="1:17" ht="14.4" customHeight="1" x14ac:dyDescent="0.3">
      <c r="A9" s="382" t="s">
        <v>297</v>
      </c>
      <c r="B9" s="384" t="s">
        <v>276</v>
      </c>
      <c r="C9" s="384" t="s">
        <v>277</v>
      </c>
      <c r="D9" s="384" t="s">
        <v>295</v>
      </c>
      <c r="E9" s="384" t="s">
        <v>296</v>
      </c>
      <c r="F9" s="401">
        <v>4</v>
      </c>
      <c r="G9" s="401">
        <v>648</v>
      </c>
      <c r="H9" s="401">
        <v>1</v>
      </c>
      <c r="I9" s="401">
        <v>162</v>
      </c>
      <c r="J9" s="401">
        <v>3</v>
      </c>
      <c r="K9" s="401">
        <v>489</v>
      </c>
      <c r="L9" s="401">
        <v>0.75462962962962965</v>
      </c>
      <c r="M9" s="401">
        <v>163</v>
      </c>
      <c r="N9" s="401">
        <v>6</v>
      </c>
      <c r="O9" s="401">
        <v>981</v>
      </c>
      <c r="P9" s="385">
        <v>1.5138888888888888</v>
      </c>
      <c r="Q9" s="402">
        <v>163.5</v>
      </c>
    </row>
    <row r="10" spans="1:17" ht="14.4" customHeight="1" x14ac:dyDescent="0.3">
      <c r="A10" s="382" t="s">
        <v>298</v>
      </c>
      <c r="B10" s="384" t="s">
        <v>276</v>
      </c>
      <c r="C10" s="384" t="s">
        <v>277</v>
      </c>
      <c r="D10" s="384" t="s">
        <v>278</v>
      </c>
      <c r="E10" s="384" t="s">
        <v>279</v>
      </c>
      <c r="F10" s="401">
        <v>3</v>
      </c>
      <c r="G10" s="401">
        <v>978</v>
      </c>
      <c r="H10" s="401">
        <v>1</v>
      </c>
      <c r="I10" s="401">
        <v>326</v>
      </c>
      <c r="J10" s="401">
        <v>2</v>
      </c>
      <c r="K10" s="401">
        <v>654</v>
      </c>
      <c r="L10" s="401">
        <v>0.66871165644171782</v>
      </c>
      <c r="M10" s="401">
        <v>327</v>
      </c>
      <c r="N10" s="401">
        <v>8</v>
      </c>
      <c r="O10" s="401">
        <v>2637</v>
      </c>
      <c r="P10" s="385">
        <v>2.6963190184049082</v>
      </c>
      <c r="Q10" s="402">
        <v>329.625</v>
      </c>
    </row>
    <row r="11" spans="1:17" ht="14.4" customHeight="1" x14ac:dyDescent="0.3">
      <c r="A11" s="382" t="s">
        <v>298</v>
      </c>
      <c r="B11" s="384" t="s">
        <v>276</v>
      </c>
      <c r="C11" s="384" t="s">
        <v>277</v>
      </c>
      <c r="D11" s="384" t="s">
        <v>295</v>
      </c>
      <c r="E11" s="384" t="s">
        <v>296</v>
      </c>
      <c r="F11" s="401"/>
      <c r="G11" s="401"/>
      <c r="H11" s="401"/>
      <c r="I11" s="401"/>
      <c r="J11" s="401">
        <v>1</v>
      </c>
      <c r="K11" s="401">
        <v>163</v>
      </c>
      <c r="L11" s="401"/>
      <c r="M11" s="401">
        <v>163</v>
      </c>
      <c r="N11" s="401">
        <v>1</v>
      </c>
      <c r="O11" s="401">
        <v>164</v>
      </c>
      <c r="P11" s="385"/>
      <c r="Q11" s="402">
        <v>164</v>
      </c>
    </row>
    <row r="12" spans="1:17" ht="14.4" customHeight="1" x14ac:dyDescent="0.3">
      <c r="A12" s="382" t="s">
        <v>299</v>
      </c>
      <c r="B12" s="384" t="s">
        <v>276</v>
      </c>
      <c r="C12" s="384" t="s">
        <v>277</v>
      </c>
      <c r="D12" s="384" t="s">
        <v>278</v>
      </c>
      <c r="E12" s="384" t="s">
        <v>279</v>
      </c>
      <c r="F12" s="401">
        <v>1</v>
      </c>
      <c r="G12" s="401">
        <v>326</v>
      </c>
      <c r="H12" s="401">
        <v>1</v>
      </c>
      <c r="I12" s="401">
        <v>326</v>
      </c>
      <c r="J12" s="401"/>
      <c r="K12" s="401"/>
      <c r="L12" s="401"/>
      <c r="M12" s="401"/>
      <c r="N12" s="401"/>
      <c r="O12" s="401"/>
      <c r="P12" s="385"/>
      <c r="Q12" s="402"/>
    </row>
    <row r="13" spans="1:17" ht="14.4" customHeight="1" x14ac:dyDescent="0.3">
      <c r="A13" s="382" t="s">
        <v>300</v>
      </c>
      <c r="B13" s="384" t="s">
        <v>276</v>
      </c>
      <c r="C13" s="384" t="s">
        <v>277</v>
      </c>
      <c r="D13" s="384" t="s">
        <v>278</v>
      </c>
      <c r="E13" s="384" t="s">
        <v>279</v>
      </c>
      <c r="F13" s="401"/>
      <c r="G13" s="401"/>
      <c r="H13" s="401"/>
      <c r="I13" s="401"/>
      <c r="J13" s="401">
        <v>1</v>
      </c>
      <c r="K13" s="401">
        <v>327</v>
      </c>
      <c r="L13" s="401"/>
      <c r="M13" s="401">
        <v>327</v>
      </c>
      <c r="N13" s="401">
        <v>2</v>
      </c>
      <c r="O13" s="401">
        <v>660</v>
      </c>
      <c r="P13" s="385"/>
      <c r="Q13" s="402">
        <v>330</v>
      </c>
    </row>
    <row r="14" spans="1:17" ht="14.4" customHeight="1" x14ac:dyDescent="0.3">
      <c r="A14" s="382" t="s">
        <v>301</v>
      </c>
      <c r="B14" s="384" t="s">
        <v>276</v>
      </c>
      <c r="C14" s="384" t="s">
        <v>277</v>
      </c>
      <c r="D14" s="384" t="s">
        <v>278</v>
      </c>
      <c r="E14" s="384" t="s">
        <v>279</v>
      </c>
      <c r="F14" s="401">
        <v>1</v>
      </c>
      <c r="G14" s="401">
        <v>326</v>
      </c>
      <c r="H14" s="401">
        <v>1</v>
      </c>
      <c r="I14" s="401">
        <v>326</v>
      </c>
      <c r="J14" s="401"/>
      <c r="K14" s="401"/>
      <c r="L14" s="401"/>
      <c r="M14" s="401"/>
      <c r="N14" s="401"/>
      <c r="O14" s="401"/>
      <c r="P14" s="385"/>
      <c r="Q14" s="402"/>
    </row>
    <row r="15" spans="1:17" ht="14.4" customHeight="1" x14ac:dyDescent="0.3">
      <c r="A15" s="382" t="s">
        <v>302</v>
      </c>
      <c r="B15" s="384" t="s">
        <v>276</v>
      </c>
      <c r="C15" s="384" t="s">
        <v>277</v>
      </c>
      <c r="D15" s="384" t="s">
        <v>278</v>
      </c>
      <c r="E15" s="384" t="s">
        <v>279</v>
      </c>
      <c r="F15" s="401">
        <v>1</v>
      </c>
      <c r="G15" s="401">
        <v>326</v>
      </c>
      <c r="H15" s="401">
        <v>1</v>
      </c>
      <c r="I15" s="401">
        <v>326</v>
      </c>
      <c r="J15" s="401"/>
      <c r="K15" s="401"/>
      <c r="L15" s="401"/>
      <c r="M15" s="401"/>
      <c r="N15" s="401"/>
      <c r="O15" s="401"/>
      <c r="P15" s="385"/>
      <c r="Q15" s="402"/>
    </row>
    <row r="16" spans="1:17" ht="14.4" customHeight="1" x14ac:dyDescent="0.3">
      <c r="A16" s="382" t="s">
        <v>303</v>
      </c>
      <c r="B16" s="384" t="s">
        <v>276</v>
      </c>
      <c r="C16" s="384" t="s">
        <v>277</v>
      </c>
      <c r="D16" s="384" t="s">
        <v>278</v>
      </c>
      <c r="E16" s="384" t="s">
        <v>279</v>
      </c>
      <c r="F16" s="401"/>
      <c r="G16" s="401"/>
      <c r="H16" s="401"/>
      <c r="I16" s="401"/>
      <c r="J16" s="401">
        <v>1</v>
      </c>
      <c r="K16" s="401">
        <v>327</v>
      </c>
      <c r="L16" s="401"/>
      <c r="M16" s="401">
        <v>327</v>
      </c>
      <c r="N16" s="401">
        <v>1</v>
      </c>
      <c r="O16" s="401">
        <v>327</v>
      </c>
      <c r="P16" s="385"/>
      <c r="Q16" s="402">
        <v>327</v>
      </c>
    </row>
    <row r="17" spans="1:17" ht="14.4" customHeight="1" x14ac:dyDescent="0.3">
      <c r="A17" s="382" t="s">
        <v>303</v>
      </c>
      <c r="B17" s="384" t="s">
        <v>276</v>
      </c>
      <c r="C17" s="384" t="s">
        <v>277</v>
      </c>
      <c r="D17" s="384" t="s">
        <v>295</v>
      </c>
      <c r="E17" s="384" t="s">
        <v>296</v>
      </c>
      <c r="F17" s="401"/>
      <c r="G17" s="401"/>
      <c r="H17" s="401"/>
      <c r="I17" s="401"/>
      <c r="J17" s="401"/>
      <c r="K17" s="401"/>
      <c r="L17" s="401"/>
      <c r="M17" s="401"/>
      <c r="N17" s="401">
        <v>1</v>
      </c>
      <c r="O17" s="401">
        <v>163</v>
      </c>
      <c r="P17" s="385"/>
      <c r="Q17" s="402">
        <v>163</v>
      </c>
    </row>
    <row r="18" spans="1:17" ht="14.4" customHeight="1" x14ac:dyDescent="0.3">
      <c r="A18" s="382" t="s">
        <v>304</v>
      </c>
      <c r="B18" s="384" t="s">
        <v>276</v>
      </c>
      <c r="C18" s="384" t="s">
        <v>277</v>
      </c>
      <c r="D18" s="384" t="s">
        <v>278</v>
      </c>
      <c r="E18" s="384" t="s">
        <v>279</v>
      </c>
      <c r="F18" s="401"/>
      <c r="G18" s="401"/>
      <c r="H18" s="401"/>
      <c r="I18" s="401"/>
      <c r="J18" s="401"/>
      <c r="K18" s="401"/>
      <c r="L18" s="401"/>
      <c r="M18" s="401"/>
      <c r="N18" s="401">
        <v>2</v>
      </c>
      <c r="O18" s="401">
        <v>660</v>
      </c>
      <c r="P18" s="385"/>
      <c r="Q18" s="402">
        <v>330</v>
      </c>
    </row>
    <row r="19" spans="1:17" ht="14.4" customHeight="1" x14ac:dyDescent="0.3">
      <c r="A19" s="382" t="s">
        <v>305</v>
      </c>
      <c r="B19" s="384" t="s">
        <v>276</v>
      </c>
      <c r="C19" s="384" t="s">
        <v>277</v>
      </c>
      <c r="D19" s="384" t="s">
        <v>278</v>
      </c>
      <c r="E19" s="384" t="s">
        <v>279</v>
      </c>
      <c r="F19" s="401"/>
      <c r="G19" s="401"/>
      <c r="H19" s="401"/>
      <c r="I19" s="401"/>
      <c r="J19" s="401"/>
      <c r="K19" s="401"/>
      <c r="L19" s="401"/>
      <c r="M19" s="401"/>
      <c r="N19" s="401">
        <v>1</v>
      </c>
      <c r="O19" s="401">
        <v>327</v>
      </c>
      <c r="P19" s="385"/>
      <c r="Q19" s="402">
        <v>327</v>
      </c>
    </row>
    <row r="20" spans="1:17" ht="14.4" customHeight="1" x14ac:dyDescent="0.3">
      <c r="A20" s="382" t="s">
        <v>306</v>
      </c>
      <c r="B20" s="384" t="s">
        <v>276</v>
      </c>
      <c r="C20" s="384" t="s">
        <v>277</v>
      </c>
      <c r="D20" s="384" t="s">
        <v>278</v>
      </c>
      <c r="E20" s="384" t="s">
        <v>279</v>
      </c>
      <c r="F20" s="401">
        <v>14</v>
      </c>
      <c r="G20" s="401">
        <v>4564</v>
      </c>
      <c r="H20" s="401">
        <v>1</v>
      </c>
      <c r="I20" s="401">
        <v>326</v>
      </c>
      <c r="J20" s="401">
        <v>2</v>
      </c>
      <c r="K20" s="401">
        <v>654</v>
      </c>
      <c r="L20" s="401">
        <v>0.14329535495179668</v>
      </c>
      <c r="M20" s="401">
        <v>327</v>
      </c>
      <c r="N20" s="401">
        <v>6</v>
      </c>
      <c r="O20" s="401">
        <v>1968</v>
      </c>
      <c r="P20" s="385">
        <v>0.43120070113935144</v>
      </c>
      <c r="Q20" s="402">
        <v>328</v>
      </c>
    </row>
    <row r="21" spans="1:17" ht="14.4" customHeight="1" x14ac:dyDescent="0.3">
      <c r="A21" s="382" t="s">
        <v>307</v>
      </c>
      <c r="B21" s="384" t="s">
        <v>276</v>
      </c>
      <c r="C21" s="384" t="s">
        <v>277</v>
      </c>
      <c r="D21" s="384" t="s">
        <v>278</v>
      </c>
      <c r="E21" s="384" t="s">
        <v>279</v>
      </c>
      <c r="F21" s="401"/>
      <c r="G21" s="401"/>
      <c r="H21" s="401"/>
      <c r="I21" s="401"/>
      <c r="J21" s="401"/>
      <c r="K21" s="401"/>
      <c r="L21" s="401"/>
      <c r="M21" s="401"/>
      <c r="N21" s="401">
        <v>1</v>
      </c>
      <c r="O21" s="401">
        <v>330</v>
      </c>
      <c r="P21" s="385"/>
      <c r="Q21" s="402">
        <v>330</v>
      </c>
    </row>
    <row r="22" spans="1:17" ht="14.4" customHeight="1" thickBot="1" x14ac:dyDescent="0.35">
      <c r="A22" s="387" t="s">
        <v>308</v>
      </c>
      <c r="B22" s="389" t="s">
        <v>276</v>
      </c>
      <c r="C22" s="389" t="s">
        <v>277</v>
      </c>
      <c r="D22" s="389" t="s">
        <v>278</v>
      </c>
      <c r="E22" s="389" t="s">
        <v>279</v>
      </c>
      <c r="F22" s="403">
        <v>1</v>
      </c>
      <c r="G22" s="403">
        <v>326</v>
      </c>
      <c r="H22" s="403">
        <v>1</v>
      </c>
      <c r="I22" s="403">
        <v>326</v>
      </c>
      <c r="J22" s="403"/>
      <c r="K22" s="403"/>
      <c r="L22" s="403"/>
      <c r="M22" s="403"/>
      <c r="N22" s="403">
        <v>1</v>
      </c>
      <c r="O22" s="403">
        <v>327</v>
      </c>
      <c r="P22" s="390">
        <v>1.0030674846625767</v>
      </c>
      <c r="Q22" s="404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4" t="s">
        <v>90</v>
      </c>
      <c r="B1" s="254"/>
      <c r="C1" s="255"/>
      <c r="D1" s="255"/>
      <c r="E1" s="255"/>
    </row>
    <row r="2" spans="1:5" ht="14.4" customHeight="1" thickBot="1" x14ac:dyDescent="0.35">
      <c r="A2" s="192" t="s">
        <v>210</v>
      </c>
      <c r="B2" s="121"/>
    </row>
    <row r="3" spans="1:5" ht="14.4" customHeight="1" thickBot="1" x14ac:dyDescent="0.35">
      <c r="A3" s="124"/>
      <c r="C3" s="125" t="s">
        <v>82</v>
      </c>
      <c r="D3" s="126" t="s">
        <v>47</v>
      </c>
      <c r="E3" s="127" t="s">
        <v>49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722.06741536555751</v>
      </c>
      <c r="D4" s="130">
        <f ca="1">IF(ISERROR(VLOOKUP("Náklady celkem",INDIRECT("HI!$A:$G"),5,0)),0,VLOOKUP("Náklady celkem",INDIRECT("HI!$A:$G"),5,0))</f>
        <v>663.40579000000093</v>
      </c>
      <c r="E4" s="131">
        <f ca="1">IF(C4=0,0,D4/C4)</f>
        <v>0.91875879714658193</v>
      </c>
    </row>
    <row r="5" spans="1:5" ht="14.4" customHeight="1" x14ac:dyDescent="0.3">
      <c r="A5" s="132" t="s">
        <v>101</v>
      </c>
      <c r="B5" s="133"/>
      <c r="C5" s="134"/>
      <c r="D5" s="134"/>
      <c r="E5" s="135"/>
    </row>
    <row r="6" spans="1:5" ht="14.4" customHeight="1" x14ac:dyDescent="0.3">
      <c r="A6" s="136" t="s">
        <v>106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86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102</v>
      </c>
      <c r="B8" s="137"/>
      <c r="C8" s="138"/>
      <c r="D8" s="138"/>
      <c r="E8" s="135"/>
    </row>
    <row r="9" spans="1:5" ht="14.4" customHeight="1" x14ac:dyDescent="0.3">
      <c r="A9" s="141" t="s">
        <v>103</v>
      </c>
      <c r="B9" s="137"/>
      <c r="C9" s="138"/>
      <c r="D9" s="138"/>
      <c r="E9" s="135"/>
    </row>
    <row r="10" spans="1:5" ht="14.4" customHeight="1" x14ac:dyDescent="0.3">
      <c r="A10" s="142" t="s">
        <v>107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86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721.67026155942835</v>
      </c>
      <c r="D12" s="134">
        <f ca="1">IF(ISERROR(VLOOKUP("Osobní náklady (Kč) *",INDIRECT("HI!$A:$G"),5,0)),0,VLOOKUP("Osobní náklady (Kč) *",INDIRECT("HI!$A:$G"),5,0))</f>
        <v>658.75644000000091</v>
      </c>
      <c r="E12" s="135">
        <f ca="1">IF(C12=0,0,D12/C12)</f>
        <v>0.91282192864164935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0</v>
      </c>
      <c r="D14" s="154">
        <f ca="1">IF(ISERROR(VLOOKUP("Výnosy celkem",INDIRECT("HI!$A:$G"),5,0)),0,VLOOKUP("Výnosy celkem",INDIRECT("HI!$A:$G"),5,0))</f>
        <v>0.32700000000000001</v>
      </c>
      <c r="E14" s="155">
        <f t="shared" ref="E14:E17" ca="1" si="1">IF(C14=0,0,D14/C14)</f>
        <v>0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</v>
      </c>
      <c r="D15" s="134">
        <f ca="1">IF(ISERROR(VLOOKUP("Ambulance *",INDIRECT("HI!$A:$G"),5,0)),0,VLOOKUP("Ambulance *",INDIRECT("HI!$A:$G"),5,0))</f>
        <v>0.32700000000000001</v>
      </c>
      <c r="E15" s="135">
        <f t="shared" ca="1" si="1"/>
        <v>0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92</v>
      </c>
      <c r="C16" s="140">
        <v>1</v>
      </c>
      <c r="D16" s="140" t="str">
        <f>IF(ISERROR(VLOOKUP("Celkem:",'ZV Vykáz.-A'!$A:$S,7,0)),"",VLOOKUP("Celkem:",'ZV Vykáz.-A'!$A:$S,7,0))</f>
        <v/>
      </c>
      <c r="E16" s="135" t="e">
        <f t="shared" si="1"/>
        <v>#VALUE!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94</v>
      </c>
      <c r="C17" s="140">
        <v>0.85</v>
      </c>
      <c r="D17" s="140">
        <f>IF(ISERROR(VLOOKUP("Celkem:",'ZV Vykáz.-H'!$A:$S,7,0)),"",VLOOKUP("Celkem:",'ZV Vykáz.-H'!$A:$S,7,0))</f>
        <v>0.68510069225928261</v>
      </c>
      <c r="E17" s="135">
        <f t="shared" si="1"/>
        <v>0.80600081442268545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104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105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14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1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10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9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8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7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4" t="s">
        <v>98</v>
      </c>
      <c r="B1" s="254"/>
      <c r="C1" s="254"/>
      <c r="D1" s="254"/>
      <c r="E1" s="254"/>
      <c r="F1" s="254"/>
      <c r="G1" s="255"/>
      <c r="H1" s="255"/>
    </row>
    <row r="2" spans="1:8" ht="14.4" customHeight="1" thickBot="1" x14ac:dyDescent="0.35">
      <c r="A2" s="192" t="s">
        <v>210</v>
      </c>
      <c r="B2" s="83"/>
      <c r="C2" s="83"/>
      <c r="D2" s="83"/>
      <c r="E2" s="83"/>
      <c r="F2" s="83"/>
    </row>
    <row r="3" spans="1:8" ht="14.4" customHeight="1" x14ac:dyDescent="0.3">
      <c r="A3" s="256"/>
      <c r="B3" s="79">
        <v>2012</v>
      </c>
      <c r="C3" s="40">
        <v>2013</v>
      </c>
      <c r="D3" s="7"/>
      <c r="E3" s="260">
        <v>2014</v>
      </c>
      <c r="F3" s="261"/>
      <c r="G3" s="261"/>
      <c r="H3" s="262"/>
    </row>
    <row r="4" spans="1:8" ht="14.4" customHeight="1" thickBot="1" x14ac:dyDescent="0.35">
      <c r="A4" s="257"/>
      <c r="B4" s="258" t="s">
        <v>47</v>
      </c>
      <c r="C4" s="259"/>
      <c r="D4" s="7"/>
      <c r="E4" s="100" t="s">
        <v>47</v>
      </c>
      <c r="F4" s="81" t="s">
        <v>48</v>
      </c>
      <c r="G4" s="81" t="s">
        <v>43</v>
      </c>
      <c r="H4" s="82" t="s">
        <v>49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642.47861</v>
      </c>
      <c r="C7" s="31">
        <v>618.83394999999996</v>
      </c>
      <c r="D7" s="8"/>
      <c r="E7" s="90">
        <v>658.75644000000091</v>
      </c>
      <c r="F7" s="30">
        <v>721.67026155942835</v>
      </c>
      <c r="G7" s="91">
        <f>E7-F7</f>
        <v>-62.913821559427447</v>
      </c>
      <c r="H7" s="95">
        <f>IF(F7&lt;0.00000001,"",E7/F7)</f>
        <v>0.91282192864164935</v>
      </c>
    </row>
    <row r="8" spans="1:8" ht="14.4" customHeight="1" thickBot="1" x14ac:dyDescent="0.35">
      <c r="A8" s="1" t="s">
        <v>50</v>
      </c>
      <c r="B8" s="11">
        <v>3.527629999999931</v>
      </c>
      <c r="C8" s="33">
        <v>6.0932200000000876</v>
      </c>
      <c r="D8" s="8"/>
      <c r="E8" s="92">
        <v>4.6493500000000267</v>
      </c>
      <c r="F8" s="32">
        <v>0.39715380612915396</v>
      </c>
      <c r="G8" s="93">
        <f>E8-F8</f>
        <v>4.2521961938708728</v>
      </c>
      <c r="H8" s="96">
        <f>IF(F8&lt;0.00000001,"",E8/F8)</f>
        <v>11.706673657026627</v>
      </c>
    </row>
    <row r="9" spans="1:8" ht="14.4" customHeight="1" thickBot="1" x14ac:dyDescent="0.35">
      <c r="A9" s="2" t="s">
        <v>51</v>
      </c>
      <c r="B9" s="3">
        <v>646.00623999999993</v>
      </c>
      <c r="C9" s="35">
        <v>624.92717000000005</v>
      </c>
      <c r="D9" s="8"/>
      <c r="E9" s="3">
        <v>663.40579000000093</v>
      </c>
      <c r="F9" s="34">
        <v>722.06741536555751</v>
      </c>
      <c r="G9" s="34">
        <f>E9-F9</f>
        <v>-58.661625365556574</v>
      </c>
      <c r="H9" s="97">
        <f>IF(F9&lt;0.00000001,"",E9/F9)</f>
        <v>0.91875879714658193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0.32700000000000001</v>
      </c>
      <c r="F11" s="28">
        <f>B11</f>
        <v>0</v>
      </c>
      <c r="G11" s="88">
        <f>E11-F11</f>
        <v>0.32700000000000001</v>
      </c>
      <c r="H11" s="94" t="str">
        <f>IF(F11&lt;0.00000001,"",E11/F11)</f>
        <v/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54</v>
      </c>
      <c r="B13" s="5">
        <f>SUM(B11:B12)</f>
        <v>0</v>
      </c>
      <c r="C13" s="37">
        <f>SUM(C11:C12)</f>
        <v>0.32700000000000001</v>
      </c>
      <c r="D13" s="8"/>
      <c r="E13" s="5">
        <f>SUM(E11:E12)</f>
        <v>0.32700000000000001</v>
      </c>
      <c r="F13" s="36">
        <f>SUM(F11:F12)</f>
        <v>0</v>
      </c>
      <c r="G13" s="36">
        <f>E13-F13</f>
        <v>0.32700000000000001</v>
      </c>
      <c r="H13" s="98" t="str">
        <f>IF(F13&lt;0.00000001,"",E13/F13)</f>
        <v/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5.2326097455484286E-4</v>
      </c>
      <c r="D15" s="8"/>
      <c r="E15" s="6">
        <f>IF(E9=0,"",E13/E9)</f>
        <v>4.9291098288424583E-4</v>
      </c>
      <c r="F15" s="38">
        <f>IF(F9=0,"",F13/F9)</f>
        <v>0</v>
      </c>
      <c r="G15" s="38">
        <f>IF(ISERROR(F15-E15),"",E15-F15)</f>
        <v>4.9291098288424583E-4</v>
      </c>
      <c r="H15" s="99" t="str">
        <f>IF(ISERROR(F15-E15),"",IF(F15&lt;0.00000001,"",E15/F15))</f>
        <v/>
      </c>
    </row>
    <row r="17" spans="1:8" ht="14.4" customHeight="1" x14ac:dyDescent="0.3">
      <c r="A17" s="85" t="s">
        <v>108</v>
      </c>
    </row>
    <row r="18" spans="1:8" ht="14.4" customHeight="1" x14ac:dyDescent="0.3">
      <c r="A18" s="245" t="s">
        <v>168</v>
      </c>
      <c r="B18" s="246"/>
      <c r="C18" s="246"/>
      <c r="D18" s="246"/>
      <c r="E18" s="246"/>
      <c r="F18" s="246"/>
      <c r="G18" s="246"/>
      <c r="H18" s="246"/>
    </row>
    <row r="19" spans="1:8" x14ac:dyDescent="0.3">
      <c r="A19" s="244" t="s">
        <v>167</v>
      </c>
      <c r="B19" s="246"/>
      <c r="C19" s="246"/>
      <c r="D19" s="246"/>
      <c r="E19" s="246"/>
      <c r="F19" s="246"/>
      <c r="G19" s="246"/>
      <c r="H19" s="246"/>
    </row>
    <row r="20" spans="1:8" ht="14.4" customHeight="1" x14ac:dyDescent="0.3">
      <c r="A20" s="86" t="s">
        <v>109</v>
      </c>
    </row>
    <row r="21" spans="1:8" ht="14.4" customHeight="1" x14ac:dyDescent="0.3">
      <c r="A21" s="86" t="s">
        <v>110</v>
      </c>
    </row>
    <row r="22" spans="1:8" ht="14.4" customHeight="1" x14ac:dyDescent="0.3">
      <c r="A22" s="87" t="s">
        <v>111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" priority="4" operator="greaterThan">
      <formula>0</formula>
    </cfRule>
  </conditionalFormatting>
  <conditionalFormatting sqref="G11:G13 G15">
    <cfRule type="cellIs" dxfId="5" priority="3" operator="lessThan">
      <formula>0</formula>
    </cfRule>
  </conditionalFormatting>
  <conditionalFormatting sqref="H5:H9">
    <cfRule type="cellIs" dxfId="4" priority="2" operator="greaterThan">
      <formula>1</formula>
    </cfRule>
  </conditionalFormatting>
  <conditionalFormatting sqref="H11:H13 H15">
    <cfRule type="cellIs" dxfId="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4" t="s">
        <v>79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14.4" customHeight="1" x14ac:dyDescent="0.3">
      <c r="A2" s="192" t="s">
        <v>210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56</v>
      </c>
      <c r="C3" s="170" t="s">
        <v>57</v>
      </c>
      <c r="D3" s="170" t="s">
        <v>58</v>
      </c>
      <c r="E3" s="169" t="s">
        <v>59</v>
      </c>
      <c r="F3" s="170" t="s">
        <v>60</v>
      </c>
      <c r="G3" s="170" t="s">
        <v>61</v>
      </c>
      <c r="H3" s="170" t="s">
        <v>62</v>
      </c>
      <c r="I3" s="170" t="s">
        <v>63</v>
      </c>
      <c r="J3" s="170" t="s">
        <v>64</v>
      </c>
      <c r="K3" s="170" t="s">
        <v>65</v>
      </c>
      <c r="L3" s="170" t="s">
        <v>66</v>
      </c>
      <c r="M3" s="170" t="s">
        <v>67</v>
      </c>
    </row>
    <row r="4" spans="1:13" ht="14.4" customHeight="1" x14ac:dyDescent="0.3">
      <c r="A4" s="168" t="s">
        <v>55</v>
      </c>
      <c r="B4" s="171">
        <f>(B10+B8)/B6</f>
        <v>2.3666422427257063E-3</v>
      </c>
      <c r="C4" s="171">
        <f t="shared" ref="C4:M4" si="0">(C10+C8)/C6</f>
        <v>1.2083167220576989E-3</v>
      </c>
      <c r="D4" s="171">
        <f t="shared" si="0"/>
        <v>8.1129831399308773E-4</v>
      </c>
      <c r="E4" s="171">
        <f t="shared" si="0"/>
        <v>6.1608684134028505E-4</v>
      </c>
      <c r="F4" s="171">
        <f t="shared" si="0"/>
        <v>4.9291098288424583E-4</v>
      </c>
      <c r="G4" s="171">
        <f t="shared" si="0"/>
        <v>4.9291098288424583E-4</v>
      </c>
      <c r="H4" s="171">
        <f t="shared" si="0"/>
        <v>4.9291098288424583E-4</v>
      </c>
      <c r="I4" s="171">
        <f t="shared" si="0"/>
        <v>4.9291098288424583E-4</v>
      </c>
      <c r="J4" s="171">
        <f t="shared" si="0"/>
        <v>4.9291098288424583E-4</v>
      </c>
      <c r="K4" s="171">
        <f t="shared" si="0"/>
        <v>4.9291098288424583E-4</v>
      </c>
      <c r="L4" s="171">
        <f t="shared" si="0"/>
        <v>4.9291098288424583E-4</v>
      </c>
      <c r="M4" s="171">
        <f t="shared" si="0"/>
        <v>4.9291098288424583E-4</v>
      </c>
    </row>
    <row r="5" spans="1:13" ht="14.4" customHeight="1" x14ac:dyDescent="0.3">
      <c r="A5" s="172" t="s">
        <v>28</v>
      </c>
      <c r="B5" s="171">
        <f>IF(ISERROR(VLOOKUP($A5,'Man Tab'!$A:$Q,COLUMN()+2,0)),0,VLOOKUP($A5,'Man Tab'!$A:$Q,COLUMN()+2,0))</f>
        <v>138.17044000000101</v>
      </c>
      <c r="C5" s="171">
        <f>IF(ISERROR(VLOOKUP($A5,'Man Tab'!$A:$Q,COLUMN()+2,0)),0,VLOOKUP($A5,'Man Tab'!$A:$Q,COLUMN()+2,0))</f>
        <v>132.45397</v>
      </c>
      <c r="D5" s="171">
        <f>IF(ISERROR(VLOOKUP($A5,'Man Tab'!$A:$Q,COLUMN()+2,0)),0,VLOOKUP($A5,'Man Tab'!$A:$Q,COLUMN()+2,0))</f>
        <v>132.43324999999999</v>
      </c>
      <c r="E5" s="171">
        <f>IF(ISERROR(VLOOKUP($A5,'Man Tab'!$A:$Q,COLUMN()+2,0)),0,VLOOKUP($A5,'Man Tab'!$A:$Q,COLUMN()+2,0))</f>
        <v>127.71167</v>
      </c>
      <c r="F5" s="171">
        <f>IF(ISERROR(VLOOKUP($A5,'Man Tab'!$A:$Q,COLUMN()+2,0)),0,VLOOKUP($A5,'Man Tab'!$A:$Q,COLUMN()+2,0))</f>
        <v>132.63646</v>
      </c>
      <c r="G5" s="171">
        <f>IF(ISERROR(VLOOKUP($A5,'Man Tab'!$A:$Q,COLUMN()+2,0)),0,VLOOKUP($A5,'Man Tab'!$A:$Q,COLUMN()+2,0))</f>
        <v>4.9406564584124654E-324</v>
      </c>
      <c r="H5" s="171">
        <f>IF(ISERROR(VLOOKUP($A5,'Man Tab'!$A:$Q,COLUMN()+2,0)),0,VLOOKUP($A5,'Man Tab'!$A:$Q,COLUMN()+2,0))</f>
        <v>4.9406564584124654E-324</v>
      </c>
      <c r="I5" s="171">
        <f>IF(ISERROR(VLOOKUP($A5,'Man Tab'!$A:$Q,COLUMN()+2,0)),0,VLOOKUP($A5,'Man Tab'!$A:$Q,COLUMN()+2,0))</f>
        <v>4.9406564584124654E-324</v>
      </c>
      <c r="J5" s="171">
        <f>IF(ISERROR(VLOOKUP($A5,'Man Tab'!$A:$Q,COLUMN()+2,0)),0,VLOOKUP($A5,'Man Tab'!$A:$Q,COLUMN()+2,0))</f>
        <v>4.9406564584124654E-324</v>
      </c>
      <c r="K5" s="171">
        <f>IF(ISERROR(VLOOKUP($A5,'Man Tab'!$A:$Q,COLUMN()+2,0)),0,VLOOKUP($A5,'Man Tab'!$A:$Q,COLUMN()+2,0))</f>
        <v>4.9406564584124654E-324</v>
      </c>
      <c r="L5" s="171">
        <f>IF(ISERROR(VLOOKUP($A5,'Man Tab'!$A:$Q,COLUMN()+2,0)),0,VLOOKUP($A5,'Man Tab'!$A:$Q,COLUMN()+2,0))</f>
        <v>4.9406564584124654E-324</v>
      </c>
      <c r="M5" s="171">
        <f>IF(ISERROR(VLOOKUP($A5,'Man Tab'!$A:$Q,COLUMN()+2,0)),0,VLOOKUP($A5,'Man Tab'!$A:$Q,COLUMN()+2,0))</f>
        <v>4.9406564584124654E-324</v>
      </c>
    </row>
    <row r="6" spans="1:13" ht="14.4" customHeight="1" x14ac:dyDescent="0.3">
      <c r="A6" s="172" t="s">
        <v>51</v>
      </c>
      <c r="B6" s="173">
        <f>B5</f>
        <v>138.17044000000101</v>
      </c>
      <c r="C6" s="173">
        <f t="shared" ref="C6:M6" si="1">C5+B6</f>
        <v>270.62441000000103</v>
      </c>
      <c r="D6" s="173">
        <f t="shared" si="1"/>
        <v>403.05766000000102</v>
      </c>
      <c r="E6" s="173">
        <f t="shared" si="1"/>
        <v>530.76933000000099</v>
      </c>
      <c r="F6" s="173">
        <f t="shared" si="1"/>
        <v>663.40579000000093</v>
      </c>
      <c r="G6" s="173">
        <f t="shared" si="1"/>
        <v>663.40579000000093</v>
      </c>
      <c r="H6" s="173">
        <f t="shared" si="1"/>
        <v>663.40579000000093</v>
      </c>
      <c r="I6" s="173">
        <f t="shared" si="1"/>
        <v>663.40579000000093</v>
      </c>
      <c r="J6" s="173">
        <f t="shared" si="1"/>
        <v>663.40579000000093</v>
      </c>
      <c r="K6" s="173">
        <f t="shared" si="1"/>
        <v>663.40579000000093</v>
      </c>
      <c r="L6" s="173">
        <f t="shared" si="1"/>
        <v>663.40579000000093</v>
      </c>
      <c r="M6" s="173">
        <f t="shared" si="1"/>
        <v>663.40579000000093</v>
      </c>
    </row>
    <row r="7" spans="1:13" ht="14.4" customHeight="1" x14ac:dyDescent="0.3">
      <c r="A7" s="172" t="s">
        <v>77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52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78</v>
      </c>
      <c r="B9" s="172">
        <v>327</v>
      </c>
      <c r="C9" s="172"/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53</v>
      </c>
      <c r="B10" s="173">
        <f>B9/1000</f>
        <v>0.32700000000000001</v>
      </c>
      <c r="C10" s="173">
        <f t="shared" ref="C10:M10" si="3">C9/1000+B10</f>
        <v>0.32700000000000001</v>
      </c>
      <c r="D10" s="173">
        <f t="shared" si="3"/>
        <v>0.32700000000000001</v>
      </c>
      <c r="E10" s="173">
        <f t="shared" si="3"/>
        <v>0.32700000000000001</v>
      </c>
      <c r="F10" s="173">
        <f t="shared" si="3"/>
        <v>0.32700000000000001</v>
      </c>
      <c r="G10" s="173">
        <f t="shared" si="3"/>
        <v>0.32700000000000001</v>
      </c>
      <c r="H10" s="173">
        <f t="shared" si="3"/>
        <v>0.32700000000000001</v>
      </c>
      <c r="I10" s="173">
        <f t="shared" si="3"/>
        <v>0.32700000000000001</v>
      </c>
      <c r="J10" s="173">
        <f t="shared" si="3"/>
        <v>0.32700000000000001</v>
      </c>
      <c r="K10" s="173">
        <f t="shared" si="3"/>
        <v>0.32700000000000001</v>
      </c>
      <c r="L10" s="173">
        <f t="shared" si="3"/>
        <v>0.32700000000000001</v>
      </c>
      <c r="M10" s="173">
        <f t="shared" si="3"/>
        <v>0.32700000000000001</v>
      </c>
    </row>
    <row r="11" spans="1:13" ht="14.4" customHeight="1" x14ac:dyDescent="0.3">
      <c r="A11" s="168"/>
      <c r="B11" s="168" t="s">
        <v>68</v>
      </c>
      <c r="C11" s="168">
        <f ca="1">IF(MONTH(TODAY())=1,12,MONTH(TODAY())-1)</f>
        <v>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63" t="s">
        <v>212</v>
      </c>
      <c r="B1" s="263"/>
      <c r="C1" s="263"/>
      <c r="D1" s="263"/>
      <c r="E1" s="263"/>
      <c r="F1" s="263"/>
      <c r="G1" s="263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s="174" customFormat="1" ht="14.4" customHeight="1" thickBot="1" x14ac:dyDescent="0.3">
      <c r="A2" s="192" t="s">
        <v>210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64" t="s">
        <v>4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110"/>
      <c r="Q3" s="112"/>
    </row>
    <row r="4" spans="1:17" ht="14.4" customHeight="1" x14ac:dyDescent="0.3">
      <c r="A4" s="60"/>
      <c r="B4" s="20">
        <v>2014</v>
      </c>
      <c r="C4" s="111" t="s">
        <v>5</v>
      </c>
      <c r="D4" s="101" t="s">
        <v>113</v>
      </c>
      <c r="E4" s="101" t="s">
        <v>114</v>
      </c>
      <c r="F4" s="101" t="s">
        <v>115</v>
      </c>
      <c r="G4" s="101" t="s">
        <v>116</v>
      </c>
      <c r="H4" s="101" t="s">
        <v>117</v>
      </c>
      <c r="I4" s="101" t="s">
        <v>118</v>
      </c>
      <c r="J4" s="101" t="s">
        <v>119</v>
      </c>
      <c r="K4" s="101" t="s">
        <v>120</v>
      </c>
      <c r="L4" s="101" t="s">
        <v>121</v>
      </c>
      <c r="M4" s="101" t="s">
        <v>122</v>
      </c>
      <c r="N4" s="101" t="s">
        <v>123</v>
      </c>
      <c r="O4" s="101" t="s">
        <v>124</v>
      </c>
      <c r="P4" s="266" t="s">
        <v>1</v>
      </c>
      <c r="Q4" s="267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2.4703282292062327E-323</v>
      </c>
      <c r="Q6" s="69" t="s">
        <v>211</v>
      </c>
    </row>
    <row r="7" spans="1:17" ht="14.4" customHeight="1" x14ac:dyDescent="0.3">
      <c r="A7" s="15" t="s">
        <v>10</v>
      </c>
      <c r="B7" s="46">
        <v>4.9406564584124654E-324</v>
      </c>
      <c r="C7" s="47">
        <v>0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2.4703282292062327E-323</v>
      </c>
      <c r="Q7" s="70" t="s">
        <v>211</v>
      </c>
    </row>
    <row r="8" spans="1:17" ht="14.4" customHeight="1" x14ac:dyDescent="0.3">
      <c r="A8" s="15" t="s">
        <v>11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2.4703282292062327E-323</v>
      </c>
      <c r="Q8" s="70" t="s">
        <v>211</v>
      </c>
    </row>
    <row r="9" spans="1:17" ht="14.4" customHeight="1" x14ac:dyDescent="0.3">
      <c r="A9" s="15" t="s">
        <v>12</v>
      </c>
      <c r="B9" s="46">
        <v>4.9406564584124654E-324</v>
      </c>
      <c r="C9" s="47">
        <v>0</v>
      </c>
      <c r="D9" s="47">
        <v>4.9406564584124654E-324</v>
      </c>
      <c r="E9" s="47">
        <v>4.9406564584124654E-324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2.4703282292062327E-323</v>
      </c>
      <c r="Q9" s="70" t="s">
        <v>211</v>
      </c>
    </row>
    <row r="10" spans="1:17" ht="14.4" customHeight="1" x14ac:dyDescent="0.3">
      <c r="A10" s="15" t="s">
        <v>13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2.4703282292062327E-323</v>
      </c>
      <c r="Q10" s="70" t="s">
        <v>211</v>
      </c>
    </row>
    <row r="11" spans="1:17" ht="14.4" customHeight="1" x14ac:dyDescent="0.3">
      <c r="A11" s="15" t="s">
        <v>14</v>
      </c>
      <c r="B11" s="46">
        <v>0.33331868456199998</v>
      </c>
      <c r="C11" s="47">
        <v>2.7776557045999999E-2</v>
      </c>
      <c r="D11" s="47">
        <v>4.9406564584124654E-324</v>
      </c>
      <c r="E11" s="47">
        <v>4.9406564584124654E-324</v>
      </c>
      <c r="F11" s="47">
        <v>4.9406564584124654E-324</v>
      </c>
      <c r="G11" s="47">
        <v>7.1199999999999999E-2</v>
      </c>
      <c r="H11" s="47">
        <v>1.06795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1.1391500000000001</v>
      </c>
      <c r="Q11" s="70">
        <v>0</v>
      </c>
    </row>
    <row r="12" spans="1:17" ht="14.4" customHeight="1" x14ac:dyDescent="0.3">
      <c r="A12" s="15" t="s">
        <v>15</v>
      </c>
      <c r="B12" s="46">
        <v>4.9406564584124654E-324</v>
      </c>
      <c r="C12" s="47">
        <v>0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2.4703282292062327E-323</v>
      </c>
      <c r="Q12" s="70" t="s">
        <v>211</v>
      </c>
    </row>
    <row r="13" spans="1:17" ht="14.4" customHeight="1" x14ac:dyDescent="0.3">
      <c r="A13" s="15" t="s">
        <v>16</v>
      </c>
      <c r="B13" s="46">
        <v>0.62523201882000001</v>
      </c>
      <c r="C13" s="47">
        <v>5.2102668235000003E-2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2.4703282292062327E-323</v>
      </c>
      <c r="Q13" s="70">
        <v>9.3872472709836843E-323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2.4703282292062327E-323</v>
      </c>
      <c r="Q14" s="70" t="s">
        <v>211</v>
      </c>
    </row>
    <row r="15" spans="1:17" ht="14.4" customHeight="1" x14ac:dyDescent="0.3">
      <c r="A15" s="15" t="s">
        <v>18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2.4703282292062327E-323</v>
      </c>
      <c r="Q15" s="70" t="s">
        <v>211</v>
      </c>
    </row>
    <row r="16" spans="1:17" ht="14.4" customHeight="1" x14ac:dyDescent="0.3">
      <c r="A16" s="15" t="s">
        <v>19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2.4703282292062327E-323</v>
      </c>
      <c r="Q16" s="70" t="s">
        <v>211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4.9406564584124654E-324</v>
      </c>
      <c r="E17" s="47">
        <v>4.9406564584124654E-324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2.4703282292062327E-323</v>
      </c>
      <c r="Q17" s="70" t="s">
        <v>211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4.9406564584124654E-324</v>
      </c>
      <c r="E18" s="47">
        <v>4.9406564584124654E-324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2.4703282292062327E-323</v>
      </c>
      <c r="Q18" s="70" t="s">
        <v>211</v>
      </c>
    </row>
    <row r="19" spans="1:17" ht="14.4" customHeight="1" x14ac:dyDescent="0.3">
      <c r="A19" s="15" t="s">
        <v>22</v>
      </c>
      <c r="B19" s="46">
        <v>-5.3815686699999997E-3</v>
      </c>
      <c r="C19" s="47">
        <v>-4.4846405499999998E-4</v>
      </c>
      <c r="D19" s="47">
        <v>4.9406564584124654E-324</v>
      </c>
      <c r="E19" s="47">
        <v>4.9406564584124654E-324</v>
      </c>
      <c r="F19" s="47">
        <v>4.9406564584124654E-324</v>
      </c>
      <c r="G19" s="47">
        <v>8.1600000000000006E-3</v>
      </c>
      <c r="H19" s="47">
        <v>2.0400000000000001E-3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1.0200000000000001E-2</v>
      </c>
      <c r="Q19" s="70">
        <v>0</v>
      </c>
    </row>
    <row r="20" spans="1:17" ht="14.4" customHeight="1" x14ac:dyDescent="0.3">
      <c r="A20" s="15" t="s">
        <v>23</v>
      </c>
      <c r="B20" s="46">
        <v>1732.0086277426201</v>
      </c>
      <c r="C20" s="47">
        <v>144.33405231188499</v>
      </c>
      <c r="D20" s="47">
        <v>138.17044000000101</v>
      </c>
      <c r="E20" s="47">
        <v>132.45397</v>
      </c>
      <c r="F20" s="47">
        <v>132.43324999999999</v>
      </c>
      <c r="G20" s="47">
        <v>127.63231</v>
      </c>
      <c r="H20" s="47">
        <v>128.06647000000001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658.75644000000102</v>
      </c>
      <c r="Q20" s="70">
        <v>0.91282192864099998</v>
      </c>
    </row>
    <row r="21" spans="1:17" ht="14.4" customHeight="1" x14ac:dyDescent="0.3">
      <c r="A21" s="16" t="s">
        <v>24</v>
      </c>
      <c r="B21" s="46">
        <v>9.8813129168249309E-324</v>
      </c>
      <c r="C21" s="47">
        <v>0</v>
      </c>
      <c r="D21" s="47">
        <v>1.4821969375237396E-323</v>
      </c>
      <c r="E21" s="47">
        <v>1.4821969375237396E-323</v>
      </c>
      <c r="F21" s="47">
        <v>1.4821969375237396E-323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7.4109846876186982E-323</v>
      </c>
      <c r="Q21" s="70" t="s">
        <v>211</v>
      </c>
    </row>
    <row r="22" spans="1:17" ht="14.4" customHeight="1" x14ac:dyDescent="0.3">
      <c r="A22" s="15" t="s">
        <v>25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2.4703282292062327E-323</v>
      </c>
      <c r="Q22" s="70" t="s">
        <v>211</v>
      </c>
    </row>
    <row r="23" spans="1:17" ht="14.4" customHeight="1" x14ac:dyDescent="0.3">
      <c r="A23" s="16" t="s">
        <v>26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9.8813129168249309E-323</v>
      </c>
      <c r="Q23" s="70" t="s">
        <v>211</v>
      </c>
    </row>
    <row r="24" spans="1:17" ht="14.4" customHeight="1" x14ac:dyDescent="0.3">
      <c r="A24" s="16" t="s">
        <v>27</v>
      </c>
      <c r="B24" s="46">
        <v>2.2737367544323201E-13</v>
      </c>
      <c r="C24" s="47">
        <v>2.8421709430404001E-14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3.5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3.5</v>
      </c>
      <c r="Q24" s="70"/>
    </row>
    <row r="25" spans="1:17" ht="14.4" customHeight="1" x14ac:dyDescent="0.3">
      <c r="A25" s="17" t="s">
        <v>28</v>
      </c>
      <c r="B25" s="49">
        <v>1732.96179687734</v>
      </c>
      <c r="C25" s="50">
        <v>144.413483073111</v>
      </c>
      <c r="D25" s="50">
        <v>138.17044000000101</v>
      </c>
      <c r="E25" s="50">
        <v>132.45397</v>
      </c>
      <c r="F25" s="50">
        <v>132.43324999999999</v>
      </c>
      <c r="G25" s="50">
        <v>127.71167</v>
      </c>
      <c r="H25" s="50">
        <v>132.63646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663.40579000000105</v>
      </c>
      <c r="Q25" s="71">
        <v>0.91875879714599995</v>
      </c>
    </row>
    <row r="26" spans="1:17" ht="14.4" customHeight="1" x14ac:dyDescent="0.3">
      <c r="A26" s="15" t="s">
        <v>29</v>
      </c>
      <c r="B26" s="46">
        <v>367</v>
      </c>
      <c r="C26" s="47">
        <v>30.583333333333002</v>
      </c>
      <c r="D26" s="47">
        <v>25.082129999999999</v>
      </c>
      <c r="E26" s="47">
        <v>21.597270000000002</v>
      </c>
      <c r="F26" s="47">
        <v>24.206759999999999</v>
      </c>
      <c r="G26" s="47">
        <v>26.292110000000001</v>
      </c>
      <c r="H26" s="47">
        <v>26.571719999999999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123.74999</v>
      </c>
      <c r="Q26" s="70">
        <v>0.80926423978200002</v>
      </c>
    </row>
    <row r="27" spans="1:17" ht="14.4" customHeight="1" x14ac:dyDescent="0.3">
      <c r="A27" s="18" t="s">
        <v>30</v>
      </c>
      <c r="B27" s="49">
        <v>2099.96179687734</v>
      </c>
      <c r="C27" s="50">
        <v>174.99681640644499</v>
      </c>
      <c r="D27" s="50">
        <v>163.25257000000099</v>
      </c>
      <c r="E27" s="50">
        <v>154.05124000000001</v>
      </c>
      <c r="F27" s="50">
        <v>156.64000999999999</v>
      </c>
      <c r="G27" s="50">
        <v>154.00378000000001</v>
      </c>
      <c r="H27" s="50">
        <v>159.20818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787.15578000000096</v>
      </c>
      <c r="Q27" s="71">
        <v>0.899622971622</v>
      </c>
    </row>
    <row r="28" spans="1:17" ht="14.4" customHeight="1" x14ac:dyDescent="0.3">
      <c r="A28" s="16" t="s">
        <v>31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6.1758205730155818E-322</v>
      </c>
      <c r="Q28" s="70">
        <v>0</v>
      </c>
    </row>
    <row r="29" spans="1:17" ht="14.4" customHeight="1" x14ac:dyDescent="0.3">
      <c r="A29" s="16" t="s">
        <v>32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4.9406564584124654E-323</v>
      </c>
      <c r="Q29" s="70" t="s">
        <v>211</v>
      </c>
    </row>
    <row r="30" spans="1:17" ht="14.4" customHeight="1" x14ac:dyDescent="0.3">
      <c r="A30" s="16" t="s">
        <v>33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2.4703282292062327E-322</v>
      </c>
      <c r="Q30" s="70">
        <v>0</v>
      </c>
    </row>
    <row r="31" spans="1:17" ht="14.4" customHeight="1" thickBot="1" x14ac:dyDescent="0.35">
      <c r="A31" s="19" t="s">
        <v>34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1.2351641146031164E-322</v>
      </c>
      <c r="Q31" s="72" t="s">
        <v>211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108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133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3" t="s">
        <v>36</v>
      </c>
      <c r="B1" s="263"/>
      <c r="C1" s="263"/>
      <c r="D1" s="263"/>
      <c r="E1" s="263"/>
      <c r="F1" s="263"/>
      <c r="G1" s="263"/>
      <c r="H1" s="268"/>
      <c r="I1" s="268"/>
      <c r="J1" s="268"/>
      <c r="K1" s="268"/>
    </row>
    <row r="2" spans="1:11" s="55" customFormat="1" ht="14.4" customHeight="1" thickBot="1" x14ac:dyDescent="0.35">
      <c r="A2" s="192" t="s">
        <v>210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4" t="s">
        <v>37</v>
      </c>
      <c r="C3" s="265"/>
      <c r="D3" s="265"/>
      <c r="E3" s="265"/>
      <c r="F3" s="271" t="s">
        <v>38</v>
      </c>
      <c r="G3" s="265"/>
      <c r="H3" s="265"/>
      <c r="I3" s="265"/>
      <c r="J3" s="265"/>
      <c r="K3" s="272"/>
    </row>
    <row r="4" spans="1:11" ht="14.4" customHeight="1" x14ac:dyDescent="0.3">
      <c r="A4" s="60"/>
      <c r="B4" s="269"/>
      <c r="C4" s="270"/>
      <c r="D4" s="270"/>
      <c r="E4" s="270"/>
      <c r="F4" s="273" t="s">
        <v>129</v>
      </c>
      <c r="G4" s="275" t="s">
        <v>39</v>
      </c>
      <c r="H4" s="113" t="s">
        <v>100</v>
      </c>
      <c r="I4" s="273" t="s">
        <v>40</v>
      </c>
      <c r="J4" s="275" t="s">
        <v>131</v>
      </c>
      <c r="K4" s="276" t="s">
        <v>132</v>
      </c>
    </row>
    <row r="5" spans="1:11" ht="42" thickBot="1" x14ac:dyDescent="0.35">
      <c r="A5" s="61"/>
      <c r="B5" s="24" t="s">
        <v>125</v>
      </c>
      <c r="C5" s="25" t="s">
        <v>126</v>
      </c>
      <c r="D5" s="26" t="s">
        <v>127</v>
      </c>
      <c r="E5" s="26" t="s">
        <v>128</v>
      </c>
      <c r="F5" s="274"/>
      <c r="G5" s="274"/>
      <c r="H5" s="25" t="s">
        <v>130</v>
      </c>
      <c r="I5" s="274"/>
      <c r="J5" s="274"/>
      <c r="K5" s="277"/>
    </row>
    <row r="6" spans="1:11" ht="14.4" customHeight="1" thickBot="1" x14ac:dyDescent="0.35">
      <c r="A6" s="316" t="s">
        <v>213</v>
      </c>
      <c r="B6" s="298">
        <v>1481.6169860848699</v>
      </c>
      <c r="C6" s="298">
        <v>1683.43677</v>
      </c>
      <c r="D6" s="299">
        <v>201.81978391513499</v>
      </c>
      <c r="E6" s="300">
        <v>1.1362158950729999</v>
      </c>
      <c r="F6" s="298">
        <v>1732.96179687734</v>
      </c>
      <c r="G6" s="299">
        <v>722.06741536555705</v>
      </c>
      <c r="H6" s="301">
        <v>132.63646</v>
      </c>
      <c r="I6" s="298">
        <v>663.40579000000105</v>
      </c>
      <c r="J6" s="299">
        <v>-58.661625365555999</v>
      </c>
      <c r="K6" s="302">
        <v>0.38281616547699998</v>
      </c>
    </row>
    <row r="7" spans="1:11" ht="14.4" customHeight="1" thickBot="1" x14ac:dyDescent="0.35">
      <c r="A7" s="317" t="s">
        <v>214</v>
      </c>
      <c r="B7" s="298">
        <v>1.6065062708640001</v>
      </c>
      <c r="C7" s="298">
        <v>1.0026600000000001</v>
      </c>
      <c r="D7" s="299">
        <v>-0.603846270864</v>
      </c>
      <c r="E7" s="300">
        <v>0.62412454789799998</v>
      </c>
      <c r="F7" s="298">
        <v>0.95855070338299997</v>
      </c>
      <c r="G7" s="299">
        <v>0.39939612640900002</v>
      </c>
      <c r="H7" s="301">
        <v>1.06795</v>
      </c>
      <c r="I7" s="298">
        <v>1.1391500000000001</v>
      </c>
      <c r="J7" s="299">
        <v>0.73975387359</v>
      </c>
      <c r="K7" s="302">
        <v>1.1884087049109999</v>
      </c>
    </row>
    <row r="8" spans="1:11" ht="14.4" customHeight="1" thickBot="1" x14ac:dyDescent="0.35">
      <c r="A8" s="318" t="s">
        <v>215</v>
      </c>
      <c r="B8" s="298">
        <v>1.6065062708640001</v>
      </c>
      <c r="C8" s="298">
        <v>1.0026600000000001</v>
      </c>
      <c r="D8" s="299">
        <v>-0.603846270864</v>
      </c>
      <c r="E8" s="300">
        <v>0.62412454789799998</v>
      </c>
      <c r="F8" s="298">
        <v>0.95855070338299997</v>
      </c>
      <c r="G8" s="299">
        <v>0.39939612640900002</v>
      </c>
      <c r="H8" s="301">
        <v>1.06795</v>
      </c>
      <c r="I8" s="298">
        <v>1.1391500000000001</v>
      </c>
      <c r="J8" s="299">
        <v>0.73975387359</v>
      </c>
      <c r="K8" s="302">
        <v>1.1884087049109999</v>
      </c>
    </row>
    <row r="9" spans="1:11" ht="14.4" customHeight="1" thickBot="1" x14ac:dyDescent="0.35">
      <c r="A9" s="319" t="s">
        <v>216</v>
      </c>
      <c r="B9" s="303">
        <v>1.4305906472650001</v>
      </c>
      <c r="C9" s="303">
        <v>0.30370999999999998</v>
      </c>
      <c r="D9" s="304">
        <v>-1.1268806472649999</v>
      </c>
      <c r="E9" s="305">
        <v>0.21229692825099999</v>
      </c>
      <c r="F9" s="303">
        <v>0.33331868456199998</v>
      </c>
      <c r="G9" s="304">
        <v>0.13888278523399999</v>
      </c>
      <c r="H9" s="306">
        <v>1.06795</v>
      </c>
      <c r="I9" s="303">
        <v>1.1391500000000001</v>
      </c>
      <c r="J9" s="304">
        <v>1.000267214765</v>
      </c>
      <c r="K9" s="307">
        <v>3.4176001909279998</v>
      </c>
    </row>
    <row r="10" spans="1:11" ht="14.4" customHeight="1" thickBot="1" x14ac:dyDescent="0.35">
      <c r="A10" s="320" t="s">
        <v>217</v>
      </c>
      <c r="B10" s="298">
        <v>0.87617985651100005</v>
      </c>
      <c r="C10" s="298">
        <v>0.30370999999999998</v>
      </c>
      <c r="D10" s="299">
        <v>-0.57246985651100002</v>
      </c>
      <c r="E10" s="300">
        <v>0.34662974472899999</v>
      </c>
      <c r="F10" s="298">
        <v>0.33331868456199998</v>
      </c>
      <c r="G10" s="299">
        <v>0.13888278523399999</v>
      </c>
      <c r="H10" s="301">
        <v>2.8549999999999999E-2</v>
      </c>
      <c r="I10" s="298">
        <v>9.9750000000000005E-2</v>
      </c>
      <c r="J10" s="299">
        <v>-3.9132785234000003E-2</v>
      </c>
      <c r="K10" s="302">
        <v>0.299263151512</v>
      </c>
    </row>
    <row r="11" spans="1:11" ht="14.4" customHeight="1" thickBot="1" x14ac:dyDescent="0.35">
      <c r="A11" s="320" t="s">
        <v>218</v>
      </c>
      <c r="B11" s="298">
        <v>0.55441079075300004</v>
      </c>
      <c r="C11" s="298">
        <v>4.9406564584124654E-324</v>
      </c>
      <c r="D11" s="299">
        <v>-0.55441079075300004</v>
      </c>
      <c r="E11" s="300">
        <v>9.8813129168249309E-324</v>
      </c>
      <c r="F11" s="298">
        <v>0</v>
      </c>
      <c r="G11" s="299">
        <v>0</v>
      </c>
      <c r="H11" s="301">
        <v>0.99839999999999995</v>
      </c>
      <c r="I11" s="298">
        <v>0.99839999999999995</v>
      </c>
      <c r="J11" s="299">
        <v>0.99839999999999995</v>
      </c>
      <c r="K11" s="308" t="s">
        <v>211</v>
      </c>
    </row>
    <row r="12" spans="1:11" ht="14.4" customHeight="1" thickBot="1" x14ac:dyDescent="0.35">
      <c r="A12" s="320" t="s">
        <v>219</v>
      </c>
      <c r="B12" s="298">
        <v>4.9406564584124654E-324</v>
      </c>
      <c r="C12" s="298">
        <v>4.9406564584124654E-324</v>
      </c>
      <c r="D12" s="299">
        <v>0</v>
      </c>
      <c r="E12" s="300">
        <v>1</v>
      </c>
      <c r="F12" s="298">
        <v>4.9406564584124654E-324</v>
      </c>
      <c r="G12" s="299">
        <v>0</v>
      </c>
      <c r="H12" s="301">
        <v>4.1000000000000002E-2</v>
      </c>
      <c r="I12" s="298">
        <v>4.1000000000000002E-2</v>
      </c>
      <c r="J12" s="299">
        <v>4.1000000000000002E-2</v>
      </c>
      <c r="K12" s="308" t="s">
        <v>220</v>
      </c>
    </row>
    <row r="13" spans="1:11" ht="14.4" customHeight="1" thickBot="1" x14ac:dyDescent="0.35">
      <c r="A13" s="319" t="s">
        <v>221</v>
      </c>
      <c r="B13" s="303">
        <v>0</v>
      </c>
      <c r="C13" s="303">
        <v>0.69894999999999996</v>
      </c>
      <c r="D13" s="304">
        <v>0.69894999999999996</v>
      </c>
      <c r="E13" s="309" t="s">
        <v>211</v>
      </c>
      <c r="F13" s="303">
        <v>0.62523201882000001</v>
      </c>
      <c r="G13" s="304">
        <v>0.26051334117500002</v>
      </c>
      <c r="H13" s="306">
        <v>4.9406564584124654E-324</v>
      </c>
      <c r="I13" s="303">
        <v>2.4703282292062327E-323</v>
      </c>
      <c r="J13" s="304">
        <v>-0.26051334117500002</v>
      </c>
      <c r="K13" s="307">
        <v>3.9525251667299724E-323</v>
      </c>
    </row>
    <row r="14" spans="1:11" ht="14.4" customHeight="1" thickBot="1" x14ac:dyDescent="0.35">
      <c r="A14" s="320" t="s">
        <v>222</v>
      </c>
      <c r="B14" s="298">
        <v>0</v>
      </c>
      <c r="C14" s="298">
        <v>0.69894999999999996</v>
      </c>
      <c r="D14" s="299">
        <v>0.69894999999999996</v>
      </c>
      <c r="E14" s="310" t="s">
        <v>211</v>
      </c>
      <c r="F14" s="298">
        <v>0.62523201882000001</v>
      </c>
      <c r="G14" s="299">
        <v>0.26051334117500002</v>
      </c>
      <c r="H14" s="301">
        <v>4.9406564584124654E-324</v>
      </c>
      <c r="I14" s="298">
        <v>2.4703282292062327E-323</v>
      </c>
      <c r="J14" s="299">
        <v>-0.26051334117500002</v>
      </c>
      <c r="K14" s="302">
        <v>3.9525251667299724E-323</v>
      </c>
    </row>
    <row r="15" spans="1:11" ht="14.4" customHeight="1" thickBot="1" x14ac:dyDescent="0.35">
      <c r="A15" s="321" t="s">
        <v>223</v>
      </c>
      <c r="B15" s="303">
        <v>3.0108797603770001</v>
      </c>
      <c r="C15" s="303">
        <v>-5.7299999999999999E-3</v>
      </c>
      <c r="D15" s="304">
        <v>-3.0166097603769999</v>
      </c>
      <c r="E15" s="305">
        <v>-1.9030982490000001E-3</v>
      </c>
      <c r="F15" s="303">
        <v>-5.3815686699999997E-3</v>
      </c>
      <c r="G15" s="304">
        <v>-2.2423202790000001E-3</v>
      </c>
      <c r="H15" s="306">
        <v>2.0400000000000001E-3</v>
      </c>
      <c r="I15" s="303">
        <v>1.0200000000000001E-2</v>
      </c>
      <c r="J15" s="304">
        <v>1.2442320279E-2</v>
      </c>
      <c r="K15" s="307">
        <v>-1.895358142636</v>
      </c>
    </row>
    <row r="16" spans="1:11" ht="14.4" customHeight="1" thickBot="1" x14ac:dyDescent="0.35">
      <c r="A16" s="318" t="s">
        <v>22</v>
      </c>
      <c r="B16" s="298">
        <v>1.0110272795490001</v>
      </c>
      <c r="C16" s="298">
        <v>-5.7299999999999999E-3</v>
      </c>
      <c r="D16" s="299">
        <v>-1.0167572795490001</v>
      </c>
      <c r="E16" s="300">
        <v>-5.6675028610000001E-3</v>
      </c>
      <c r="F16" s="298">
        <v>-5.3815686699999997E-3</v>
      </c>
      <c r="G16" s="299">
        <v>-2.2423202790000001E-3</v>
      </c>
      <c r="H16" s="301">
        <v>2.0400000000000001E-3</v>
      </c>
      <c r="I16" s="298">
        <v>1.0200000000000001E-2</v>
      </c>
      <c r="J16" s="299">
        <v>1.2442320279E-2</v>
      </c>
      <c r="K16" s="302">
        <v>-1.895358142636</v>
      </c>
    </row>
    <row r="17" spans="1:11" ht="14.4" customHeight="1" thickBot="1" x14ac:dyDescent="0.35">
      <c r="A17" s="319" t="s">
        <v>224</v>
      </c>
      <c r="B17" s="303">
        <v>1.0110272795490001</v>
      </c>
      <c r="C17" s="303">
        <v>-5.7299999999999999E-3</v>
      </c>
      <c r="D17" s="304">
        <v>-1.0167572795490001</v>
      </c>
      <c r="E17" s="305">
        <v>-5.6675028610000001E-3</v>
      </c>
      <c r="F17" s="303">
        <v>-5.3815686699999997E-3</v>
      </c>
      <c r="G17" s="304">
        <v>-2.2423202790000001E-3</v>
      </c>
      <c r="H17" s="306">
        <v>2.0400000000000001E-3</v>
      </c>
      <c r="I17" s="303">
        <v>1.0200000000000001E-2</v>
      </c>
      <c r="J17" s="304">
        <v>1.2442320279E-2</v>
      </c>
      <c r="K17" s="307">
        <v>-1.895358142636</v>
      </c>
    </row>
    <row r="18" spans="1:11" ht="14.4" customHeight="1" thickBot="1" x14ac:dyDescent="0.35">
      <c r="A18" s="320" t="s">
        <v>225</v>
      </c>
      <c r="B18" s="298">
        <v>1.000057746467</v>
      </c>
      <c r="C18" s="298">
        <v>-5.7299999999999999E-3</v>
      </c>
      <c r="D18" s="299">
        <v>-1.005787746467</v>
      </c>
      <c r="E18" s="300">
        <v>-5.7296691309999996E-3</v>
      </c>
      <c r="F18" s="298">
        <v>-5.3815686699999997E-3</v>
      </c>
      <c r="G18" s="299">
        <v>-2.2423202790000001E-3</v>
      </c>
      <c r="H18" s="301">
        <v>2.0400000000000001E-3</v>
      </c>
      <c r="I18" s="298">
        <v>1.0200000000000001E-2</v>
      </c>
      <c r="J18" s="299">
        <v>1.2442320279E-2</v>
      </c>
      <c r="K18" s="302">
        <v>-1.895358142636</v>
      </c>
    </row>
    <row r="19" spans="1:11" ht="14.4" customHeight="1" thickBot="1" x14ac:dyDescent="0.35">
      <c r="A19" s="317" t="s">
        <v>23</v>
      </c>
      <c r="B19" s="298">
        <v>1476.99960005362</v>
      </c>
      <c r="C19" s="298">
        <v>1672.0398399999999</v>
      </c>
      <c r="D19" s="299">
        <v>195.040239946377</v>
      </c>
      <c r="E19" s="300">
        <v>1.1320516538650001</v>
      </c>
      <c r="F19" s="298">
        <v>1732.0086277426201</v>
      </c>
      <c r="G19" s="299">
        <v>721.67026155942699</v>
      </c>
      <c r="H19" s="301">
        <v>128.06647000000001</v>
      </c>
      <c r="I19" s="298">
        <v>658.75644000000102</v>
      </c>
      <c r="J19" s="299">
        <v>-62.913821559425003</v>
      </c>
      <c r="K19" s="302">
        <v>0.38034247026700002</v>
      </c>
    </row>
    <row r="20" spans="1:11" ht="14.4" customHeight="1" thickBot="1" x14ac:dyDescent="0.35">
      <c r="A20" s="322" t="s">
        <v>226</v>
      </c>
      <c r="B20" s="303">
        <v>1093.99999999994</v>
      </c>
      <c r="C20" s="303">
        <v>1243.4670000000001</v>
      </c>
      <c r="D20" s="304">
        <v>149.46700000006001</v>
      </c>
      <c r="E20" s="305">
        <v>1.1366243144420001</v>
      </c>
      <c r="F20" s="303">
        <v>1282.99999999998</v>
      </c>
      <c r="G20" s="304">
        <v>534.58333333332405</v>
      </c>
      <c r="H20" s="306">
        <v>95.625</v>
      </c>
      <c r="I20" s="303">
        <v>491.77</v>
      </c>
      <c r="J20" s="304">
        <v>-42.813333333323001</v>
      </c>
      <c r="K20" s="307">
        <v>0.38329696024900001</v>
      </c>
    </row>
    <row r="21" spans="1:11" ht="14.4" customHeight="1" thickBot="1" x14ac:dyDescent="0.35">
      <c r="A21" s="319" t="s">
        <v>227</v>
      </c>
      <c r="B21" s="303">
        <v>1093.99999999994</v>
      </c>
      <c r="C21" s="303">
        <v>1242.8109999999999</v>
      </c>
      <c r="D21" s="304">
        <v>148.81100000006001</v>
      </c>
      <c r="E21" s="305">
        <v>1.1360246800730001</v>
      </c>
      <c r="F21" s="303">
        <v>1277.99999999998</v>
      </c>
      <c r="G21" s="304">
        <v>532.49999999999</v>
      </c>
      <c r="H21" s="306">
        <v>95.625</v>
      </c>
      <c r="I21" s="303">
        <v>491.77</v>
      </c>
      <c r="J21" s="304">
        <v>-40.72999999999</v>
      </c>
      <c r="K21" s="307">
        <v>0.38479655711999999</v>
      </c>
    </row>
    <row r="22" spans="1:11" ht="14.4" customHeight="1" thickBot="1" x14ac:dyDescent="0.35">
      <c r="A22" s="320" t="s">
        <v>228</v>
      </c>
      <c r="B22" s="298">
        <v>1093.99999999994</v>
      </c>
      <c r="C22" s="298">
        <v>1242.8109999999999</v>
      </c>
      <c r="D22" s="299">
        <v>148.81100000006001</v>
      </c>
      <c r="E22" s="300">
        <v>1.1360246800730001</v>
      </c>
      <c r="F22" s="298">
        <v>1277.99999999998</v>
      </c>
      <c r="G22" s="299">
        <v>532.49999999999</v>
      </c>
      <c r="H22" s="301">
        <v>95.625</v>
      </c>
      <c r="I22" s="298">
        <v>491.77</v>
      </c>
      <c r="J22" s="299">
        <v>-40.72999999999</v>
      </c>
      <c r="K22" s="302">
        <v>0.38479655711999999</v>
      </c>
    </row>
    <row r="23" spans="1:11" ht="14.4" customHeight="1" thickBot="1" x14ac:dyDescent="0.35">
      <c r="A23" s="319" t="s">
        <v>229</v>
      </c>
      <c r="B23" s="303">
        <v>0</v>
      </c>
      <c r="C23" s="303">
        <v>0.65600000000000003</v>
      </c>
      <c r="D23" s="304">
        <v>0.65600000000000003</v>
      </c>
      <c r="E23" s="309" t="s">
        <v>211</v>
      </c>
      <c r="F23" s="303">
        <v>4.9999999999989999</v>
      </c>
      <c r="G23" s="304">
        <v>2.083333333333</v>
      </c>
      <c r="H23" s="306">
        <v>4.9406564584124654E-324</v>
      </c>
      <c r="I23" s="303">
        <v>2.4703282292062327E-323</v>
      </c>
      <c r="J23" s="304">
        <v>-2.083333333333</v>
      </c>
      <c r="K23" s="307">
        <v>4.9406564584124654E-324</v>
      </c>
    </row>
    <row r="24" spans="1:11" ht="14.4" customHeight="1" thickBot="1" x14ac:dyDescent="0.35">
      <c r="A24" s="320" t="s">
        <v>230</v>
      </c>
      <c r="B24" s="298">
        <v>0</v>
      </c>
      <c r="C24" s="298">
        <v>0.65600000000000003</v>
      </c>
      <c r="D24" s="299">
        <v>0.65600000000000003</v>
      </c>
      <c r="E24" s="310" t="s">
        <v>211</v>
      </c>
      <c r="F24" s="298">
        <v>4.9999999999989999</v>
      </c>
      <c r="G24" s="299">
        <v>2.083333333333</v>
      </c>
      <c r="H24" s="301">
        <v>4.9406564584124654E-324</v>
      </c>
      <c r="I24" s="298">
        <v>2.4703282292062327E-323</v>
      </c>
      <c r="J24" s="299">
        <v>-2.083333333333</v>
      </c>
      <c r="K24" s="302">
        <v>4.9406564584124654E-324</v>
      </c>
    </row>
    <row r="25" spans="1:11" ht="14.4" customHeight="1" thickBot="1" x14ac:dyDescent="0.35">
      <c r="A25" s="318" t="s">
        <v>231</v>
      </c>
      <c r="B25" s="298">
        <v>371.99960005368399</v>
      </c>
      <c r="C25" s="298">
        <v>416.13866000000002</v>
      </c>
      <c r="D25" s="299">
        <v>44.139059946316003</v>
      </c>
      <c r="E25" s="300">
        <v>1.118653514519</v>
      </c>
      <c r="F25" s="298">
        <v>436.00862774264698</v>
      </c>
      <c r="G25" s="299">
        <v>181.670261559436</v>
      </c>
      <c r="H25" s="301">
        <v>31.485250000000001</v>
      </c>
      <c r="I25" s="298">
        <v>162.06950000000001</v>
      </c>
      <c r="J25" s="299">
        <v>-19.600761559435998</v>
      </c>
      <c r="K25" s="302">
        <v>0.37171168111699998</v>
      </c>
    </row>
    <row r="26" spans="1:11" ht="14.4" customHeight="1" thickBot="1" x14ac:dyDescent="0.35">
      <c r="A26" s="319" t="s">
        <v>232</v>
      </c>
      <c r="B26" s="303">
        <v>97.999999245702</v>
      </c>
      <c r="C26" s="303">
        <v>111.85191</v>
      </c>
      <c r="D26" s="304">
        <v>13.851910754297</v>
      </c>
      <c r="E26" s="305">
        <v>1.141346029193</v>
      </c>
      <c r="F26" s="303">
        <v>116.008627742653</v>
      </c>
      <c r="G26" s="304">
        <v>48.336928226105002</v>
      </c>
      <c r="H26" s="306">
        <v>8.6059999999999999</v>
      </c>
      <c r="I26" s="303">
        <v>44.256999999999998</v>
      </c>
      <c r="J26" s="304">
        <v>-4.0799282261050003</v>
      </c>
      <c r="K26" s="307">
        <v>0.381497487395</v>
      </c>
    </row>
    <row r="27" spans="1:11" ht="14.4" customHeight="1" thickBot="1" x14ac:dyDescent="0.35">
      <c r="A27" s="320" t="s">
        <v>233</v>
      </c>
      <c r="B27" s="298">
        <v>97.999999245702</v>
      </c>
      <c r="C27" s="298">
        <v>111.85191</v>
      </c>
      <c r="D27" s="299">
        <v>13.851910754297</v>
      </c>
      <c r="E27" s="300">
        <v>1.141346029193</v>
      </c>
      <c r="F27" s="298">
        <v>116.008627742653</v>
      </c>
      <c r="G27" s="299">
        <v>48.336928226105002</v>
      </c>
      <c r="H27" s="301">
        <v>8.6059999999999999</v>
      </c>
      <c r="I27" s="298">
        <v>44.256999999999998</v>
      </c>
      <c r="J27" s="299">
        <v>-4.0799282261050003</v>
      </c>
      <c r="K27" s="302">
        <v>0.381497487395</v>
      </c>
    </row>
    <row r="28" spans="1:11" ht="14.4" customHeight="1" thickBot="1" x14ac:dyDescent="0.35">
      <c r="A28" s="319" t="s">
        <v>234</v>
      </c>
      <c r="B28" s="303">
        <v>273.99960080798201</v>
      </c>
      <c r="C28" s="303">
        <v>304.28674999999998</v>
      </c>
      <c r="D28" s="304">
        <v>30.287149192017999</v>
      </c>
      <c r="E28" s="305">
        <v>1.1105372018890001</v>
      </c>
      <c r="F28" s="303">
        <v>319.99999999999301</v>
      </c>
      <c r="G28" s="304">
        <v>133.33333333333101</v>
      </c>
      <c r="H28" s="306">
        <v>22.879249999999999</v>
      </c>
      <c r="I28" s="303">
        <v>117.8125</v>
      </c>
      <c r="J28" s="304">
        <v>-15.52083333333</v>
      </c>
      <c r="K28" s="307">
        <v>0.3681640625</v>
      </c>
    </row>
    <row r="29" spans="1:11" ht="14.4" customHeight="1" thickBot="1" x14ac:dyDescent="0.35">
      <c r="A29" s="320" t="s">
        <v>235</v>
      </c>
      <c r="B29" s="298">
        <v>273.99960080798201</v>
      </c>
      <c r="C29" s="298">
        <v>304.28674999999998</v>
      </c>
      <c r="D29" s="299">
        <v>30.287149192017999</v>
      </c>
      <c r="E29" s="300">
        <v>1.1105372018890001</v>
      </c>
      <c r="F29" s="298">
        <v>319.99999999999301</v>
      </c>
      <c r="G29" s="299">
        <v>133.33333333333101</v>
      </c>
      <c r="H29" s="301">
        <v>22.879249999999999</v>
      </c>
      <c r="I29" s="298">
        <v>117.8125</v>
      </c>
      <c r="J29" s="299">
        <v>-15.52083333333</v>
      </c>
      <c r="K29" s="302">
        <v>0.3681640625</v>
      </c>
    </row>
    <row r="30" spans="1:11" ht="14.4" customHeight="1" thickBot="1" x14ac:dyDescent="0.35">
      <c r="A30" s="318" t="s">
        <v>236</v>
      </c>
      <c r="B30" s="298">
        <v>10.999999999999</v>
      </c>
      <c r="C30" s="298">
        <v>12.43418</v>
      </c>
      <c r="D30" s="299">
        <v>1.43418</v>
      </c>
      <c r="E30" s="300">
        <v>1.1303799999999999</v>
      </c>
      <c r="F30" s="298">
        <v>12.999999999999</v>
      </c>
      <c r="G30" s="299">
        <v>5.4166666666659999</v>
      </c>
      <c r="H30" s="301">
        <v>0.95621999999999996</v>
      </c>
      <c r="I30" s="298">
        <v>4.9169400000000003</v>
      </c>
      <c r="J30" s="299">
        <v>-0.49972666666600002</v>
      </c>
      <c r="K30" s="302">
        <v>0.378226153846</v>
      </c>
    </row>
    <row r="31" spans="1:11" ht="14.4" customHeight="1" thickBot="1" x14ac:dyDescent="0.35">
      <c r="A31" s="319" t="s">
        <v>237</v>
      </c>
      <c r="B31" s="303">
        <v>10.999999999999</v>
      </c>
      <c r="C31" s="303">
        <v>12.43418</v>
      </c>
      <c r="D31" s="304">
        <v>1.43418</v>
      </c>
      <c r="E31" s="305">
        <v>1.1303799999999999</v>
      </c>
      <c r="F31" s="303">
        <v>12.999999999999</v>
      </c>
      <c r="G31" s="304">
        <v>5.4166666666659999</v>
      </c>
      <c r="H31" s="306">
        <v>0.95621999999999996</v>
      </c>
      <c r="I31" s="303">
        <v>4.9169400000000003</v>
      </c>
      <c r="J31" s="304">
        <v>-0.49972666666600002</v>
      </c>
      <c r="K31" s="307">
        <v>0.378226153846</v>
      </c>
    </row>
    <row r="32" spans="1:11" ht="14.4" customHeight="1" thickBot="1" x14ac:dyDescent="0.35">
      <c r="A32" s="320" t="s">
        <v>238</v>
      </c>
      <c r="B32" s="298">
        <v>10.999999999999</v>
      </c>
      <c r="C32" s="298">
        <v>12.43418</v>
      </c>
      <c r="D32" s="299">
        <v>1.43418</v>
      </c>
      <c r="E32" s="300">
        <v>1.1303799999999999</v>
      </c>
      <c r="F32" s="298">
        <v>12.999999999999</v>
      </c>
      <c r="G32" s="299">
        <v>5.4166666666659999</v>
      </c>
      <c r="H32" s="301">
        <v>0.95621999999999996</v>
      </c>
      <c r="I32" s="298">
        <v>4.9169400000000003</v>
      </c>
      <c r="J32" s="299">
        <v>-0.49972666666600002</v>
      </c>
      <c r="K32" s="302">
        <v>0.378226153846</v>
      </c>
    </row>
    <row r="33" spans="1:11" ht="14.4" customHeight="1" thickBot="1" x14ac:dyDescent="0.35">
      <c r="A33" s="317" t="s">
        <v>239</v>
      </c>
      <c r="B33" s="298">
        <v>0</v>
      </c>
      <c r="C33" s="298">
        <v>10.4</v>
      </c>
      <c r="D33" s="299">
        <v>10.4</v>
      </c>
      <c r="E33" s="310" t="s">
        <v>211</v>
      </c>
      <c r="F33" s="298">
        <v>0</v>
      </c>
      <c r="G33" s="299">
        <v>0</v>
      </c>
      <c r="H33" s="301">
        <v>3.5</v>
      </c>
      <c r="I33" s="298">
        <v>3.5</v>
      </c>
      <c r="J33" s="299">
        <v>3.5</v>
      </c>
      <c r="K33" s="308" t="s">
        <v>211</v>
      </c>
    </row>
    <row r="34" spans="1:11" ht="14.4" customHeight="1" thickBot="1" x14ac:dyDescent="0.35">
      <c r="A34" s="318" t="s">
        <v>240</v>
      </c>
      <c r="B34" s="298">
        <v>0</v>
      </c>
      <c r="C34" s="298">
        <v>10.4</v>
      </c>
      <c r="D34" s="299">
        <v>10.4</v>
      </c>
      <c r="E34" s="310" t="s">
        <v>211</v>
      </c>
      <c r="F34" s="298">
        <v>0</v>
      </c>
      <c r="G34" s="299">
        <v>0</v>
      </c>
      <c r="H34" s="301">
        <v>3.5</v>
      </c>
      <c r="I34" s="298">
        <v>3.5</v>
      </c>
      <c r="J34" s="299">
        <v>3.5</v>
      </c>
      <c r="K34" s="308" t="s">
        <v>211</v>
      </c>
    </row>
    <row r="35" spans="1:11" ht="14.4" customHeight="1" thickBot="1" x14ac:dyDescent="0.35">
      <c r="A35" s="319" t="s">
        <v>241</v>
      </c>
      <c r="B35" s="303">
        <v>0</v>
      </c>
      <c r="C35" s="303">
        <v>10.4</v>
      </c>
      <c r="D35" s="304">
        <v>10.4</v>
      </c>
      <c r="E35" s="309" t="s">
        <v>211</v>
      </c>
      <c r="F35" s="303">
        <v>0</v>
      </c>
      <c r="G35" s="304">
        <v>0</v>
      </c>
      <c r="H35" s="306">
        <v>3.5</v>
      </c>
      <c r="I35" s="303">
        <v>3.5</v>
      </c>
      <c r="J35" s="304">
        <v>3.5</v>
      </c>
      <c r="K35" s="311" t="s">
        <v>211</v>
      </c>
    </row>
    <row r="36" spans="1:11" ht="14.4" customHeight="1" thickBot="1" x14ac:dyDescent="0.35">
      <c r="A36" s="320" t="s">
        <v>242</v>
      </c>
      <c r="B36" s="298">
        <v>0</v>
      </c>
      <c r="C36" s="298">
        <v>8.5</v>
      </c>
      <c r="D36" s="299">
        <v>8.5</v>
      </c>
      <c r="E36" s="310" t="s">
        <v>211</v>
      </c>
      <c r="F36" s="298">
        <v>0</v>
      </c>
      <c r="G36" s="299">
        <v>0</v>
      </c>
      <c r="H36" s="301">
        <v>3.5</v>
      </c>
      <c r="I36" s="298">
        <v>3.5</v>
      </c>
      <c r="J36" s="299">
        <v>3.5</v>
      </c>
      <c r="K36" s="308" t="s">
        <v>211</v>
      </c>
    </row>
    <row r="37" spans="1:11" ht="14.4" customHeight="1" thickBot="1" x14ac:dyDescent="0.35">
      <c r="A37" s="320" t="s">
        <v>243</v>
      </c>
      <c r="B37" s="298">
        <v>4.9406564584124654E-324</v>
      </c>
      <c r="C37" s="298">
        <v>1.9</v>
      </c>
      <c r="D37" s="299">
        <v>1.9</v>
      </c>
      <c r="E37" s="310" t="s">
        <v>220</v>
      </c>
      <c r="F37" s="298">
        <v>0</v>
      </c>
      <c r="G37" s="299">
        <v>0</v>
      </c>
      <c r="H37" s="301">
        <v>4.9406564584124654E-324</v>
      </c>
      <c r="I37" s="298">
        <v>2.4703282292062327E-323</v>
      </c>
      <c r="J37" s="299">
        <v>2.4703282292062327E-323</v>
      </c>
      <c r="K37" s="308" t="s">
        <v>211</v>
      </c>
    </row>
    <row r="38" spans="1:11" ht="14.4" customHeight="1" thickBot="1" x14ac:dyDescent="0.35">
      <c r="A38" s="316" t="s">
        <v>244</v>
      </c>
      <c r="B38" s="298">
        <v>63.057483413965002</v>
      </c>
      <c r="C38" s="298">
        <v>96.76464</v>
      </c>
      <c r="D38" s="299">
        <v>33.707156586034003</v>
      </c>
      <c r="E38" s="300">
        <v>1.534546492519</v>
      </c>
      <c r="F38" s="298">
        <v>66.057504682323</v>
      </c>
      <c r="G38" s="299">
        <v>27.523960284301001</v>
      </c>
      <c r="H38" s="301">
        <v>3.8140200000000002</v>
      </c>
      <c r="I38" s="298">
        <v>15.55134</v>
      </c>
      <c r="J38" s="299">
        <v>-11.972620284301</v>
      </c>
      <c r="K38" s="302">
        <v>0.23542124509199999</v>
      </c>
    </row>
    <row r="39" spans="1:11" ht="14.4" customHeight="1" thickBot="1" x14ac:dyDescent="0.35">
      <c r="A39" s="317" t="s">
        <v>245</v>
      </c>
      <c r="B39" s="298">
        <v>57.999999808725001</v>
      </c>
      <c r="C39" s="298">
        <v>47.201149999999998</v>
      </c>
      <c r="D39" s="299">
        <v>-10.798849808725</v>
      </c>
      <c r="E39" s="300">
        <v>0.81381293371800001</v>
      </c>
      <c r="F39" s="298">
        <v>63</v>
      </c>
      <c r="G39" s="299">
        <v>26.25</v>
      </c>
      <c r="H39" s="301">
        <v>3.8140200000000002</v>
      </c>
      <c r="I39" s="298">
        <v>15.55134</v>
      </c>
      <c r="J39" s="299">
        <v>-10.69866</v>
      </c>
      <c r="K39" s="302">
        <v>0.246846666666</v>
      </c>
    </row>
    <row r="40" spans="1:11" ht="14.4" customHeight="1" thickBot="1" x14ac:dyDescent="0.35">
      <c r="A40" s="318" t="s">
        <v>246</v>
      </c>
      <c r="B40" s="298">
        <v>57.999999808725001</v>
      </c>
      <c r="C40" s="298">
        <v>47.201149999999998</v>
      </c>
      <c r="D40" s="299">
        <v>-10.798849808725</v>
      </c>
      <c r="E40" s="300">
        <v>0.81381293371800001</v>
      </c>
      <c r="F40" s="298">
        <v>63</v>
      </c>
      <c r="G40" s="299">
        <v>26.25</v>
      </c>
      <c r="H40" s="301">
        <v>3.8140200000000002</v>
      </c>
      <c r="I40" s="298">
        <v>15.55134</v>
      </c>
      <c r="J40" s="299">
        <v>-10.69866</v>
      </c>
      <c r="K40" s="302">
        <v>0.246846666666</v>
      </c>
    </row>
    <row r="41" spans="1:11" ht="14.4" customHeight="1" thickBot="1" x14ac:dyDescent="0.35">
      <c r="A41" s="319" t="s">
        <v>247</v>
      </c>
      <c r="B41" s="303">
        <v>4.9406564584124654E-324</v>
      </c>
      <c r="C41" s="303">
        <v>-1.6900000000000001E-3</v>
      </c>
      <c r="D41" s="304">
        <v>-1.6900000000000001E-3</v>
      </c>
      <c r="E41" s="309" t="s">
        <v>220</v>
      </c>
      <c r="F41" s="303">
        <v>0</v>
      </c>
      <c r="G41" s="304">
        <v>0</v>
      </c>
      <c r="H41" s="306">
        <v>4.9406564584124654E-324</v>
      </c>
      <c r="I41" s="303">
        <v>2.4703282292062327E-323</v>
      </c>
      <c r="J41" s="304">
        <v>2.4703282292062327E-323</v>
      </c>
      <c r="K41" s="311" t="s">
        <v>211</v>
      </c>
    </row>
    <row r="42" spans="1:11" ht="14.4" customHeight="1" thickBot="1" x14ac:dyDescent="0.35">
      <c r="A42" s="320" t="s">
        <v>248</v>
      </c>
      <c r="B42" s="298">
        <v>4.9406564584124654E-324</v>
      </c>
      <c r="C42" s="298">
        <v>-1.6900000000000001E-3</v>
      </c>
      <c r="D42" s="299">
        <v>-1.6900000000000001E-3</v>
      </c>
      <c r="E42" s="310" t="s">
        <v>220</v>
      </c>
      <c r="F42" s="298">
        <v>0</v>
      </c>
      <c r="G42" s="299">
        <v>0</v>
      </c>
      <c r="H42" s="301">
        <v>4.9406564584124654E-324</v>
      </c>
      <c r="I42" s="298">
        <v>2.4703282292062327E-323</v>
      </c>
      <c r="J42" s="299">
        <v>2.4703282292062327E-323</v>
      </c>
      <c r="K42" s="308" t="s">
        <v>211</v>
      </c>
    </row>
    <row r="43" spans="1:11" ht="14.4" customHeight="1" thickBot="1" x14ac:dyDescent="0.35">
      <c r="A43" s="319" t="s">
        <v>249</v>
      </c>
      <c r="B43" s="303">
        <v>57.999999808725001</v>
      </c>
      <c r="C43" s="303">
        <v>44.004939999999998</v>
      </c>
      <c r="D43" s="304">
        <v>-13.995059808724999</v>
      </c>
      <c r="E43" s="305">
        <v>0.75870586457099998</v>
      </c>
      <c r="F43" s="303">
        <v>63</v>
      </c>
      <c r="G43" s="304">
        <v>26.25</v>
      </c>
      <c r="H43" s="306">
        <v>3.8140200000000002</v>
      </c>
      <c r="I43" s="303">
        <v>15.289</v>
      </c>
      <c r="J43" s="304">
        <v>-10.961</v>
      </c>
      <c r="K43" s="307">
        <v>0.24268253968199999</v>
      </c>
    </row>
    <row r="44" spans="1:11" ht="14.4" customHeight="1" thickBot="1" x14ac:dyDescent="0.35">
      <c r="A44" s="320" t="s">
        <v>250</v>
      </c>
      <c r="B44" s="298">
        <v>30.999999906542001</v>
      </c>
      <c r="C44" s="298">
        <v>20.798459999999999</v>
      </c>
      <c r="D44" s="299">
        <v>-10.201539906541999</v>
      </c>
      <c r="E44" s="300">
        <v>0.67091806653800001</v>
      </c>
      <c r="F44" s="298">
        <v>31</v>
      </c>
      <c r="G44" s="299">
        <v>12.916666666666</v>
      </c>
      <c r="H44" s="301">
        <v>2.4011100000000001</v>
      </c>
      <c r="I44" s="298">
        <v>8.0532299999999992</v>
      </c>
      <c r="J44" s="299">
        <v>-4.8634366666659998</v>
      </c>
      <c r="K44" s="302">
        <v>0.259781612903</v>
      </c>
    </row>
    <row r="45" spans="1:11" ht="14.4" customHeight="1" thickBot="1" x14ac:dyDescent="0.35">
      <c r="A45" s="320" t="s">
        <v>251</v>
      </c>
      <c r="B45" s="298">
        <v>26.999999902182001</v>
      </c>
      <c r="C45" s="298">
        <v>23.206479999999999</v>
      </c>
      <c r="D45" s="299">
        <v>-3.7935199021820001</v>
      </c>
      <c r="E45" s="300">
        <v>0.85949926237300001</v>
      </c>
      <c r="F45" s="298">
        <v>32</v>
      </c>
      <c r="G45" s="299">
        <v>13.333333333333</v>
      </c>
      <c r="H45" s="301">
        <v>1.4129100000000001</v>
      </c>
      <c r="I45" s="298">
        <v>7.2357699999999996</v>
      </c>
      <c r="J45" s="299">
        <v>-6.0975633333330004</v>
      </c>
      <c r="K45" s="302">
        <v>0.22611781249999999</v>
      </c>
    </row>
    <row r="46" spans="1:11" ht="14.4" customHeight="1" thickBot="1" x14ac:dyDescent="0.35">
      <c r="A46" s="319" t="s">
        <v>252</v>
      </c>
      <c r="B46" s="303">
        <v>0</v>
      </c>
      <c r="C46" s="303">
        <v>3.1979000000000002</v>
      </c>
      <c r="D46" s="304">
        <v>3.1979000000000002</v>
      </c>
      <c r="E46" s="309" t="s">
        <v>211</v>
      </c>
      <c r="F46" s="303">
        <v>0</v>
      </c>
      <c r="G46" s="304">
        <v>0</v>
      </c>
      <c r="H46" s="306">
        <v>4.9406564584124654E-324</v>
      </c>
      <c r="I46" s="303">
        <v>0.26234000000000002</v>
      </c>
      <c r="J46" s="304">
        <v>0.26234000000000002</v>
      </c>
      <c r="K46" s="311" t="s">
        <v>211</v>
      </c>
    </row>
    <row r="47" spans="1:11" ht="14.4" customHeight="1" thickBot="1" x14ac:dyDescent="0.35">
      <c r="A47" s="320" t="s">
        <v>253</v>
      </c>
      <c r="B47" s="298">
        <v>4.9406564584124654E-324</v>
      </c>
      <c r="C47" s="298">
        <v>1.8968499999999999</v>
      </c>
      <c r="D47" s="299">
        <v>1.8968499999999999</v>
      </c>
      <c r="E47" s="310" t="s">
        <v>220</v>
      </c>
      <c r="F47" s="298">
        <v>0</v>
      </c>
      <c r="G47" s="299">
        <v>0</v>
      </c>
      <c r="H47" s="301">
        <v>4.9406564584124654E-324</v>
      </c>
      <c r="I47" s="298">
        <v>0.16486999999999999</v>
      </c>
      <c r="J47" s="299">
        <v>0.16486999999999999</v>
      </c>
      <c r="K47" s="308" t="s">
        <v>211</v>
      </c>
    </row>
    <row r="48" spans="1:11" ht="14.4" customHeight="1" thickBot="1" x14ac:dyDescent="0.35">
      <c r="A48" s="320" t="s">
        <v>254</v>
      </c>
      <c r="B48" s="298">
        <v>0</v>
      </c>
      <c r="C48" s="298">
        <v>1.30105</v>
      </c>
      <c r="D48" s="299">
        <v>1.30105</v>
      </c>
      <c r="E48" s="310" t="s">
        <v>211</v>
      </c>
      <c r="F48" s="298">
        <v>0</v>
      </c>
      <c r="G48" s="299">
        <v>0</v>
      </c>
      <c r="H48" s="301">
        <v>4.9406564584124654E-324</v>
      </c>
      <c r="I48" s="298">
        <v>9.7470000000000001E-2</v>
      </c>
      <c r="J48" s="299">
        <v>9.7470000000000001E-2</v>
      </c>
      <c r="K48" s="308" t="s">
        <v>211</v>
      </c>
    </row>
    <row r="49" spans="1:11" ht="14.4" customHeight="1" thickBot="1" x14ac:dyDescent="0.35">
      <c r="A49" s="317" t="s">
        <v>255</v>
      </c>
      <c r="B49" s="298">
        <v>5.0574836052389998</v>
      </c>
      <c r="C49" s="298">
        <v>4.9406564584124654E-324</v>
      </c>
      <c r="D49" s="299">
        <v>-5.0574836052389998</v>
      </c>
      <c r="E49" s="300">
        <v>0</v>
      </c>
      <c r="F49" s="298">
        <v>3.0575046823230001</v>
      </c>
      <c r="G49" s="299">
        <v>1.2739602843010001</v>
      </c>
      <c r="H49" s="301">
        <v>4.9406564584124654E-324</v>
      </c>
      <c r="I49" s="298">
        <v>2.4703282292062327E-323</v>
      </c>
      <c r="J49" s="299">
        <v>-1.2739602843010001</v>
      </c>
      <c r="K49" s="302">
        <v>9.8813129168249309E-324</v>
      </c>
    </row>
    <row r="50" spans="1:11" ht="14.4" customHeight="1" thickBot="1" x14ac:dyDescent="0.35">
      <c r="A50" s="322" t="s">
        <v>256</v>
      </c>
      <c r="B50" s="303">
        <v>3.0575046823230001</v>
      </c>
      <c r="C50" s="303">
        <v>4.9406564584124654E-324</v>
      </c>
      <c r="D50" s="304">
        <v>-3.0575046823230001</v>
      </c>
      <c r="E50" s="305">
        <v>0</v>
      </c>
      <c r="F50" s="303">
        <v>3.0575046823230001</v>
      </c>
      <c r="G50" s="304">
        <v>1.2739602843010001</v>
      </c>
      <c r="H50" s="306">
        <v>4.9406564584124654E-324</v>
      </c>
      <c r="I50" s="303">
        <v>2.4703282292062327E-323</v>
      </c>
      <c r="J50" s="304">
        <v>-1.2739602843010001</v>
      </c>
      <c r="K50" s="307">
        <v>9.8813129168249309E-324</v>
      </c>
    </row>
    <row r="51" spans="1:11" ht="14.4" customHeight="1" thickBot="1" x14ac:dyDescent="0.35">
      <c r="A51" s="319" t="s">
        <v>257</v>
      </c>
      <c r="B51" s="303">
        <v>3.0575046823230001</v>
      </c>
      <c r="C51" s="303">
        <v>4.9406564584124654E-324</v>
      </c>
      <c r="D51" s="304">
        <v>-3.0575046823230001</v>
      </c>
      <c r="E51" s="305">
        <v>0</v>
      </c>
      <c r="F51" s="303">
        <v>3.0575046823230001</v>
      </c>
      <c r="G51" s="304">
        <v>1.2739602843010001</v>
      </c>
      <c r="H51" s="306">
        <v>4.9406564584124654E-324</v>
      </c>
      <c r="I51" s="303">
        <v>2.4703282292062327E-323</v>
      </c>
      <c r="J51" s="304">
        <v>-1.2739602843010001</v>
      </c>
      <c r="K51" s="307">
        <v>9.8813129168249309E-324</v>
      </c>
    </row>
    <row r="52" spans="1:11" ht="14.4" customHeight="1" thickBot="1" x14ac:dyDescent="0.35">
      <c r="A52" s="320" t="s">
        <v>258</v>
      </c>
      <c r="B52" s="298">
        <v>3.0575046823230001</v>
      </c>
      <c r="C52" s="298">
        <v>4.9406564584124654E-324</v>
      </c>
      <c r="D52" s="299">
        <v>-3.0575046823230001</v>
      </c>
      <c r="E52" s="300">
        <v>0</v>
      </c>
      <c r="F52" s="298">
        <v>3.0575046823230001</v>
      </c>
      <c r="G52" s="299">
        <v>1.2739602843010001</v>
      </c>
      <c r="H52" s="301">
        <v>4.9406564584124654E-324</v>
      </c>
      <c r="I52" s="298">
        <v>2.4703282292062327E-323</v>
      </c>
      <c r="J52" s="299">
        <v>-1.2739602843010001</v>
      </c>
      <c r="K52" s="302">
        <v>9.8813129168249309E-324</v>
      </c>
    </row>
    <row r="53" spans="1:11" ht="14.4" customHeight="1" thickBot="1" x14ac:dyDescent="0.35">
      <c r="A53" s="317" t="s">
        <v>259</v>
      </c>
      <c r="B53" s="298">
        <v>4.9406564584124654E-324</v>
      </c>
      <c r="C53" s="298">
        <v>49.563490000000002</v>
      </c>
      <c r="D53" s="299">
        <v>49.563490000000002</v>
      </c>
      <c r="E53" s="310" t="s">
        <v>220</v>
      </c>
      <c r="F53" s="298">
        <v>4.9406564584124654E-324</v>
      </c>
      <c r="G53" s="299">
        <v>0</v>
      </c>
      <c r="H53" s="301">
        <v>4.9406564584124654E-324</v>
      </c>
      <c r="I53" s="298">
        <v>2.4703282292062327E-323</v>
      </c>
      <c r="J53" s="299">
        <v>2.4703282292062327E-323</v>
      </c>
      <c r="K53" s="302">
        <v>0</v>
      </c>
    </row>
    <row r="54" spans="1:11" ht="14.4" customHeight="1" thickBot="1" x14ac:dyDescent="0.35">
      <c r="A54" s="322" t="s">
        <v>260</v>
      </c>
      <c r="B54" s="303">
        <v>4.9406564584124654E-324</v>
      </c>
      <c r="C54" s="303">
        <v>49.563490000000002</v>
      </c>
      <c r="D54" s="304">
        <v>49.563490000000002</v>
      </c>
      <c r="E54" s="309" t="s">
        <v>220</v>
      </c>
      <c r="F54" s="303">
        <v>4.9406564584124654E-324</v>
      </c>
      <c r="G54" s="304">
        <v>0</v>
      </c>
      <c r="H54" s="306">
        <v>4.9406564584124654E-324</v>
      </c>
      <c r="I54" s="303">
        <v>2.4703282292062327E-323</v>
      </c>
      <c r="J54" s="304">
        <v>2.4703282292062327E-323</v>
      </c>
      <c r="K54" s="307">
        <v>0</v>
      </c>
    </row>
    <row r="55" spans="1:11" ht="14.4" customHeight="1" thickBot="1" x14ac:dyDescent="0.35">
      <c r="A55" s="319" t="s">
        <v>261</v>
      </c>
      <c r="B55" s="303">
        <v>4.9406564584124654E-324</v>
      </c>
      <c r="C55" s="303">
        <v>49.563490000000002</v>
      </c>
      <c r="D55" s="304">
        <v>49.563490000000002</v>
      </c>
      <c r="E55" s="309" t="s">
        <v>220</v>
      </c>
      <c r="F55" s="303">
        <v>4.9406564584124654E-324</v>
      </c>
      <c r="G55" s="304">
        <v>0</v>
      </c>
      <c r="H55" s="306">
        <v>4.9406564584124654E-324</v>
      </c>
      <c r="I55" s="303">
        <v>2.4703282292062327E-323</v>
      </c>
      <c r="J55" s="304">
        <v>2.4703282292062327E-323</v>
      </c>
      <c r="K55" s="307">
        <v>0</v>
      </c>
    </row>
    <row r="56" spans="1:11" ht="14.4" customHeight="1" thickBot="1" x14ac:dyDescent="0.35">
      <c r="A56" s="320" t="s">
        <v>262</v>
      </c>
      <c r="B56" s="298">
        <v>4.9406564584124654E-324</v>
      </c>
      <c r="C56" s="298">
        <v>49.563490000000002</v>
      </c>
      <c r="D56" s="299">
        <v>49.563490000000002</v>
      </c>
      <c r="E56" s="310" t="s">
        <v>220</v>
      </c>
      <c r="F56" s="298">
        <v>4.9406564584124654E-324</v>
      </c>
      <c r="G56" s="299">
        <v>0</v>
      </c>
      <c r="H56" s="301">
        <v>4.9406564584124654E-324</v>
      </c>
      <c r="I56" s="298">
        <v>2.4703282292062327E-323</v>
      </c>
      <c r="J56" s="299">
        <v>2.4703282292062327E-323</v>
      </c>
      <c r="K56" s="302">
        <v>0</v>
      </c>
    </row>
    <row r="57" spans="1:11" ht="14.4" customHeight="1" thickBot="1" x14ac:dyDescent="0.35">
      <c r="A57" s="316" t="s">
        <v>263</v>
      </c>
      <c r="B57" s="298">
        <v>344.99999999999602</v>
      </c>
      <c r="C57" s="298">
        <v>300.19463000000002</v>
      </c>
      <c r="D57" s="299">
        <v>-44.805369999995001</v>
      </c>
      <c r="E57" s="300">
        <v>0.87012936231799998</v>
      </c>
      <c r="F57" s="298">
        <v>367</v>
      </c>
      <c r="G57" s="299">
        <v>152.916666666667</v>
      </c>
      <c r="H57" s="301">
        <v>26.571719999999999</v>
      </c>
      <c r="I57" s="298">
        <v>123.74999</v>
      </c>
      <c r="J57" s="299">
        <v>-29.166676666666</v>
      </c>
      <c r="K57" s="302">
        <v>0.33719343324200002</v>
      </c>
    </row>
    <row r="58" spans="1:11" ht="14.4" customHeight="1" thickBot="1" x14ac:dyDescent="0.35">
      <c r="A58" s="321" t="s">
        <v>264</v>
      </c>
      <c r="B58" s="303">
        <v>344.99999999999602</v>
      </c>
      <c r="C58" s="303">
        <v>300.19463000000002</v>
      </c>
      <c r="D58" s="304">
        <v>-44.805369999995001</v>
      </c>
      <c r="E58" s="305">
        <v>0.87012936231799998</v>
      </c>
      <c r="F58" s="303">
        <v>367</v>
      </c>
      <c r="G58" s="304">
        <v>152.916666666667</v>
      </c>
      <c r="H58" s="306">
        <v>26.571719999999999</v>
      </c>
      <c r="I58" s="303">
        <v>123.74999</v>
      </c>
      <c r="J58" s="304">
        <v>-29.166676666666</v>
      </c>
      <c r="K58" s="307">
        <v>0.33719343324200002</v>
      </c>
    </row>
    <row r="59" spans="1:11" ht="14.4" customHeight="1" thickBot="1" x14ac:dyDescent="0.35">
      <c r="A59" s="322" t="s">
        <v>29</v>
      </c>
      <c r="B59" s="303">
        <v>344.99999999999602</v>
      </c>
      <c r="C59" s="303">
        <v>300.19463000000002</v>
      </c>
      <c r="D59" s="304">
        <v>-44.805369999995001</v>
      </c>
      <c r="E59" s="305">
        <v>0.87012936231799998</v>
      </c>
      <c r="F59" s="303">
        <v>367</v>
      </c>
      <c r="G59" s="304">
        <v>152.916666666667</v>
      </c>
      <c r="H59" s="306">
        <v>26.571719999999999</v>
      </c>
      <c r="I59" s="303">
        <v>123.74999</v>
      </c>
      <c r="J59" s="304">
        <v>-29.166676666666</v>
      </c>
      <c r="K59" s="307">
        <v>0.33719343324200002</v>
      </c>
    </row>
    <row r="60" spans="1:11" ht="14.4" customHeight="1" thickBot="1" x14ac:dyDescent="0.35">
      <c r="A60" s="319" t="s">
        <v>265</v>
      </c>
      <c r="B60" s="303">
        <v>143.99999999999801</v>
      </c>
      <c r="C60" s="303">
        <v>127.78187</v>
      </c>
      <c r="D60" s="304">
        <v>-16.218129999997998</v>
      </c>
      <c r="E60" s="305">
        <v>0.887374097222</v>
      </c>
      <c r="F60" s="303">
        <v>179</v>
      </c>
      <c r="G60" s="304">
        <v>74.583333333333002</v>
      </c>
      <c r="H60" s="306">
        <v>11.86741</v>
      </c>
      <c r="I60" s="303">
        <v>52.949779999999997</v>
      </c>
      <c r="J60" s="304">
        <v>-21.633553333333001</v>
      </c>
      <c r="K60" s="307">
        <v>0.29580882681499998</v>
      </c>
    </row>
    <row r="61" spans="1:11" ht="14.4" customHeight="1" thickBot="1" x14ac:dyDescent="0.35">
      <c r="A61" s="320" t="s">
        <v>266</v>
      </c>
      <c r="B61" s="298">
        <v>143.99999999999801</v>
      </c>
      <c r="C61" s="298">
        <v>127.76063000000001</v>
      </c>
      <c r="D61" s="299">
        <v>-16.239369999998001</v>
      </c>
      <c r="E61" s="300">
        <v>0.88722659722200004</v>
      </c>
      <c r="F61" s="298">
        <v>178</v>
      </c>
      <c r="G61" s="299">
        <v>74.166666666666003</v>
      </c>
      <c r="H61" s="301">
        <v>11.77075</v>
      </c>
      <c r="I61" s="298">
        <v>52.466479999999997</v>
      </c>
      <c r="J61" s="299">
        <v>-21.700186666665999</v>
      </c>
      <c r="K61" s="302">
        <v>0.29475550561699998</v>
      </c>
    </row>
    <row r="62" spans="1:11" ht="14.4" customHeight="1" thickBot="1" x14ac:dyDescent="0.35">
      <c r="A62" s="320" t="s">
        <v>267</v>
      </c>
      <c r="B62" s="298">
        <v>0</v>
      </c>
      <c r="C62" s="298">
        <v>2.1239999999999998E-2</v>
      </c>
      <c r="D62" s="299">
        <v>2.1239999999999998E-2</v>
      </c>
      <c r="E62" s="310" t="s">
        <v>211</v>
      </c>
      <c r="F62" s="298">
        <v>1</v>
      </c>
      <c r="G62" s="299">
        <v>0.416666666666</v>
      </c>
      <c r="H62" s="301">
        <v>9.6659999999999996E-2</v>
      </c>
      <c r="I62" s="298">
        <v>0.48330000000000001</v>
      </c>
      <c r="J62" s="299">
        <v>6.6633333333000005E-2</v>
      </c>
      <c r="K62" s="302">
        <v>0.48330000000000001</v>
      </c>
    </row>
    <row r="63" spans="1:11" ht="14.4" customHeight="1" thickBot="1" x14ac:dyDescent="0.35">
      <c r="A63" s="319" t="s">
        <v>268</v>
      </c>
      <c r="B63" s="303">
        <v>200.99999999999801</v>
      </c>
      <c r="C63" s="303">
        <v>172.41275999999999</v>
      </c>
      <c r="D63" s="304">
        <v>-28.587239999996999</v>
      </c>
      <c r="E63" s="305">
        <v>0.85777492537300004</v>
      </c>
      <c r="F63" s="303">
        <v>188</v>
      </c>
      <c r="G63" s="304">
        <v>78.333333333333002</v>
      </c>
      <c r="H63" s="306">
        <v>14.70431</v>
      </c>
      <c r="I63" s="303">
        <v>70.800210000000007</v>
      </c>
      <c r="J63" s="304">
        <v>-7.5331233333330001</v>
      </c>
      <c r="K63" s="307">
        <v>0.37659686170200002</v>
      </c>
    </row>
    <row r="64" spans="1:11" ht="14.4" customHeight="1" thickBot="1" x14ac:dyDescent="0.35">
      <c r="A64" s="320" t="s">
        <v>269</v>
      </c>
      <c r="B64" s="298">
        <v>200.99999999999801</v>
      </c>
      <c r="C64" s="298">
        <v>172.41275999999999</v>
      </c>
      <c r="D64" s="299">
        <v>-28.587239999996999</v>
      </c>
      <c r="E64" s="300">
        <v>0.85777492537300004</v>
      </c>
      <c r="F64" s="298">
        <v>188</v>
      </c>
      <c r="G64" s="299">
        <v>78.333333333333002</v>
      </c>
      <c r="H64" s="301">
        <v>14.70431</v>
      </c>
      <c r="I64" s="298">
        <v>70.800210000000007</v>
      </c>
      <c r="J64" s="299">
        <v>-7.5331233333330001</v>
      </c>
      <c r="K64" s="302">
        <v>0.37659686170200002</v>
      </c>
    </row>
    <row r="65" spans="1:11" ht="14.4" customHeight="1" thickBot="1" x14ac:dyDescent="0.35">
      <c r="A65" s="323"/>
      <c r="B65" s="298">
        <v>-1763.5595026709</v>
      </c>
      <c r="C65" s="298">
        <v>-1886.8667600000001</v>
      </c>
      <c r="D65" s="299">
        <v>-123.307257329105</v>
      </c>
      <c r="E65" s="300">
        <v>1.0699195332739999</v>
      </c>
      <c r="F65" s="298">
        <v>-2033.9042921950099</v>
      </c>
      <c r="G65" s="299">
        <v>-847.46012174792202</v>
      </c>
      <c r="H65" s="301">
        <v>-155.39416</v>
      </c>
      <c r="I65" s="298">
        <v>-771.60444000000098</v>
      </c>
      <c r="J65" s="299">
        <v>75.855681747920997</v>
      </c>
      <c r="K65" s="302">
        <v>0.37937106625900002</v>
      </c>
    </row>
    <row r="66" spans="1:11" ht="14.4" customHeight="1" thickBot="1" x14ac:dyDescent="0.35">
      <c r="A66" s="324" t="s">
        <v>41</v>
      </c>
      <c r="B66" s="312">
        <v>-1763.5595026709</v>
      </c>
      <c r="C66" s="312">
        <v>-1886.8667600000001</v>
      </c>
      <c r="D66" s="313">
        <v>-123.307257329105</v>
      </c>
      <c r="E66" s="314">
        <v>-0.47179876487200001</v>
      </c>
      <c r="F66" s="312">
        <v>-2033.9042921950099</v>
      </c>
      <c r="G66" s="313">
        <v>-847.46012174792202</v>
      </c>
      <c r="H66" s="312">
        <v>-155.39416</v>
      </c>
      <c r="I66" s="312">
        <v>-771.60444000000098</v>
      </c>
      <c r="J66" s="313">
        <v>75.855681747920997</v>
      </c>
      <c r="K66" s="315">
        <v>0.37937106625900002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0" width="13.109375" hidden="1" customWidth="1"/>
    <col min="21" max="21" width="13.109375" customWidth="1"/>
    <col min="22" max="32" width="13.109375" hidden="1" customWidth="1"/>
    <col min="33" max="33" width="13.109375" customWidth="1"/>
  </cols>
  <sheetData>
    <row r="1" spans="1:34" ht="18.600000000000001" thickBot="1" x14ac:dyDescent="0.4">
      <c r="A1" s="279" t="s">
        <v>81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4" ht="15" thickBot="1" x14ac:dyDescent="0.35">
      <c r="A2" s="192" t="s">
        <v>210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4" x14ac:dyDescent="0.3">
      <c r="A3" s="211" t="s">
        <v>171</v>
      </c>
      <c r="B3" s="280" t="s">
        <v>152</v>
      </c>
      <c r="C3" s="194">
        <v>0</v>
      </c>
      <c r="D3" s="195">
        <v>101</v>
      </c>
      <c r="E3" s="195">
        <v>102</v>
      </c>
      <c r="F3" s="214">
        <v>305</v>
      </c>
      <c r="G3" s="214">
        <v>306</v>
      </c>
      <c r="H3" s="214">
        <v>408</v>
      </c>
      <c r="I3" s="214">
        <v>409</v>
      </c>
      <c r="J3" s="214">
        <v>410</v>
      </c>
      <c r="K3" s="214">
        <v>415</v>
      </c>
      <c r="L3" s="214">
        <v>416</v>
      </c>
      <c r="M3" s="214">
        <v>418</v>
      </c>
      <c r="N3" s="214">
        <v>419</v>
      </c>
      <c r="O3" s="214">
        <v>420</v>
      </c>
      <c r="P3" s="214">
        <v>421</v>
      </c>
      <c r="Q3" s="214">
        <v>522</v>
      </c>
      <c r="R3" s="214">
        <v>523</v>
      </c>
      <c r="S3" s="214">
        <v>524</v>
      </c>
      <c r="T3" s="214">
        <v>525</v>
      </c>
      <c r="U3" s="214">
        <v>526</v>
      </c>
      <c r="V3" s="214">
        <v>527</v>
      </c>
      <c r="W3" s="214">
        <v>528</v>
      </c>
      <c r="X3" s="214">
        <v>629</v>
      </c>
      <c r="Y3" s="214">
        <v>630</v>
      </c>
      <c r="Z3" s="214">
        <v>636</v>
      </c>
      <c r="AA3" s="214">
        <v>637</v>
      </c>
      <c r="AB3" s="214">
        <v>640</v>
      </c>
      <c r="AC3" s="214">
        <v>642</v>
      </c>
      <c r="AD3" s="214">
        <v>743</v>
      </c>
      <c r="AE3" s="195">
        <v>745</v>
      </c>
      <c r="AF3" s="195">
        <v>746</v>
      </c>
      <c r="AG3" s="334">
        <v>930</v>
      </c>
      <c r="AH3" s="349"/>
    </row>
    <row r="4" spans="1:34" ht="36.6" outlineLevel="1" thickBot="1" x14ac:dyDescent="0.35">
      <c r="A4" s="212">
        <v>2014</v>
      </c>
      <c r="B4" s="281"/>
      <c r="C4" s="196" t="s">
        <v>153</v>
      </c>
      <c r="D4" s="197" t="s">
        <v>154</v>
      </c>
      <c r="E4" s="197" t="s">
        <v>155</v>
      </c>
      <c r="F4" s="215" t="s">
        <v>183</v>
      </c>
      <c r="G4" s="215" t="s">
        <v>184</v>
      </c>
      <c r="H4" s="215" t="s">
        <v>185</v>
      </c>
      <c r="I4" s="215" t="s">
        <v>186</v>
      </c>
      <c r="J4" s="215" t="s">
        <v>187</v>
      </c>
      <c r="K4" s="215" t="s">
        <v>188</v>
      </c>
      <c r="L4" s="215" t="s">
        <v>189</v>
      </c>
      <c r="M4" s="215" t="s">
        <v>190</v>
      </c>
      <c r="N4" s="215" t="s">
        <v>191</v>
      </c>
      <c r="O4" s="215" t="s">
        <v>192</v>
      </c>
      <c r="P4" s="215" t="s">
        <v>193</v>
      </c>
      <c r="Q4" s="215" t="s">
        <v>194</v>
      </c>
      <c r="R4" s="215" t="s">
        <v>195</v>
      </c>
      <c r="S4" s="215" t="s">
        <v>196</v>
      </c>
      <c r="T4" s="215" t="s">
        <v>197</v>
      </c>
      <c r="U4" s="215" t="s">
        <v>198</v>
      </c>
      <c r="V4" s="215" t="s">
        <v>199</v>
      </c>
      <c r="W4" s="215" t="s">
        <v>208</v>
      </c>
      <c r="X4" s="215" t="s">
        <v>200</v>
      </c>
      <c r="Y4" s="215" t="s">
        <v>209</v>
      </c>
      <c r="Z4" s="215" t="s">
        <v>201</v>
      </c>
      <c r="AA4" s="215" t="s">
        <v>202</v>
      </c>
      <c r="AB4" s="215" t="s">
        <v>203</v>
      </c>
      <c r="AC4" s="215" t="s">
        <v>204</v>
      </c>
      <c r="AD4" s="215" t="s">
        <v>205</v>
      </c>
      <c r="AE4" s="197" t="s">
        <v>206</v>
      </c>
      <c r="AF4" s="197" t="s">
        <v>207</v>
      </c>
      <c r="AG4" s="335" t="s">
        <v>173</v>
      </c>
      <c r="AH4" s="349"/>
    </row>
    <row r="5" spans="1:34" x14ac:dyDescent="0.3">
      <c r="A5" s="198" t="s">
        <v>156</v>
      </c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336"/>
      <c r="AH5" s="349"/>
    </row>
    <row r="6" spans="1:34" ht="15" collapsed="1" thickBot="1" x14ac:dyDescent="0.35">
      <c r="A6" s="199" t="s">
        <v>47</v>
      </c>
      <c r="B6" s="237">
        <f xml:space="preserve">
TRUNC(IF($A$4&lt;=12,SUMIFS('ON Data'!F:F,'ON Data'!$D:$D,$A$4,'ON Data'!$E:$E,1),SUMIFS('ON Data'!F:F,'ON Data'!$E:$E,1)/'ON Data'!$D$3),1)</f>
        <v>3.2</v>
      </c>
      <c r="C6" s="238">
        <f xml:space="preserve">
TRUNC(IF($A$4&lt;=12,SUMIFS('ON Data'!G:G,'ON Data'!$D:$D,$A$4,'ON Data'!$E:$E,1),SUMIFS('ON Data'!G:G,'ON Data'!$E:$E,1)/'ON Data'!$D$3),1)</f>
        <v>0</v>
      </c>
      <c r="D6" s="239">
        <f xml:space="preserve">
TRUNC(IF($A$4&lt;=12,SUMIFS('ON Data'!H:H,'ON Data'!$D:$D,$A$4,'ON Data'!$E:$E,1),SUMIFS('ON Data'!H:H,'ON Data'!$E:$E,1)/'ON Data'!$D$3),1)</f>
        <v>2.5</v>
      </c>
      <c r="E6" s="239">
        <f xml:space="preserve">
TRUNC(IF($A$4&lt;=12,SUMIFS('ON Data'!I:I,'ON Data'!$D:$D,$A$4,'ON Data'!$E:$E,1),SUMIFS('ON Data'!I:I,'ON Data'!$E:$E,1)/'ON Data'!$D$3),1)</f>
        <v>0</v>
      </c>
      <c r="F6" s="239">
        <f xml:space="preserve">
TRUNC(IF($A$4&lt;=12,SUMIFS('ON Data'!K:K,'ON Data'!$D:$D,$A$4,'ON Data'!$E:$E,1),SUMIFS('ON Data'!K:K,'ON Data'!$E:$E,1)/'ON Data'!$D$3),1)</f>
        <v>0</v>
      </c>
      <c r="G6" s="239">
        <f xml:space="preserve">
TRUNC(IF($A$4&lt;=12,SUMIFS('ON Data'!L:L,'ON Data'!$D:$D,$A$4,'ON Data'!$E:$E,1),SUMIFS('ON Data'!L:L,'ON Data'!$E:$E,1)/'ON Data'!$D$3),1)</f>
        <v>0</v>
      </c>
      <c r="H6" s="239">
        <f xml:space="preserve">
TRUNC(IF($A$4&lt;=12,SUMIFS('ON Data'!M:M,'ON Data'!$D:$D,$A$4,'ON Data'!$E:$E,1),SUMIFS('ON Data'!M:M,'ON Data'!$E:$E,1)/'ON Data'!$D$3),1)</f>
        <v>0</v>
      </c>
      <c r="I6" s="239">
        <f xml:space="preserve">
TRUNC(IF($A$4&lt;=12,SUMIFS('ON Data'!N:N,'ON Data'!$D:$D,$A$4,'ON Data'!$E:$E,1),SUMIFS('ON Data'!N:N,'ON Data'!$E:$E,1)/'ON Data'!$D$3),1)</f>
        <v>0</v>
      </c>
      <c r="J6" s="239">
        <f xml:space="preserve">
TRUNC(IF($A$4&lt;=12,SUMIFS('ON Data'!O:O,'ON Data'!$D:$D,$A$4,'ON Data'!$E:$E,1),SUMIFS('ON Data'!O:O,'ON Data'!$E:$E,1)/'ON Data'!$D$3),1)</f>
        <v>0</v>
      </c>
      <c r="K6" s="239">
        <f xml:space="preserve">
TRUNC(IF($A$4&lt;=12,SUMIFS('ON Data'!P:P,'ON Data'!$D:$D,$A$4,'ON Data'!$E:$E,1),SUMIFS('ON Data'!P:P,'ON Data'!$E:$E,1)/'ON Data'!$D$3),1)</f>
        <v>0</v>
      </c>
      <c r="L6" s="239">
        <f xml:space="preserve">
TRUNC(IF($A$4&lt;=12,SUMIFS('ON Data'!Q:Q,'ON Data'!$D:$D,$A$4,'ON Data'!$E:$E,1),SUMIFS('ON Data'!Q:Q,'ON Data'!$E:$E,1)/'ON Data'!$D$3),1)</f>
        <v>0</v>
      </c>
      <c r="M6" s="239">
        <f xml:space="preserve">
TRUNC(IF($A$4&lt;=12,SUMIFS('ON Data'!R:R,'ON Data'!$D:$D,$A$4,'ON Data'!$E:$E,1),SUMIFS('ON Data'!R:R,'ON Data'!$E:$E,1)/'ON Data'!$D$3),1)</f>
        <v>0</v>
      </c>
      <c r="N6" s="239">
        <f xml:space="preserve">
TRUNC(IF($A$4&lt;=12,SUMIFS('ON Data'!S:S,'ON Data'!$D:$D,$A$4,'ON Data'!$E:$E,1),SUMIFS('ON Data'!S:S,'ON Data'!$E:$E,1)/'ON Data'!$D$3),1)</f>
        <v>0</v>
      </c>
      <c r="O6" s="239">
        <f xml:space="preserve">
TRUNC(IF($A$4&lt;=12,SUMIFS('ON Data'!T:T,'ON Data'!$D:$D,$A$4,'ON Data'!$E:$E,1),SUMIFS('ON Data'!T:T,'ON Data'!$E:$E,1)/'ON Data'!$D$3),1)</f>
        <v>0</v>
      </c>
      <c r="P6" s="239">
        <f xml:space="preserve">
TRUNC(IF($A$4&lt;=12,SUMIFS('ON Data'!U:U,'ON Data'!$D:$D,$A$4,'ON Data'!$E:$E,1),SUMIFS('ON Data'!U:U,'ON Data'!$E:$E,1)/'ON Data'!$D$3),1)</f>
        <v>0</v>
      </c>
      <c r="Q6" s="239">
        <f xml:space="preserve">
TRUNC(IF($A$4&lt;=12,SUMIFS('ON Data'!V:V,'ON Data'!$D:$D,$A$4,'ON Data'!$E:$E,1),SUMIFS('ON Data'!V:V,'ON Data'!$E:$E,1)/'ON Data'!$D$3),1)</f>
        <v>0</v>
      </c>
      <c r="R6" s="239">
        <f xml:space="preserve">
TRUNC(IF($A$4&lt;=12,SUMIFS('ON Data'!W:W,'ON Data'!$D:$D,$A$4,'ON Data'!$E:$E,1),SUMIFS('ON Data'!W:W,'ON Data'!$E:$E,1)/'ON Data'!$D$3),1)</f>
        <v>0</v>
      </c>
      <c r="S6" s="239">
        <f xml:space="preserve">
TRUNC(IF($A$4&lt;=12,SUMIFS('ON Data'!X:X,'ON Data'!$D:$D,$A$4,'ON Data'!$E:$E,1),SUMIFS('ON Data'!X:X,'ON Data'!$E:$E,1)/'ON Data'!$D$3),1)</f>
        <v>0</v>
      </c>
      <c r="T6" s="239">
        <f xml:space="preserve">
TRUNC(IF($A$4&lt;=12,SUMIFS('ON Data'!Y:Y,'ON Data'!$D:$D,$A$4,'ON Data'!$E:$E,1),SUMIFS('ON Data'!Y:Y,'ON Data'!$E:$E,1)/'ON Data'!$D$3),1)</f>
        <v>0</v>
      </c>
      <c r="U6" s="239">
        <f xml:space="preserve">
TRUNC(IF($A$4&lt;=12,SUMIFS('ON Data'!Z:Z,'ON Data'!$D:$D,$A$4,'ON Data'!$E:$E,1),SUMIFS('ON Data'!Z:Z,'ON Data'!$E:$E,1)/'ON Data'!$D$3),1)</f>
        <v>0</v>
      </c>
      <c r="V6" s="239">
        <f xml:space="preserve">
TRUNC(IF($A$4&lt;=12,SUMIFS('ON Data'!AA:AA,'ON Data'!$D:$D,$A$4,'ON Data'!$E:$E,1),SUMIFS('ON Data'!AA:AA,'ON Data'!$E:$E,1)/'ON Data'!$D$3),1)</f>
        <v>0</v>
      </c>
      <c r="W6" s="239">
        <f xml:space="preserve">
TRUNC(IF($A$4&lt;=12,SUMIFS('ON Data'!AB:AB,'ON Data'!$D:$D,$A$4,'ON Data'!$E:$E,1),SUMIFS('ON Data'!AB:AB,'ON Data'!$E:$E,1)/'ON Data'!$D$3),1)</f>
        <v>0</v>
      </c>
      <c r="X6" s="239">
        <f xml:space="preserve">
TRUNC(IF($A$4&lt;=12,SUMIFS('ON Data'!AC:AC,'ON Data'!$D:$D,$A$4,'ON Data'!$E:$E,1),SUMIFS('ON Data'!AC:AC,'ON Data'!$E:$E,1)/'ON Data'!$D$3),1)</f>
        <v>0</v>
      </c>
      <c r="Y6" s="239">
        <f xml:space="preserve">
TRUNC(IF($A$4&lt;=12,SUMIFS('ON Data'!AD:AD,'ON Data'!$D:$D,$A$4,'ON Data'!$E:$E,1),SUMIFS('ON Data'!AD:AD,'ON Data'!$E:$E,1)/'ON Data'!$D$3),1)</f>
        <v>0</v>
      </c>
      <c r="Z6" s="239">
        <f xml:space="preserve">
TRUNC(IF($A$4&lt;=12,SUMIFS('ON Data'!AE:AE,'ON Data'!$D:$D,$A$4,'ON Data'!$E:$E,1),SUMIFS('ON Data'!AE:AE,'ON Data'!$E:$E,1)/'ON Data'!$D$3),1)</f>
        <v>0</v>
      </c>
      <c r="AA6" s="239">
        <f xml:space="preserve">
TRUNC(IF($A$4&lt;=12,SUMIFS('ON Data'!AF:AF,'ON Data'!$D:$D,$A$4,'ON Data'!$E:$E,1),SUMIFS('ON Data'!AF:AF,'ON Data'!$E:$E,1)/'ON Data'!$D$3),1)</f>
        <v>0</v>
      </c>
      <c r="AB6" s="239">
        <f xml:space="preserve">
TRUNC(IF($A$4&lt;=12,SUMIFS('ON Data'!AG:AG,'ON Data'!$D:$D,$A$4,'ON Data'!$E:$E,1),SUMIFS('ON Data'!AG:AG,'ON Data'!$E:$E,1)/'ON Data'!$D$3),1)</f>
        <v>0</v>
      </c>
      <c r="AC6" s="239">
        <f xml:space="preserve">
TRUNC(IF($A$4&lt;=12,SUMIFS('ON Data'!AH:AH,'ON Data'!$D:$D,$A$4,'ON Data'!$E:$E,1),SUMIFS('ON Data'!AH:AH,'ON Data'!$E:$E,1)/'ON Data'!$D$3),1)</f>
        <v>0</v>
      </c>
      <c r="AD6" s="239">
        <f xml:space="preserve">
TRUNC(IF($A$4&lt;=12,SUMIFS('ON Data'!AI:AI,'ON Data'!$D:$D,$A$4,'ON Data'!$E:$E,1),SUMIFS('ON Data'!AI:AI,'ON Data'!$E:$E,1)/'ON Data'!$D$3),1)</f>
        <v>0</v>
      </c>
      <c r="AE6" s="239">
        <f xml:space="preserve">
TRUNC(IF($A$4&lt;=12,SUMIFS('ON Data'!AJ:AJ,'ON Data'!$D:$D,$A$4,'ON Data'!$E:$E,1),SUMIFS('ON Data'!AJ:AJ,'ON Data'!$E:$E,1)/'ON Data'!$D$3),1)</f>
        <v>0</v>
      </c>
      <c r="AF6" s="239">
        <f xml:space="preserve">
TRUNC(IF($A$4&lt;=12,SUMIFS('ON Data'!AK:AK,'ON Data'!$D:$D,$A$4,'ON Data'!$E:$E,1),SUMIFS('ON Data'!AK:AK,'ON Data'!$E:$E,1)/'ON Data'!$D$3),1)</f>
        <v>0</v>
      </c>
      <c r="AG6" s="337">
        <f xml:space="preserve">
TRUNC(IF($A$4&lt;=12,SUMIFS('ON Data'!AM:AM,'ON Data'!$D:$D,$A$4,'ON Data'!$E:$E,1),SUMIFS('ON Data'!AM:AM,'ON Data'!$E:$E,1)/'ON Data'!$D$3),1)</f>
        <v>0.6</v>
      </c>
      <c r="AH6" s="349"/>
    </row>
    <row r="7" spans="1:34" ht="15" hidden="1" outlineLevel="1" thickBot="1" x14ac:dyDescent="0.35">
      <c r="A7" s="199" t="s">
        <v>82</v>
      </c>
      <c r="B7" s="237"/>
      <c r="C7" s="240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337"/>
      <c r="AH7" s="349"/>
    </row>
    <row r="8" spans="1:34" ht="15" hidden="1" outlineLevel="1" thickBot="1" x14ac:dyDescent="0.35">
      <c r="A8" s="199" t="s">
        <v>49</v>
      </c>
      <c r="B8" s="237"/>
      <c r="C8" s="24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337"/>
      <c r="AH8" s="349"/>
    </row>
    <row r="9" spans="1:34" ht="15" hidden="1" outlineLevel="1" thickBot="1" x14ac:dyDescent="0.35">
      <c r="A9" s="200" t="s">
        <v>43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338"/>
      <c r="AH9" s="349"/>
    </row>
    <row r="10" spans="1:34" x14ac:dyDescent="0.3">
      <c r="A10" s="201" t="s">
        <v>157</v>
      </c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339"/>
      <c r="AH10" s="349"/>
    </row>
    <row r="11" spans="1:34" x14ac:dyDescent="0.3">
      <c r="A11" s="202" t="s">
        <v>158</v>
      </c>
      <c r="B11" s="219">
        <f xml:space="preserve">
IF($A$4&lt;=12,SUMIFS('ON Data'!F:F,'ON Data'!$D:$D,$A$4,'ON Data'!$E:$E,2),SUMIFS('ON Data'!F:F,'ON Data'!$E:$E,2))</f>
        <v>2480.4</v>
      </c>
      <c r="C11" s="220">
        <f xml:space="preserve">
IF($A$4&lt;=12,SUMIFS('ON Data'!G:G,'ON Data'!$D:$D,$A$4,'ON Data'!$E:$E,2),SUMIFS('ON Data'!G:G,'ON Data'!$E:$E,2))</f>
        <v>0</v>
      </c>
      <c r="D11" s="221">
        <f xml:space="preserve">
IF($A$4&lt;=12,SUMIFS('ON Data'!H:H,'ON Data'!$D:$D,$A$4,'ON Data'!$E:$E,2),SUMIFS('ON Data'!H:H,'ON Data'!$E:$E,2))</f>
        <v>1952.4</v>
      </c>
      <c r="E11" s="221">
        <f xml:space="preserve">
IF($A$4&lt;=12,SUMIFS('ON Data'!I:I,'ON Data'!$D:$D,$A$4,'ON Data'!$E:$E,2),SUMIFS('ON Data'!I:I,'ON Data'!$E:$E,2))</f>
        <v>0</v>
      </c>
      <c r="F11" s="221">
        <f xml:space="preserve">
IF($A$4&lt;=12,SUMIFS('ON Data'!K:K,'ON Data'!$D:$D,$A$4,'ON Data'!$E:$E,2),SUMIFS('ON Data'!K:K,'ON Data'!$E:$E,2))</f>
        <v>0</v>
      </c>
      <c r="G11" s="221">
        <f xml:space="preserve">
IF($A$4&lt;=12,SUMIFS('ON Data'!L:L,'ON Data'!$D:$D,$A$4,'ON Data'!$E:$E,2),SUMIFS('ON Data'!L:L,'ON Data'!$E:$E,2))</f>
        <v>0</v>
      </c>
      <c r="H11" s="221">
        <f xml:space="preserve">
IF($A$4&lt;=12,SUMIFS('ON Data'!M:M,'ON Data'!$D:$D,$A$4,'ON Data'!$E:$E,2),SUMIFS('ON Data'!M:M,'ON Data'!$E:$E,2))</f>
        <v>0</v>
      </c>
      <c r="I11" s="221">
        <f xml:space="preserve">
IF($A$4&lt;=12,SUMIFS('ON Data'!N:N,'ON Data'!$D:$D,$A$4,'ON Data'!$E:$E,2),SUMIFS('ON Data'!N:N,'ON Data'!$E:$E,2))</f>
        <v>0</v>
      </c>
      <c r="J11" s="221">
        <f xml:space="preserve">
IF($A$4&lt;=12,SUMIFS('ON Data'!O:O,'ON Data'!$D:$D,$A$4,'ON Data'!$E:$E,2),SUMIFS('ON Data'!O:O,'ON Data'!$E:$E,2))</f>
        <v>0</v>
      </c>
      <c r="K11" s="221">
        <f xml:space="preserve">
IF($A$4&lt;=12,SUMIFS('ON Data'!P:P,'ON Data'!$D:$D,$A$4,'ON Data'!$E:$E,2),SUMIFS('ON Data'!P:P,'ON Data'!$E:$E,2))</f>
        <v>0</v>
      </c>
      <c r="L11" s="221">
        <f xml:space="preserve">
IF($A$4&lt;=12,SUMIFS('ON Data'!Q:Q,'ON Data'!$D:$D,$A$4,'ON Data'!$E:$E,2),SUMIFS('ON Data'!Q:Q,'ON Data'!$E:$E,2))</f>
        <v>0</v>
      </c>
      <c r="M11" s="221">
        <f xml:space="preserve">
IF($A$4&lt;=12,SUMIFS('ON Data'!R:R,'ON Data'!$D:$D,$A$4,'ON Data'!$E:$E,2),SUMIFS('ON Data'!R:R,'ON Data'!$E:$E,2))</f>
        <v>0</v>
      </c>
      <c r="N11" s="221">
        <f xml:space="preserve">
IF($A$4&lt;=12,SUMIFS('ON Data'!S:S,'ON Data'!$D:$D,$A$4,'ON Data'!$E:$E,2),SUMIFS('ON Data'!S:S,'ON Data'!$E:$E,2))</f>
        <v>0</v>
      </c>
      <c r="O11" s="221">
        <f xml:space="preserve">
IF($A$4&lt;=12,SUMIFS('ON Data'!T:T,'ON Data'!$D:$D,$A$4,'ON Data'!$E:$E,2),SUMIFS('ON Data'!T:T,'ON Data'!$E:$E,2))</f>
        <v>0</v>
      </c>
      <c r="P11" s="221">
        <f xml:space="preserve">
IF($A$4&lt;=12,SUMIFS('ON Data'!U:U,'ON Data'!$D:$D,$A$4,'ON Data'!$E:$E,2),SUMIFS('ON Data'!U:U,'ON Data'!$E:$E,2))</f>
        <v>0</v>
      </c>
      <c r="Q11" s="221">
        <f xml:space="preserve">
IF($A$4&lt;=12,SUMIFS('ON Data'!V:V,'ON Data'!$D:$D,$A$4,'ON Data'!$E:$E,2),SUMIFS('ON Data'!V:V,'ON Data'!$E:$E,2))</f>
        <v>0</v>
      </c>
      <c r="R11" s="221">
        <f xml:space="preserve">
IF($A$4&lt;=12,SUMIFS('ON Data'!W:W,'ON Data'!$D:$D,$A$4,'ON Data'!$E:$E,2),SUMIFS('ON Data'!W:W,'ON Data'!$E:$E,2))</f>
        <v>0</v>
      </c>
      <c r="S11" s="221">
        <f xml:space="preserve">
IF($A$4&lt;=12,SUMIFS('ON Data'!X:X,'ON Data'!$D:$D,$A$4,'ON Data'!$E:$E,2),SUMIFS('ON Data'!X:X,'ON Data'!$E:$E,2))</f>
        <v>0</v>
      </c>
      <c r="T11" s="221">
        <f xml:space="preserve">
IF($A$4&lt;=12,SUMIFS('ON Data'!Y:Y,'ON Data'!$D:$D,$A$4,'ON Data'!$E:$E,2),SUMIFS('ON Data'!Y:Y,'ON Data'!$E:$E,2))</f>
        <v>0</v>
      </c>
      <c r="U11" s="221">
        <f xml:space="preserve">
IF($A$4&lt;=12,SUMIFS('ON Data'!Z:Z,'ON Data'!$D:$D,$A$4,'ON Data'!$E:$E,2),SUMIFS('ON Data'!Z:Z,'ON Data'!$E:$E,2))</f>
        <v>43.2</v>
      </c>
      <c r="V11" s="221">
        <f xml:space="preserve">
IF($A$4&lt;=12,SUMIFS('ON Data'!AA:AA,'ON Data'!$D:$D,$A$4,'ON Data'!$E:$E,2),SUMIFS('ON Data'!AA:AA,'ON Data'!$E:$E,2))</f>
        <v>0</v>
      </c>
      <c r="W11" s="221">
        <f xml:space="preserve">
IF($A$4&lt;=12,SUMIFS('ON Data'!AB:AB,'ON Data'!$D:$D,$A$4,'ON Data'!$E:$E,2),SUMIFS('ON Data'!AB:AB,'ON Data'!$E:$E,2))</f>
        <v>0</v>
      </c>
      <c r="X11" s="221">
        <f xml:space="preserve">
IF($A$4&lt;=12,SUMIFS('ON Data'!AC:AC,'ON Data'!$D:$D,$A$4,'ON Data'!$E:$E,2),SUMIFS('ON Data'!AC:AC,'ON Data'!$E:$E,2))</f>
        <v>0</v>
      </c>
      <c r="Y11" s="221">
        <f xml:space="preserve">
IF($A$4&lt;=12,SUMIFS('ON Data'!AD:AD,'ON Data'!$D:$D,$A$4,'ON Data'!$E:$E,2),SUMIFS('ON Data'!AD:AD,'ON Data'!$E:$E,2))</f>
        <v>0</v>
      </c>
      <c r="Z11" s="221">
        <f xml:space="preserve">
IF($A$4&lt;=12,SUMIFS('ON Data'!AE:AE,'ON Data'!$D:$D,$A$4,'ON Data'!$E:$E,2),SUMIFS('ON Data'!AE:AE,'ON Data'!$E:$E,2))</f>
        <v>0</v>
      </c>
      <c r="AA11" s="221">
        <f xml:space="preserve">
IF($A$4&lt;=12,SUMIFS('ON Data'!AF:AF,'ON Data'!$D:$D,$A$4,'ON Data'!$E:$E,2),SUMIFS('ON Data'!AF:AF,'ON Data'!$E:$E,2))</f>
        <v>0</v>
      </c>
      <c r="AB11" s="221">
        <f xml:space="preserve">
IF($A$4&lt;=12,SUMIFS('ON Data'!AG:AG,'ON Data'!$D:$D,$A$4,'ON Data'!$E:$E,2),SUMIFS('ON Data'!AG:AG,'ON Data'!$E:$E,2))</f>
        <v>0</v>
      </c>
      <c r="AC11" s="221">
        <f xml:space="preserve">
IF($A$4&lt;=12,SUMIFS('ON Data'!AH:AH,'ON Data'!$D:$D,$A$4,'ON Data'!$E:$E,2),SUMIFS('ON Data'!AH:AH,'ON Data'!$E:$E,2))</f>
        <v>0</v>
      </c>
      <c r="AD11" s="221">
        <f xml:space="preserve">
IF($A$4&lt;=12,SUMIFS('ON Data'!AI:AI,'ON Data'!$D:$D,$A$4,'ON Data'!$E:$E,2),SUMIFS('ON Data'!AI:AI,'ON Data'!$E:$E,2))</f>
        <v>0</v>
      </c>
      <c r="AE11" s="221">
        <f xml:space="preserve">
IF($A$4&lt;=12,SUMIFS('ON Data'!AJ:AJ,'ON Data'!$D:$D,$A$4,'ON Data'!$E:$E,2),SUMIFS('ON Data'!AJ:AJ,'ON Data'!$E:$E,2))</f>
        <v>0</v>
      </c>
      <c r="AF11" s="221">
        <f xml:space="preserve">
IF($A$4&lt;=12,SUMIFS('ON Data'!AK:AK,'ON Data'!$D:$D,$A$4,'ON Data'!$E:$E,2),SUMIFS('ON Data'!AK:AK,'ON Data'!$E:$E,2))</f>
        <v>0</v>
      </c>
      <c r="AG11" s="340">
        <f xml:space="preserve">
IF($A$4&lt;=12,SUMIFS('ON Data'!AM:AM,'ON Data'!$D:$D,$A$4,'ON Data'!$E:$E,2),SUMIFS('ON Data'!AM:AM,'ON Data'!$E:$E,2))</f>
        <v>484.8</v>
      </c>
      <c r="AH11" s="349"/>
    </row>
    <row r="12" spans="1:34" x14ac:dyDescent="0.3">
      <c r="A12" s="202" t="s">
        <v>159</v>
      </c>
      <c r="B12" s="219">
        <f xml:space="preserve">
IF($A$4&lt;=12,SUMIFS('ON Data'!F:F,'ON Data'!$D:$D,$A$4,'ON Data'!$E:$E,3),SUMIFS('ON Data'!F:F,'ON Data'!$E:$E,3))</f>
        <v>0</v>
      </c>
      <c r="C12" s="220">
        <f xml:space="preserve">
IF($A$4&lt;=12,SUMIFS('ON Data'!G:G,'ON Data'!$D:$D,$A$4,'ON Data'!$E:$E,3),SUMIFS('ON Data'!G:G,'ON Data'!$E:$E,3))</f>
        <v>0</v>
      </c>
      <c r="D12" s="221">
        <f xml:space="preserve">
IF($A$4&lt;=12,SUMIFS('ON Data'!H:H,'ON Data'!$D:$D,$A$4,'ON Data'!$E:$E,3),SUMIFS('ON Data'!H:H,'ON Data'!$E:$E,3))</f>
        <v>0</v>
      </c>
      <c r="E12" s="221">
        <f xml:space="preserve">
IF($A$4&lt;=12,SUMIFS('ON Data'!I:I,'ON Data'!$D:$D,$A$4,'ON Data'!$E:$E,3),SUMIFS('ON Data'!I:I,'ON Data'!$E:$E,3))</f>
        <v>0</v>
      </c>
      <c r="F12" s="221">
        <f xml:space="preserve">
IF($A$4&lt;=12,SUMIFS('ON Data'!K:K,'ON Data'!$D:$D,$A$4,'ON Data'!$E:$E,3),SUMIFS('ON Data'!K:K,'ON Data'!$E:$E,3))</f>
        <v>0</v>
      </c>
      <c r="G12" s="221">
        <f xml:space="preserve">
IF($A$4&lt;=12,SUMIFS('ON Data'!L:L,'ON Data'!$D:$D,$A$4,'ON Data'!$E:$E,3),SUMIFS('ON Data'!L:L,'ON Data'!$E:$E,3))</f>
        <v>0</v>
      </c>
      <c r="H12" s="221">
        <f xml:space="preserve">
IF($A$4&lt;=12,SUMIFS('ON Data'!M:M,'ON Data'!$D:$D,$A$4,'ON Data'!$E:$E,3),SUMIFS('ON Data'!M:M,'ON Data'!$E:$E,3))</f>
        <v>0</v>
      </c>
      <c r="I12" s="221">
        <f xml:space="preserve">
IF($A$4&lt;=12,SUMIFS('ON Data'!N:N,'ON Data'!$D:$D,$A$4,'ON Data'!$E:$E,3),SUMIFS('ON Data'!N:N,'ON Data'!$E:$E,3))</f>
        <v>0</v>
      </c>
      <c r="J12" s="221">
        <f xml:space="preserve">
IF($A$4&lt;=12,SUMIFS('ON Data'!O:O,'ON Data'!$D:$D,$A$4,'ON Data'!$E:$E,3),SUMIFS('ON Data'!O:O,'ON Data'!$E:$E,3))</f>
        <v>0</v>
      </c>
      <c r="K12" s="221">
        <f xml:space="preserve">
IF($A$4&lt;=12,SUMIFS('ON Data'!P:P,'ON Data'!$D:$D,$A$4,'ON Data'!$E:$E,3),SUMIFS('ON Data'!P:P,'ON Data'!$E:$E,3))</f>
        <v>0</v>
      </c>
      <c r="L12" s="221">
        <f xml:space="preserve">
IF($A$4&lt;=12,SUMIFS('ON Data'!Q:Q,'ON Data'!$D:$D,$A$4,'ON Data'!$E:$E,3),SUMIFS('ON Data'!Q:Q,'ON Data'!$E:$E,3))</f>
        <v>0</v>
      </c>
      <c r="M12" s="221">
        <f xml:space="preserve">
IF($A$4&lt;=12,SUMIFS('ON Data'!R:R,'ON Data'!$D:$D,$A$4,'ON Data'!$E:$E,3),SUMIFS('ON Data'!R:R,'ON Data'!$E:$E,3))</f>
        <v>0</v>
      </c>
      <c r="N12" s="221">
        <f xml:space="preserve">
IF($A$4&lt;=12,SUMIFS('ON Data'!S:S,'ON Data'!$D:$D,$A$4,'ON Data'!$E:$E,3),SUMIFS('ON Data'!S:S,'ON Data'!$E:$E,3))</f>
        <v>0</v>
      </c>
      <c r="O12" s="221">
        <f xml:space="preserve">
IF($A$4&lt;=12,SUMIFS('ON Data'!T:T,'ON Data'!$D:$D,$A$4,'ON Data'!$E:$E,3),SUMIFS('ON Data'!T:T,'ON Data'!$E:$E,3))</f>
        <v>0</v>
      </c>
      <c r="P12" s="221">
        <f xml:space="preserve">
IF($A$4&lt;=12,SUMIFS('ON Data'!U:U,'ON Data'!$D:$D,$A$4,'ON Data'!$E:$E,3),SUMIFS('ON Data'!U:U,'ON Data'!$E:$E,3))</f>
        <v>0</v>
      </c>
      <c r="Q12" s="221">
        <f xml:space="preserve">
IF($A$4&lt;=12,SUMIFS('ON Data'!V:V,'ON Data'!$D:$D,$A$4,'ON Data'!$E:$E,3),SUMIFS('ON Data'!V:V,'ON Data'!$E:$E,3))</f>
        <v>0</v>
      </c>
      <c r="R12" s="221">
        <f xml:space="preserve">
IF($A$4&lt;=12,SUMIFS('ON Data'!W:W,'ON Data'!$D:$D,$A$4,'ON Data'!$E:$E,3),SUMIFS('ON Data'!W:W,'ON Data'!$E:$E,3))</f>
        <v>0</v>
      </c>
      <c r="S12" s="221">
        <f xml:space="preserve">
IF($A$4&lt;=12,SUMIFS('ON Data'!X:X,'ON Data'!$D:$D,$A$4,'ON Data'!$E:$E,3),SUMIFS('ON Data'!X:X,'ON Data'!$E:$E,3))</f>
        <v>0</v>
      </c>
      <c r="T12" s="221">
        <f xml:space="preserve">
IF($A$4&lt;=12,SUMIFS('ON Data'!Y:Y,'ON Data'!$D:$D,$A$4,'ON Data'!$E:$E,3),SUMIFS('ON Data'!Y:Y,'ON Data'!$E:$E,3))</f>
        <v>0</v>
      </c>
      <c r="U12" s="221">
        <f xml:space="preserve">
IF($A$4&lt;=12,SUMIFS('ON Data'!Z:Z,'ON Data'!$D:$D,$A$4,'ON Data'!$E:$E,3),SUMIFS('ON Data'!Z:Z,'ON Data'!$E:$E,3))</f>
        <v>0</v>
      </c>
      <c r="V12" s="221">
        <f xml:space="preserve">
IF($A$4&lt;=12,SUMIFS('ON Data'!AA:AA,'ON Data'!$D:$D,$A$4,'ON Data'!$E:$E,3),SUMIFS('ON Data'!AA:AA,'ON Data'!$E:$E,3))</f>
        <v>0</v>
      </c>
      <c r="W12" s="221">
        <f xml:space="preserve">
IF($A$4&lt;=12,SUMIFS('ON Data'!AB:AB,'ON Data'!$D:$D,$A$4,'ON Data'!$E:$E,3),SUMIFS('ON Data'!AB:AB,'ON Data'!$E:$E,3))</f>
        <v>0</v>
      </c>
      <c r="X12" s="221">
        <f xml:space="preserve">
IF($A$4&lt;=12,SUMIFS('ON Data'!AC:AC,'ON Data'!$D:$D,$A$4,'ON Data'!$E:$E,3),SUMIFS('ON Data'!AC:AC,'ON Data'!$E:$E,3))</f>
        <v>0</v>
      </c>
      <c r="Y12" s="221">
        <f xml:space="preserve">
IF($A$4&lt;=12,SUMIFS('ON Data'!AD:AD,'ON Data'!$D:$D,$A$4,'ON Data'!$E:$E,3),SUMIFS('ON Data'!AD:AD,'ON Data'!$E:$E,3))</f>
        <v>0</v>
      </c>
      <c r="Z12" s="221">
        <f xml:space="preserve">
IF($A$4&lt;=12,SUMIFS('ON Data'!AE:AE,'ON Data'!$D:$D,$A$4,'ON Data'!$E:$E,3),SUMIFS('ON Data'!AE:AE,'ON Data'!$E:$E,3))</f>
        <v>0</v>
      </c>
      <c r="AA12" s="221">
        <f xml:space="preserve">
IF($A$4&lt;=12,SUMIFS('ON Data'!AF:AF,'ON Data'!$D:$D,$A$4,'ON Data'!$E:$E,3),SUMIFS('ON Data'!AF:AF,'ON Data'!$E:$E,3))</f>
        <v>0</v>
      </c>
      <c r="AB12" s="221">
        <f xml:space="preserve">
IF($A$4&lt;=12,SUMIFS('ON Data'!AG:AG,'ON Data'!$D:$D,$A$4,'ON Data'!$E:$E,3),SUMIFS('ON Data'!AG:AG,'ON Data'!$E:$E,3))</f>
        <v>0</v>
      </c>
      <c r="AC12" s="221">
        <f xml:space="preserve">
IF($A$4&lt;=12,SUMIFS('ON Data'!AH:AH,'ON Data'!$D:$D,$A$4,'ON Data'!$E:$E,3),SUMIFS('ON Data'!AH:AH,'ON Data'!$E:$E,3))</f>
        <v>0</v>
      </c>
      <c r="AD12" s="221">
        <f xml:space="preserve">
IF($A$4&lt;=12,SUMIFS('ON Data'!AI:AI,'ON Data'!$D:$D,$A$4,'ON Data'!$E:$E,3),SUMIFS('ON Data'!AI:AI,'ON Data'!$E:$E,3))</f>
        <v>0</v>
      </c>
      <c r="AE12" s="221">
        <f xml:space="preserve">
IF($A$4&lt;=12,SUMIFS('ON Data'!AJ:AJ,'ON Data'!$D:$D,$A$4,'ON Data'!$E:$E,3),SUMIFS('ON Data'!AJ:AJ,'ON Data'!$E:$E,3))</f>
        <v>0</v>
      </c>
      <c r="AF12" s="221">
        <f xml:space="preserve">
IF($A$4&lt;=12,SUMIFS('ON Data'!AK:AK,'ON Data'!$D:$D,$A$4,'ON Data'!$E:$E,3),SUMIFS('ON Data'!AK:AK,'ON Data'!$E:$E,3))</f>
        <v>0</v>
      </c>
      <c r="AG12" s="340">
        <f xml:space="preserve">
IF($A$4&lt;=12,SUMIFS('ON Data'!AM:AM,'ON Data'!$D:$D,$A$4,'ON Data'!$E:$E,3),SUMIFS('ON Data'!AM:AM,'ON Data'!$E:$E,3))</f>
        <v>0</v>
      </c>
      <c r="AH12" s="349"/>
    </row>
    <row r="13" spans="1:34" x14ac:dyDescent="0.3">
      <c r="A13" s="202" t="s">
        <v>166</v>
      </c>
      <c r="B13" s="219">
        <f xml:space="preserve">
IF($A$4&lt;=12,SUMIFS('ON Data'!F:F,'ON Data'!$D:$D,$A$4,'ON Data'!$E:$E,4),SUMIFS('ON Data'!F:F,'ON Data'!$E:$E,4))</f>
        <v>0</v>
      </c>
      <c r="C13" s="220">
        <f xml:space="preserve">
IF($A$4&lt;=12,SUMIFS('ON Data'!G:G,'ON Data'!$D:$D,$A$4,'ON Data'!$E:$E,4),SUMIFS('ON Data'!G:G,'ON Data'!$E:$E,4))</f>
        <v>0</v>
      </c>
      <c r="D13" s="221">
        <f xml:space="preserve">
IF($A$4&lt;=12,SUMIFS('ON Data'!H:H,'ON Data'!$D:$D,$A$4,'ON Data'!$E:$E,4),SUMIFS('ON Data'!H:H,'ON Data'!$E:$E,4))</f>
        <v>0</v>
      </c>
      <c r="E13" s="221">
        <f xml:space="preserve">
IF($A$4&lt;=12,SUMIFS('ON Data'!I:I,'ON Data'!$D:$D,$A$4,'ON Data'!$E:$E,4),SUMIFS('ON Data'!I:I,'ON Data'!$E:$E,4))</f>
        <v>0</v>
      </c>
      <c r="F13" s="221">
        <f xml:space="preserve">
IF($A$4&lt;=12,SUMIFS('ON Data'!K:K,'ON Data'!$D:$D,$A$4,'ON Data'!$E:$E,4),SUMIFS('ON Data'!K:K,'ON Data'!$E:$E,4))</f>
        <v>0</v>
      </c>
      <c r="G13" s="221">
        <f xml:space="preserve">
IF($A$4&lt;=12,SUMIFS('ON Data'!L:L,'ON Data'!$D:$D,$A$4,'ON Data'!$E:$E,4),SUMIFS('ON Data'!L:L,'ON Data'!$E:$E,4))</f>
        <v>0</v>
      </c>
      <c r="H13" s="221">
        <f xml:space="preserve">
IF($A$4&lt;=12,SUMIFS('ON Data'!M:M,'ON Data'!$D:$D,$A$4,'ON Data'!$E:$E,4),SUMIFS('ON Data'!M:M,'ON Data'!$E:$E,4))</f>
        <v>0</v>
      </c>
      <c r="I13" s="221">
        <f xml:space="preserve">
IF($A$4&lt;=12,SUMIFS('ON Data'!N:N,'ON Data'!$D:$D,$A$4,'ON Data'!$E:$E,4),SUMIFS('ON Data'!N:N,'ON Data'!$E:$E,4))</f>
        <v>0</v>
      </c>
      <c r="J13" s="221">
        <f xml:space="preserve">
IF($A$4&lt;=12,SUMIFS('ON Data'!O:O,'ON Data'!$D:$D,$A$4,'ON Data'!$E:$E,4),SUMIFS('ON Data'!O:O,'ON Data'!$E:$E,4))</f>
        <v>0</v>
      </c>
      <c r="K13" s="221">
        <f xml:space="preserve">
IF($A$4&lt;=12,SUMIFS('ON Data'!P:P,'ON Data'!$D:$D,$A$4,'ON Data'!$E:$E,4),SUMIFS('ON Data'!P:P,'ON Data'!$E:$E,4))</f>
        <v>0</v>
      </c>
      <c r="L13" s="221">
        <f xml:space="preserve">
IF($A$4&lt;=12,SUMIFS('ON Data'!Q:Q,'ON Data'!$D:$D,$A$4,'ON Data'!$E:$E,4),SUMIFS('ON Data'!Q:Q,'ON Data'!$E:$E,4))</f>
        <v>0</v>
      </c>
      <c r="M13" s="221">
        <f xml:space="preserve">
IF($A$4&lt;=12,SUMIFS('ON Data'!R:R,'ON Data'!$D:$D,$A$4,'ON Data'!$E:$E,4),SUMIFS('ON Data'!R:R,'ON Data'!$E:$E,4))</f>
        <v>0</v>
      </c>
      <c r="N13" s="221">
        <f xml:space="preserve">
IF($A$4&lt;=12,SUMIFS('ON Data'!S:S,'ON Data'!$D:$D,$A$4,'ON Data'!$E:$E,4),SUMIFS('ON Data'!S:S,'ON Data'!$E:$E,4))</f>
        <v>0</v>
      </c>
      <c r="O13" s="221">
        <f xml:space="preserve">
IF($A$4&lt;=12,SUMIFS('ON Data'!T:T,'ON Data'!$D:$D,$A$4,'ON Data'!$E:$E,4),SUMIFS('ON Data'!T:T,'ON Data'!$E:$E,4))</f>
        <v>0</v>
      </c>
      <c r="P13" s="221">
        <f xml:space="preserve">
IF($A$4&lt;=12,SUMIFS('ON Data'!U:U,'ON Data'!$D:$D,$A$4,'ON Data'!$E:$E,4),SUMIFS('ON Data'!U:U,'ON Data'!$E:$E,4))</f>
        <v>0</v>
      </c>
      <c r="Q13" s="221">
        <f xml:space="preserve">
IF($A$4&lt;=12,SUMIFS('ON Data'!V:V,'ON Data'!$D:$D,$A$4,'ON Data'!$E:$E,4),SUMIFS('ON Data'!V:V,'ON Data'!$E:$E,4))</f>
        <v>0</v>
      </c>
      <c r="R13" s="221">
        <f xml:space="preserve">
IF($A$4&lt;=12,SUMIFS('ON Data'!W:W,'ON Data'!$D:$D,$A$4,'ON Data'!$E:$E,4),SUMIFS('ON Data'!W:W,'ON Data'!$E:$E,4))</f>
        <v>0</v>
      </c>
      <c r="S13" s="221">
        <f xml:space="preserve">
IF($A$4&lt;=12,SUMIFS('ON Data'!X:X,'ON Data'!$D:$D,$A$4,'ON Data'!$E:$E,4),SUMIFS('ON Data'!X:X,'ON Data'!$E:$E,4))</f>
        <v>0</v>
      </c>
      <c r="T13" s="221">
        <f xml:space="preserve">
IF($A$4&lt;=12,SUMIFS('ON Data'!Y:Y,'ON Data'!$D:$D,$A$4,'ON Data'!$E:$E,4),SUMIFS('ON Data'!Y:Y,'ON Data'!$E:$E,4))</f>
        <v>0</v>
      </c>
      <c r="U13" s="221">
        <f xml:space="preserve">
IF($A$4&lt;=12,SUMIFS('ON Data'!Z:Z,'ON Data'!$D:$D,$A$4,'ON Data'!$E:$E,4),SUMIFS('ON Data'!Z:Z,'ON Data'!$E:$E,4))</f>
        <v>0</v>
      </c>
      <c r="V13" s="221">
        <f xml:space="preserve">
IF($A$4&lt;=12,SUMIFS('ON Data'!AA:AA,'ON Data'!$D:$D,$A$4,'ON Data'!$E:$E,4),SUMIFS('ON Data'!AA:AA,'ON Data'!$E:$E,4))</f>
        <v>0</v>
      </c>
      <c r="W13" s="221">
        <f xml:space="preserve">
IF($A$4&lt;=12,SUMIFS('ON Data'!AB:AB,'ON Data'!$D:$D,$A$4,'ON Data'!$E:$E,4),SUMIFS('ON Data'!AB:AB,'ON Data'!$E:$E,4))</f>
        <v>0</v>
      </c>
      <c r="X13" s="221">
        <f xml:space="preserve">
IF($A$4&lt;=12,SUMIFS('ON Data'!AC:AC,'ON Data'!$D:$D,$A$4,'ON Data'!$E:$E,4),SUMIFS('ON Data'!AC:AC,'ON Data'!$E:$E,4))</f>
        <v>0</v>
      </c>
      <c r="Y13" s="221">
        <f xml:space="preserve">
IF($A$4&lt;=12,SUMIFS('ON Data'!AD:AD,'ON Data'!$D:$D,$A$4,'ON Data'!$E:$E,4),SUMIFS('ON Data'!AD:AD,'ON Data'!$E:$E,4))</f>
        <v>0</v>
      </c>
      <c r="Z13" s="221">
        <f xml:space="preserve">
IF($A$4&lt;=12,SUMIFS('ON Data'!AE:AE,'ON Data'!$D:$D,$A$4,'ON Data'!$E:$E,4),SUMIFS('ON Data'!AE:AE,'ON Data'!$E:$E,4))</f>
        <v>0</v>
      </c>
      <c r="AA13" s="221">
        <f xml:space="preserve">
IF($A$4&lt;=12,SUMIFS('ON Data'!AF:AF,'ON Data'!$D:$D,$A$4,'ON Data'!$E:$E,4),SUMIFS('ON Data'!AF:AF,'ON Data'!$E:$E,4))</f>
        <v>0</v>
      </c>
      <c r="AB13" s="221">
        <f xml:space="preserve">
IF($A$4&lt;=12,SUMIFS('ON Data'!AG:AG,'ON Data'!$D:$D,$A$4,'ON Data'!$E:$E,4),SUMIFS('ON Data'!AG:AG,'ON Data'!$E:$E,4))</f>
        <v>0</v>
      </c>
      <c r="AC13" s="221">
        <f xml:space="preserve">
IF($A$4&lt;=12,SUMIFS('ON Data'!AH:AH,'ON Data'!$D:$D,$A$4,'ON Data'!$E:$E,4),SUMIFS('ON Data'!AH:AH,'ON Data'!$E:$E,4))</f>
        <v>0</v>
      </c>
      <c r="AD13" s="221">
        <f xml:space="preserve">
IF($A$4&lt;=12,SUMIFS('ON Data'!AI:AI,'ON Data'!$D:$D,$A$4,'ON Data'!$E:$E,4),SUMIFS('ON Data'!AI:AI,'ON Data'!$E:$E,4))</f>
        <v>0</v>
      </c>
      <c r="AE13" s="221">
        <f xml:space="preserve">
IF($A$4&lt;=12,SUMIFS('ON Data'!AJ:AJ,'ON Data'!$D:$D,$A$4,'ON Data'!$E:$E,4),SUMIFS('ON Data'!AJ:AJ,'ON Data'!$E:$E,4))</f>
        <v>0</v>
      </c>
      <c r="AF13" s="221">
        <f xml:space="preserve">
IF($A$4&lt;=12,SUMIFS('ON Data'!AK:AK,'ON Data'!$D:$D,$A$4,'ON Data'!$E:$E,4),SUMIFS('ON Data'!AK:AK,'ON Data'!$E:$E,4))</f>
        <v>0</v>
      </c>
      <c r="AG13" s="340">
        <f xml:space="preserve">
IF($A$4&lt;=12,SUMIFS('ON Data'!AM:AM,'ON Data'!$D:$D,$A$4,'ON Data'!$E:$E,4),SUMIFS('ON Data'!AM:AM,'ON Data'!$E:$E,4))</f>
        <v>0</v>
      </c>
      <c r="AH13" s="349"/>
    </row>
    <row r="14" spans="1:34" ht="15" thickBot="1" x14ac:dyDescent="0.35">
      <c r="A14" s="203" t="s">
        <v>160</v>
      </c>
      <c r="B14" s="222">
        <f xml:space="preserve">
IF($A$4&lt;=12,SUMIFS('ON Data'!F:F,'ON Data'!$D:$D,$A$4,'ON Data'!$E:$E,5),SUMIFS('ON Data'!F:F,'ON Data'!$E:$E,5))</f>
        <v>0</v>
      </c>
      <c r="C14" s="223">
        <f xml:space="preserve">
IF($A$4&lt;=12,SUMIFS('ON Data'!G:G,'ON Data'!$D:$D,$A$4,'ON Data'!$E:$E,5),SUMIFS('ON Data'!G:G,'ON Data'!$E:$E,5))</f>
        <v>0</v>
      </c>
      <c r="D14" s="224">
        <f xml:space="preserve">
IF($A$4&lt;=12,SUMIFS('ON Data'!H:H,'ON Data'!$D:$D,$A$4,'ON Data'!$E:$E,5),SUMIFS('ON Data'!H:H,'ON Data'!$E:$E,5))</f>
        <v>0</v>
      </c>
      <c r="E14" s="224">
        <f xml:space="preserve">
IF($A$4&lt;=12,SUMIFS('ON Data'!I:I,'ON Data'!$D:$D,$A$4,'ON Data'!$E:$E,5),SUMIFS('ON Data'!I:I,'ON Data'!$E:$E,5))</f>
        <v>0</v>
      </c>
      <c r="F14" s="224">
        <f xml:space="preserve">
IF($A$4&lt;=12,SUMIFS('ON Data'!K:K,'ON Data'!$D:$D,$A$4,'ON Data'!$E:$E,5),SUMIFS('ON Data'!K:K,'ON Data'!$E:$E,5))</f>
        <v>0</v>
      </c>
      <c r="G14" s="224">
        <f xml:space="preserve">
IF($A$4&lt;=12,SUMIFS('ON Data'!L:L,'ON Data'!$D:$D,$A$4,'ON Data'!$E:$E,5),SUMIFS('ON Data'!L:L,'ON Data'!$E:$E,5))</f>
        <v>0</v>
      </c>
      <c r="H14" s="224">
        <f xml:space="preserve">
IF($A$4&lt;=12,SUMIFS('ON Data'!M:M,'ON Data'!$D:$D,$A$4,'ON Data'!$E:$E,5),SUMIFS('ON Data'!M:M,'ON Data'!$E:$E,5))</f>
        <v>0</v>
      </c>
      <c r="I14" s="224">
        <f xml:space="preserve">
IF($A$4&lt;=12,SUMIFS('ON Data'!N:N,'ON Data'!$D:$D,$A$4,'ON Data'!$E:$E,5),SUMIFS('ON Data'!N:N,'ON Data'!$E:$E,5))</f>
        <v>0</v>
      </c>
      <c r="J14" s="224">
        <f xml:space="preserve">
IF($A$4&lt;=12,SUMIFS('ON Data'!O:O,'ON Data'!$D:$D,$A$4,'ON Data'!$E:$E,5),SUMIFS('ON Data'!O:O,'ON Data'!$E:$E,5))</f>
        <v>0</v>
      </c>
      <c r="K14" s="224">
        <f xml:space="preserve">
IF($A$4&lt;=12,SUMIFS('ON Data'!P:P,'ON Data'!$D:$D,$A$4,'ON Data'!$E:$E,5),SUMIFS('ON Data'!P:P,'ON Data'!$E:$E,5))</f>
        <v>0</v>
      </c>
      <c r="L14" s="224">
        <f xml:space="preserve">
IF($A$4&lt;=12,SUMIFS('ON Data'!Q:Q,'ON Data'!$D:$D,$A$4,'ON Data'!$E:$E,5),SUMIFS('ON Data'!Q:Q,'ON Data'!$E:$E,5))</f>
        <v>0</v>
      </c>
      <c r="M14" s="224">
        <f xml:space="preserve">
IF($A$4&lt;=12,SUMIFS('ON Data'!R:R,'ON Data'!$D:$D,$A$4,'ON Data'!$E:$E,5),SUMIFS('ON Data'!R:R,'ON Data'!$E:$E,5))</f>
        <v>0</v>
      </c>
      <c r="N14" s="224">
        <f xml:space="preserve">
IF($A$4&lt;=12,SUMIFS('ON Data'!S:S,'ON Data'!$D:$D,$A$4,'ON Data'!$E:$E,5),SUMIFS('ON Data'!S:S,'ON Data'!$E:$E,5))</f>
        <v>0</v>
      </c>
      <c r="O14" s="224">
        <f xml:space="preserve">
IF($A$4&lt;=12,SUMIFS('ON Data'!T:T,'ON Data'!$D:$D,$A$4,'ON Data'!$E:$E,5),SUMIFS('ON Data'!T:T,'ON Data'!$E:$E,5))</f>
        <v>0</v>
      </c>
      <c r="P14" s="224">
        <f xml:space="preserve">
IF($A$4&lt;=12,SUMIFS('ON Data'!U:U,'ON Data'!$D:$D,$A$4,'ON Data'!$E:$E,5),SUMIFS('ON Data'!U:U,'ON Data'!$E:$E,5))</f>
        <v>0</v>
      </c>
      <c r="Q14" s="224">
        <f xml:space="preserve">
IF($A$4&lt;=12,SUMIFS('ON Data'!V:V,'ON Data'!$D:$D,$A$4,'ON Data'!$E:$E,5),SUMIFS('ON Data'!V:V,'ON Data'!$E:$E,5))</f>
        <v>0</v>
      </c>
      <c r="R14" s="224">
        <f xml:space="preserve">
IF($A$4&lt;=12,SUMIFS('ON Data'!W:W,'ON Data'!$D:$D,$A$4,'ON Data'!$E:$E,5),SUMIFS('ON Data'!W:W,'ON Data'!$E:$E,5))</f>
        <v>0</v>
      </c>
      <c r="S14" s="224">
        <f xml:space="preserve">
IF($A$4&lt;=12,SUMIFS('ON Data'!X:X,'ON Data'!$D:$D,$A$4,'ON Data'!$E:$E,5),SUMIFS('ON Data'!X:X,'ON Data'!$E:$E,5))</f>
        <v>0</v>
      </c>
      <c r="T14" s="224">
        <f xml:space="preserve">
IF($A$4&lt;=12,SUMIFS('ON Data'!Y:Y,'ON Data'!$D:$D,$A$4,'ON Data'!$E:$E,5),SUMIFS('ON Data'!Y:Y,'ON Data'!$E:$E,5))</f>
        <v>0</v>
      </c>
      <c r="U14" s="224">
        <f xml:space="preserve">
IF($A$4&lt;=12,SUMIFS('ON Data'!Z:Z,'ON Data'!$D:$D,$A$4,'ON Data'!$E:$E,5),SUMIFS('ON Data'!Z:Z,'ON Data'!$E:$E,5))</f>
        <v>0</v>
      </c>
      <c r="V14" s="224">
        <f xml:space="preserve">
IF($A$4&lt;=12,SUMIFS('ON Data'!AA:AA,'ON Data'!$D:$D,$A$4,'ON Data'!$E:$E,5),SUMIFS('ON Data'!AA:AA,'ON Data'!$E:$E,5))</f>
        <v>0</v>
      </c>
      <c r="W14" s="224">
        <f xml:space="preserve">
IF($A$4&lt;=12,SUMIFS('ON Data'!AB:AB,'ON Data'!$D:$D,$A$4,'ON Data'!$E:$E,5),SUMIFS('ON Data'!AB:AB,'ON Data'!$E:$E,5))</f>
        <v>0</v>
      </c>
      <c r="X14" s="224">
        <f xml:space="preserve">
IF($A$4&lt;=12,SUMIFS('ON Data'!AC:AC,'ON Data'!$D:$D,$A$4,'ON Data'!$E:$E,5),SUMIFS('ON Data'!AC:AC,'ON Data'!$E:$E,5))</f>
        <v>0</v>
      </c>
      <c r="Y14" s="224">
        <f xml:space="preserve">
IF($A$4&lt;=12,SUMIFS('ON Data'!AD:AD,'ON Data'!$D:$D,$A$4,'ON Data'!$E:$E,5),SUMIFS('ON Data'!AD:AD,'ON Data'!$E:$E,5))</f>
        <v>0</v>
      </c>
      <c r="Z14" s="224">
        <f xml:space="preserve">
IF($A$4&lt;=12,SUMIFS('ON Data'!AE:AE,'ON Data'!$D:$D,$A$4,'ON Data'!$E:$E,5),SUMIFS('ON Data'!AE:AE,'ON Data'!$E:$E,5))</f>
        <v>0</v>
      </c>
      <c r="AA14" s="224">
        <f xml:space="preserve">
IF($A$4&lt;=12,SUMIFS('ON Data'!AF:AF,'ON Data'!$D:$D,$A$4,'ON Data'!$E:$E,5),SUMIFS('ON Data'!AF:AF,'ON Data'!$E:$E,5))</f>
        <v>0</v>
      </c>
      <c r="AB14" s="224">
        <f xml:space="preserve">
IF($A$4&lt;=12,SUMIFS('ON Data'!AG:AG,'ON Data'!$D:$D,$A$4,'ON Data'!$E:$E,5),SUMIFS('ON Data'!AG:AG,'ON Data'!$E:$E,5))</f>
        <v>0</v>
      </c>
      <c r="AC14" s="224">
        <f xml:space="preserve">
IF($A$4&lt;=12,SUMIFS('ON Data'!AH:AH,'ON Data'!$D:$D,$A$4,'ON Data'!$E:$E,5),SUMIFS('ON Data'!AH:AH,'ON Data'!$E:$E,5))</f>
        <v>0</v>
      </c>
      <c r="AD14" s="224">
        <f xml:space="preserve">
IF($A$4&lt;=12,SUMIFS('ON Data'!AI:AI,'ON Data'!$D:$D,$A$4,'ON Data'!$E:$E,5),SUMIFS('ON Data'!AI:AI,'ON Data'!$E:$E,5))</f>
        <v>0</v>
      </c>
      <c r="AE14" s="224">
        <f xml:space="preserve">
IF($A$4&lt;=12,SUMIFS('ON Data'!AJ:AJ,'ON Data'!$D:$D,$A$4,'ON Data'!$E:$E,5),SUMIFS('ON Data'!AJ:AJ,'ON Data'!$E:$E,5))</f>
        <v>0</v>
      </c>
      <c r="AF14" s="224">
        <f xml:space="preserve">
IF($A$4&lt;=12,SUMIFS('ON Data'!AK:AK,'ON Data'!$D:$D,$A$4,'ON Data'!$E:$E,5),SUMIFS('ON Data'!AK:AK,'ON Data'!$E:$E,5))</f>
        <v>0</v>
      </c>
      <c r="AG14" s="341">
        <f xml:space="preserve">
IF($A$4&lt;=12,SUMIFS('ON Data'!AM:AM,'ON Data'!$D:$D,$A$4,'ON Data'!$E:$E,5),SUMIFS('ON Data'!AM:AM,'ON Data'!$E:$E,5))</f>
        <v>0</v>
      </c>
      <c r="AH14" s="349"/>
    </row>
    <row r="15" spans="1:34" x14ac:dyDescent="0.3">
      <c r="A15" s="132" t="s">
        <v>170</v>
      </c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342"/>
      <c r="AH15" s="349"/>
    </row>
    <row r="16" spans="1:34" x14ac:dyDescent="0.3">
      <c r="A16" s="204" t="s">
        <v>161</v>
      </c>
      <c r="B16" s="219">
        <f xml:space="preserve">
IF($A$4&lt;=12,SUMIFS('ON Data'!F:F,'ON Data'!$D:$D,$A$4,'ON Data'!$E:$E,7),SUMIFS('ON Data'!F:F,'ON Data'!$E:$E,7))</f>
        <v>0</v>
      </c>
      <c r="C16" s="220">
        <f xml:space="preserve">
IF($A$4&lt;=12,SUMIFS('ON Data'!G:G,'ON Data'!$D:$D,$A$4,'ON Data'!$E:$E,7),SUMIFS('ON Data'!G:G,'ON Data'!$E:$E,7))</f>
        <v>0</v>
      </c>
      <c r="D16" s="221">
        <f xml:space="preserve">
IF($A$4&lt;=12,SUMIFS('ON Data'!H:H,'ON Data'!$D:$D,$A$4,'ON Data'!$E:$E,7),SUMIFS('ON Data'!H:H,'ON Data'!$E:$E,7))</f>
        <v>0</v>
      </c>
      <c r="E16" s="221">
        <f xml:space="preserve">
IF($A$4&lt;=12,SUMIFS('ON Data'!I:I,'ON Data'!$D:$D,$A$4,'ON Data'!$E:$E,7),SUMIFS('ON Data'!I:I,'ON Data'!$E:$E,7))</f>
        <v>0</v>
      </c>
      <c r="F16" s="221">
        <f xml:space="preserve">
IF($A$4&lt;=12,SUMIFS('ON Data'!K:K,'ON Data'!$D:$D,$A$4,'ON Data'!$E:$E,7),SUMIFS('ON Data'!K:K,'ON Data'!$E:$E,7))</f>
        <v>0</v>
      </c>
      <c r="G16" s="221">
        <f xml:space="preserve">
IF($A$4&lt;=12,SUMIFS('ON Data'!L:L,'ON Data'!$D:$D,$A$4,'ON Data'!$E:$E,7),SUMIFS('ON Data'!L:L,'ON Data'!$E:$E,7))</f>
        <v>0</v>
      </c>
      <c r="H16" s="221">
        <f xml:space="preserve">
IF($A$4&lt;=12,SUMIFS('ON Data'!M:M,'ON Data'!$D:$D,$A$4,'ON Data'!$E:$E,7),SUMIFS('ON Data'!M:M,'ON Data'!$E:$E,7))</f>
        <v>0</v>
      </c>
      <c r="I16" s="221">
        <f xml:space="preserve">
IF($A$4&lt;=12,SUMIFS('ON Data'!N:N,'ON Data'!$D:$D,$A$4,'ON Data'!$E:$E,7),SUMIFS('ON Data'!N:N,'ON Data'!$E:$E,7))</f>
        <v>0</v>
      </c>
      <c r="J16" s="221">
        <f xml:space="preserve">
IF($A$4&lt;=12,SUMIFS('ON Data'!O:O,'ON Data'!$D:$D,$A$4,'ON Data'!$E:$E,7),SUMIFS('ON Data'!O:O,'ON Data'!$E:$E,7))</f>
        <v>0</v>
      </c>
      <c r="K16" s="221">
        <f xml:space="preserve">
IF($A$4&lt;=12,SUMIFS('ON Data'!P:P,'ON Data'!$D:$D,$A$4,'ON Data'!$E:$E,7),SUMIFS('ON Data'!P:P,'ON Data'!$E:$E,7))</f>
        <v>0</v>
      </c>
      <c r="L16" s="221">
        <f xml:space="preserve">
IF($A$4&lt;=12,SUMIFS('ON Data'!Q:Q,'ON Data'!$D:$D,$A$4,'ON Data'!$E:$E,7),SUMIFS('ON Data'!Q:Q,'ON Data'!$E:$E,7))</f>
        <v>0</v>
      </c>
      <c r="M16" s="221">
        <f xml:space="preserve">
IF($A$4&lt;=12,SUMIFS('ON Data'!R:R,'ON Data'!$D:$D,$A$4,'ON Data'!$E:$E,7),SUMIFS('ON Data'!R:R,'ON Data'!$E:$E,7))</f>
        <v>0</v>
      </c>
      <c r="N16" s="221">
        <f xml:space="preserve">
IF($A$4&lt;=12,SUMIFS('ON Data'!S:S,'ON Data'!$D:$D,$A$4,'ON Data'!$E:$E,7),SUMIFS('ON Data'!S:S,'ON Data'!$E:$E,7))</f>
        <v>0</v>
      </c>
      <c r="O16" s="221">
        <f xml:space="preserve">
IF($A$4&lt;=12,SUMIFS('ON Data'!T:T,'ON Data'!$D:$D,$A$4,'ON Data'!$E:$E,7),SUMIFS('ON Data'!T:T,'ON Data'!$E:$E,7))</f>
        <v>0</v>
      </c>
      <c r="P16" s="221">
        <f xml:space="preserve">
IF($A$4&lt;=12,SUMIFS('ON Data'!U:U,'ON Data'!$D:$D,$A$4,'ON Data'!$E:$E,7),SUMIFS('ON Data'!U:U,'ON Data'!$E:$E,7))</f>
        <v>0</v>
      </c>
      <c r="Q16" s="221">
        <f xml:space="preserve">
IF($A$4&lt;=12,SUMIFS('ON Data'!V:V,'ON Data'!$D:$D,$A$4,'ON Data'!$E:$E,7),SUMIFS('ON Data'!V:V,'ON Data'!$E:$E,7))</f>
        <v>0</v>
      </c>
      <c r="R16" s="221">
        <f xml:space="preserve">
IF($A$4&lt;=12,SUMIFS('ON Data'!W:W,'ON Data'!$D:$D,$A$4,'ON Data'!$E:$E,7),SUMIFS('ON Data'!W:W,'ON Data'!$E:$E,7))</f>
        <v>0</v>
      </c>
      <c r="S16" s="221">
        <f xml:space="preserve">
IF($A$4&lt;=12,SUMIFS('ON Data'!X:X,'ON Data'!$D:$D,$A$4,'ON Data'!$E:$E,7),SUMIFS('ON Data'!X:X,'ON Data'!$E:$E,7))</f>
        <v>0</v>
      </c>
      <c r="T16" s="221">
        <f xml:space="preserve">
IF($A$4&lt;=12,SUMIFS('ON Data'!Y:Y,'ON Data'!$D:$D,$A$4,'ON Data'!$E:$E,7),SUMIFS('ON Data'!Y:Y,'ON Data'!$E:$E,7))</f>
        <v>0</v>
      </c>
      <c r="U16" s="221">
        <f xml:space="preserve">
IF($A$4&lt;=12,SUMIFS('ON Data'!Z:Z,'ON Data'!$D:$D,$A$4,'ON Data'!$E:$E,7),SUMIFS('ON Data'!Z:Z,'ON Data'!$E:$E,7))</f>
        <v>0</v>
      </c>
      <c r="V16" s="221">
        <f xml:space="preserve">
IF($A$4&lt;=12,SUMIFS('ON Data'!AA:AA,'ON Data'!$D:$D,$A$4,'ON Data'!$E:$E,7),SUMIFS('ON Data'!AA:AA,'ON Data'!$E:$E,7))</f>
        <v>0</v>
      </c>
      <c r="W16" s="221">
        <f xml:space="preserve">
IF($A$4&lt;=12,SUMIFS('ON Data'!AB:AB,'ON Data'!$D:$D,$A$4,'ON Data'!$E:$E,7),SUMIFS('ON Data'!AB:AB,'ON Data'!$E:$E,7))</f>
        <v>0</v>
      </c>
      <c r="X16" s="221">
        <f xml:space="preserve">
IF($A$4&lt;=12,SUMIFS('ON Data'!AC:AC,'ON Data'!$D:$D,$A$4,'ON Data'!$E:$E,7),SUMIFS('ON Data'!AC:AC,'ON Data'!$E:$E,7))</f>
        <v>0</v>
      </c>
      <c r="Y16" s="221">
        <f xml:space="preserve">
IF($A$4&lt;=12,SUMIFS('ON Data'!AD:AD,'ON Data'!$D:$D,$A$4,'ON Data'!$E:$E,7),SUMIFS('ON Data'!AD:AD,'ON Data'!$E:$E,7))</f>
        <v>0</v>
      </c>
      <c r="Z16" s="221">
        <f xml:space="preserve">
IF($A$4&lt;=12,SUMIFS('ON Data'!AE:AE,'ON Data'!$D:$D,$A$4,'ON Data'!$E:$E,7),SUMIFS('ON Data'!AE:AE,'ON Data'!$E:$E,7))</f>
        <v>0</v>
      </c>
      <c r="AA16" s="221">
        <f xml:space="preserve">
IF($A$4&lt;=12,SUMIFS('ON Data'!AF:AF,'ON Data'!$D:$D,$A$4,'ON Data'!$E:$E,7),SUMIFS('ON Data'!AF:AF,'ON Data'!$E:$E,7))</f>
        <v>0</v>
      </c>
      <c r="AB16" s="221">
        <f xml:space="preserve">
IF($A$4&lt;=12,SUMIFS('ON Data'!AG:AG,'ON Data'!$D:$D,$A$4,'ON Data'!$E:$E,7),SUMIFS('ON Data'!AG:AG,'ON Data'!$E:$E,7))</f>
        <v>0</v>
      </c>
      <c r="AC16" s="221">
        <f xml:space="preserve">
IF($A$4&lt;=12,SUMIFS('ON Data'!AH:AH,'ON Data'!$D:$D,$A$4,'ON Data'!$E:$E,7),SUMIFS('ON Data'!AH:AH,'ON Data'!$E:$E,7))</f>
        <v>0</v>
      </c>
      <c r="AD16" s="221">
        <f xml:space="preserve">
IF($A$4&lt;=12,SUMIFS('ON Data'!AI:AI,'ON Data'!$D:$D,$A$4,'ON Data'!$E:$E,7),SUMIFS('ON Data'!AI:AI,'ON Data'!$E:$E,7))</f>
        <v>0</v>
      </c>
      <c r="AE16" s="221">
        <f xml:space="preserve">
IF($A$4&lt;=12,SUMIFS('ON Data'!AJ:AJ,'ON Data'!$D:$D,$A$4,'ON Data'!$E:$E,7),SUMIFS('ON Data'!AJ:AJ,'ON Data'!$E:$E,7))</f>
        <v>0</v>
      </c>
      <c r="AF16" s="221">
        <f xml:space="preserve">
IF($A$4&lt;=12,SUMIFS('ON Data'!AK:AK,'ON Data'!$D:$D,$A$4,'ON Data'!$E:$E,7),SUMIFS('ON Data'!AK:AK,'ON Data'!$E:$E,7))</f>
        <v>0</v>
      </c>
      <c r="AG16" s="340">
        <f xml:space="preserve">
IF($A$4&lt;=12,SUMIFS('ON Data'!AM:AM,'ON Data'!$D:$D,$A$4,'ON Data'!$E:$E,7),SUMIFS('ON Data'!AM:AM,'ON Data'!$E:$E,7))</f>
        <v>0</v>
      </c>
      <c r="AH16" s="349"/>
    </row>
    <row r="17" spans="1:34" x14ac:dyDescent="0.3">
      <c r="A17" s="204" t="s">
        <v>162</v>
      </c>
      <c r="B17" s="219">
        <f xml:space="preserve">
IF($A$4&lt;=12,SUMIFS('ON Data'!F:F,'ON Data'!$D:$D,$A$4,'ON Data'!$E:$E,8),SUMIFS('ON Data'!F:F,'ON Data'!$E:$E,8))</f>
        <v>0</v>
      </c>
      <c r="C17" s="220">
        <f xml:space="preserve">
IF($A$4&lt;=12,SUMIFS('ON Data'!G:G,'ON Data'!$D:$D,$A$4,'ON Data'!$E:$E,8),SUMIFS('ON Data'!G:G,'ON Data'!$E:$E,8))</f>
        <v>0</v>
      </c>
      <c r="D17" s="221">
        <f xml:space="preserve">
IF($A$4&lt;=12,SUMIFS('ON Data'!H:H,'ON Data'!$D:$D,$A$4,'ON Data'!$E:$E,8),SUMIFS('ON Data'!H:H,'ON Data'!$E:$E,8))</f>
        <v>0</v>
      </c>
      <c r="E17" s="221">
        <f xml:space="preserve">
IF($A$4&lt;=12,SUMIFS('ON Data'!I:I,'ON Data'!$D:$D,$A$4,'ON Data'!$E:$E,8),SUMIFS('ON Data'!I:I,'ON Data'!$E:$E,8))</f>
        <v>0</v>
      </c>
      <c r="F17" s="221">
        <f xml:space="preserve">
IF($A$4&lt;=12,SUMIFS('ON Data'!K:K,'ON Data'!$D:$D,$A$4,'ON Data'!$E:$E,8),SUMIFS('ON Data'!K:K,'ON Data'!$E:$E,8))</f>
        <v>0</v>
      </c>
      <c r="G17" s="221">
        <f xml:space="preserve">
IF($A$4&lt;=12,SUMIFS('ON Data'!L:L,'ON Data'!$D:$D,$A$4,'ON Data'!$E:$E,8),SUMIFS('ON Data'!L:L,'ON Data'!$E:$E,8))</f>
        <v>0</v>
      </c>
      <c r="H17" s="221">
        <f xml:space="preserve">
IF($A$4&lt;=12,SUMIFS('ON Data'!M:M,'ON Data'!$D:$D,$A$4,'ON Data'!$E:$E,8),SUMIFS('ON Data'!M:M,'ON Data'!$E:$E,8))</f>
        <v>0</v>
      </c>
      <c r="I17" s="221">
        <f xml:space="preserve">
IF($A$4&lt;=12,SUMIFS('ON Data'!N:N,'ON Data'!$D:$D,$A$4,'ON Data'!$E:$E,8),SUMIFS('ON Data'!N:N,'ON Data'!$E:$E,8))</f>
        <v>0</v>
      </c>
      <c r="J17" s="221">
        <f xml:space="preserve">
IF($A$4&lt;=12,SUMIFS('ON Data'!O:O,'ON Data'!$D:$D,$A$4,'ON Data'!$E:$E,8),SUMIFS('ON Data'!O:O,'ON Data'!$E:$E,8))</f>
        <v>0</v>
      </c>
      <c r="K17" s="221">
        <f xml:space="preserve">
IF($A$4&lt;=12,SUMIFS('ON Data'!P:P,'ON Data'!$D:$D,$A$4,'ON Data'!$E:$E,8),SUMIFS('ON Data'!P:P,'ON Data'!$E:$E,8))</f>
        <v>0</v>
      </c>
      <c r="L17" s="221">
        <f xml:space="preserve">
IF($A$4&lt;=12,SUMIFS('ON Data'!Q:Q,'ON Data'!$D:$D,$A$4,'ON Data'!$E:$E,8),SUMIFS('ON Data'!Q:Q,'ON Data'!$E:$E,8))</f>
        <v>0</v>
      </c>
      <c r="M17" s="221">
        <f xml:space="preserve">
IF($A$4&lt;=12,SUMIFS('ON Data'!R:R,'ON Data'!$D:$D,$A$4,'ON Data'!$E:$E,8),SUMIFS('ON Data'!R:R,'ON Data'!$E:$E,8))</f>
        <v>0</v>
      </c>
      <c r="N17" s="221">
        <f xml:space="preserve">
IF($A$4&lt;=12,SUMIFS('ON Data'!S:S,'ON Data'!$D:$D,$A$4,'ON Data'!$E:$E,8),SUMIFS('ON Data'!S:S,'ON Data'!$E:$E,8))</f>
        <v>0</v>
      </c>
      <c r="O17" s="221">
        <f xml:space="preserve">
IF($A$4&lt;=12,SUMIFS('ON Data'!T:T,'ON Data'!$D:$D,$A$4,'ON Data'!$E:$E,8),SUMIFS('ON Data'!T:T,'ON Data'!$E:$E,8))</f>
        <v>0</v>
      </c>
      <c r="P17" s="221">
        <f xml:space="preserve">
IF($A$4&lt;=12,SUMIFS('ON Data'!U:U,'ON Data'!$D:$D,$A$4,'ON Data'!$E:$E,8),SUMIFS('ON Data'!U:U,'ON Data'!$E:$E,8))</f>
        <v>0</v>
      </c>
      <c r="Q17" s="221">
        <f xml:space="preserve">
IF($A$4&lt;=12,SUMIFS('ON Data'!V:V,'ON Data'!$D:$D,$A$4,'ON Data'!$E:$E,8),SUMIFS('ON Data'!V:V,'ON Data'!$E:$E,8))</f>
        <v>0</v>
      </c>
      <c r="R17" s="221">
        <f xml:space="preserve">
IF($A$4&lt;=12,SUMIFS('ON Data'!W:W,'ON Data'!$D:$D,$A$4,'ON Data'!$E:$E,8),SUMIFS('ON Data'!W:W,'ON Data'!$E:$E,8))</f>
        <v>0</v>
      </c>
      <c r="S17" s="221">
        <f xml:space="preserve">
IF($A$4&lt;=12,SUMIFS('ON Data'!X:X,'ON Data'!$D:$D,$A$4,'ON Data'!$E:$E,8),SUMIFS('ON Data'!X:X,'ON Data'!$E:$E,8))</f>
        <v>0</v>
      </c>
      <c r="T17" s="221">
        <f xml:space="preserve">
IF($A$4&lt;=12,SUMIFS('ON Data'!Y:Y,'ON Data'!$D:$D,$A$4,'ON Data'!$E:$E,8),SUMIFS('ON Data'!Y:Y,'ON Data'!$E:$E,8))</f>
        <v>0</v>
      </c>
      <c r="U17" s="221">
        <f xml:space="preserve">
IF($A$4&lt;=12,SUMIFS('ON Data'!Z:Z,'ON Data'!$D:$D,$A$4,'ON Data'!$E:$E,8),SUMIFS('ON Data'!Z:Z,'ON Data'!$E:$E,8))</f>
        <v>0</v>
      </c>
      <c r="V17" s="221">
        <f xml:space="preserve">
IF($A$4&lt;=12,SUMIFS('ON Data'!AA:AA,'ON Data'!$D:$D,$A$4,'ON Data'!$E:$E,8),SUMIFS('ON Data'!AA:AA,'ON Data'!$E:$E,8))</f>
        <v>0</v>
      </c>
      <c r="W17" s="221">
        <f xml:space="preserve">
IF($A$4&lt;=12,SUMIFS('ON Data'!AB:AB,'ON Data'!$D:$D,$A$4,'ON Data'!$E:$E,8),SUMIFS('ON Data'!AB:AB,'ON Data'!$E:$E,8))</f>
        <v>0</v>
      </c>
      <c r="X17" s="221">
        <f xml:space="preserve">
IF($A$4&lt;=12,SUMIFS('ON Data'!AC:AC,'ON Data'!$D:$D,$A$4,'ON Data'!$E:$E,8),SUMIFS('ON Data'!AC:AC,'ON Data'!$E:$E,8))</f>
        <v>0</v>
      </c>
      <c r="Y17" s="221">
        <f xml:space="preserve">
IF($A$4&lt;=12,SUMIFS('ON Data'!AD:AD,'ON Data'!$D:$D,$A$4,'ON Data'!$E:$E,8),SUMIFS('ON Data'!AD:AD,'ON Data'!$E:$E,8))</f>
        <v>0</v>
      </c>
      <c r="Z17" s="221">
        <f xml:space="preserve">
IF($A$4&lt;=12,SUMIFS('ON Data'!AE:AE,'ON Data'!$D:$D,$A$4,'ON Data'!$E:$E,8),SUMIFS('ON Data'!AE:AE,'ON Data'!$E:$E,8))</f>
        <v>0</v>
      </c>
      <c r="AA17" s="221">
        <f xml:space="preserve">
IF($A$4&lt;=12,SUMIFS('ON Data'!AF:AF,'ON Data'!$D:$D,$A$4,'ON Data'!$E:$E,8),SUMIFS('ON Data'!AF:AF,'ON Data'!$E:$E,8))</f>
        <v>0</v>
      </c>
      <c r="AB17" s="221">
        <f xml:space="preserve">
IF($A$4&lt;=12,SUMIFS('ON Data'!AG:AG,'ON Data'!$D:$D,$A$4,'ON Data'!$E:$E,8),SUMIFS('ON Data'!AG:AG,'ON Data'!$E:$E,8))</f>
        <v>0</v>
      </c>
      <c r="AC17" s="221">
        <f xml:space="preserve">
IF($A$4&lt;=12,SUMIFS('ON Data'!AH:AH,'ON Data'!$D:$D,$A$4,'ON Data'!$E:$E,8),SUMIFS('ON Data'!AH:AH,'ON Data'!$E:$E,8))</f>
        <v>0</v>
      </c>
      <c r="AD17" s="221">
        <f xml:space="preserve">
IF($A$4&lt;=12,SUMIFS('ON Data'!AI:AI,'ON Data'!$D:$D,$A$4,'ON Data'!$E:$E,8),SUMIFS('ON Data'!AI:AI,'ON Data'!$E:$E,8))</f>
        <v>0</v>
      </c>
      <c r="AE17" s="221">
        <f xml:space="preserve">
IF($A$4&lt;=12,SUMIFS('ON Data'!AJ:AJ,'ON Data'!$D:$D,$A$4,'ON Data'!$E:$E,8),SUMIFS('ON Data'!AJ:AJ,'ON Data'!$E:$E,8))</f>
        <v>0</v>
      </c>
      <c r="AF17" s="221">
        <f xml:space="preserve">
IF($A$4&lt;=12,SUMIFS('ON Data'!AK:AK,'ON Data'!$D:$D,$A$4,'ON Data'!$E:$E,8),SUMIFS('ON Data'!AK:AK,'ON Data'!$E:$E,8))</f>
        <v>0</v>
      </c>
      <c r="AG17" s="340">
        <f xml:space="preserve">
IF($A$4&lt;=12,SUMIFS('ON Data'!AM:AM,'ON Data'!$D:$D,$A$4,'ON Data'!$E:$E,8),SUMIFS('ON Data'!AM:AM,'ON Data'!$E:$E,8))</f>
        <v>0</v>
      </c>
      <c r="AH17" s="349"/>
    </row>
    <row r="18" spans="1:34" x14ac:dyDescent="0.3">
      <c r="A18" s="204" t="s">
        <v>163</v>
      </c>
      <c r="B18" s="219">
        <f xml:space="preserve">
B19-B16-B17</f>
        <v>0</v>
      </c>
      <c r="C18" s="220">
        <f t="shared" ref="C18" si="0" xml:space="preserve">
C19-C16-C17</f>
        <v>0</v>
      </c>
      <c r="D18" s="221">
        <f t="shared" ref="D18:AG18" si="1" xml:space="preserve">
D19-D16-D17</f>
        <v>0</v>
      </c>
      <c r="E18" s="221">
        <f t="shared" si="1"/>
        <v>0</v>
      </c>
      <c r="F18" s="221">
        <f t="shared" si="1"/>
        <v>0</v>
      </c>
      <c r="G18" s="221">
        <f t="shared" si="1"/>
        <v>0</v>
      </c>
      <c r="H18" s="221">
        <f t="shared" si="1"/>
        <v>0</v>
      </c>
      <c r="I18" s="221">
        <f t="shared" si="1"/>
        <v>0</v>
      </c>
      <c r="J18" s="221">
        <f t="shared" si="1"/>
        <v>0</v>
      </c>
      <c r="K18" s="221">
        <f t="shared" si="1"/>
        <v>0</v>
      </c>
      <c r="L18" s="221">
        <f t="shared" si="1"/>
        <v>0</v>
      </c>
      <c r="M18" s="221">
        <f t="shared" si="1"/>
        <v>0</v>
      </c>
      <c r="N18" s="221">
        <f t="shared" si="1"/>
        <v>0</v>
      </c>
      <c r="O18" s="221">
        <f t="shared" si="1"/>
        <v>0</v>
      </c>
      <c r="P18" s="221">
        <f t="shared" si="1"/>
        <v>0</v>
      </c>
      <c r="Q18" s="221">
        <f t="shared" si="1"/>
        <v>0</v>
      </c>
      <c r="R18" s="221">
        <f t="shared" si="1"/>
        <v>0</v>
      </c>
      <c r="S18" s="221">
        <f t="shared" si="1"/>
        <v>0</v>
      </c>
      <c r="T18" s="221">
        <f t="shared" si="1"/>
        <v>0</v>
      </c>
      <c r="U18" s="221">
        <f t="shared" si="1"/>
        <v>0</v>
      </c>
      <c r="V18" s="221">
        <f t="shared" si="1"/>
        <v>0</v>
      </c>
      <c r="W18" s="221">
        <f t="shared" si="1"/>
        <v>0</v>
      </c>
      <c r="X18" s="221">
        <f t="shared" si="1"/>
        <v>0</v>
      </c>
      <c r="Y18" s="221">
        <f t="shared" si="1"/>
        <v>0</v>
      </c>
      <c r="Z18" s="221">
        <f t="shared" si="1"/>
        <v>0</v>
      </c>
      <c r="AA18" s="221">
        <f t="shared" si="1"/>
        <v>0</v>
      </c>
      <c r="AB18" s="221">
        <f t="shared" si="1"/>
        <v>0</v>
      </c>
      <c r="AC18" s="221">
        <f t="shared" si="1"/>
        <v>0</v>
      </c>
      <c r="AD18" s="221">
        <f t="shared" si="1"/>
        <v>0</v>
      </c>
      <c r="AE18" s="221">
        <f t="shared" si="1"/>
        <v>0</v>
      </c>
      <c r="AF18" s="221">
        <f t="shared" si="1"/>
        <v>0</v>
      </c>
      <c r="AG18" s="340">
        <f t="shared" si="1"/>
        <v>0</v>
      </c>
      <c r="AH18" s="349"/>
    </row>
    <row r="19" spans="1:34" ht="15" thickBot="1" x14ac:dyDescent="0.35">
      <c r="A19" s="205" t="s">
        <v>164</v>
      </c>
      <c r="B19" s="228">
        <f xml:space="preserve">
IF($A$4&lt;=12,SUMIFS('ON Data'!F:F,'ON Data'!$D:$D,$A$4,'ON Data'!$E:$E,9),SUMIFS('ON Data'!F:F,'ON Data'!$E:$E,9))</f>
        <v>0</v>
      </c>
      <c r="C19" s="229">
        <f xml:space="preserve">
IF($A$4&lt;=12,SUMIFS('ON Data'!G:G,'ON Data'!$D:$D,$A$4,'ON Data'!$E:$E,9),SUMIFS('ON Data'!G:G,'ON Data'!$E:$E,9))</f>
        <v>0</v>
      </c>
      <c r="D19" s="230">
        <f xml:space="preserve">
IF($A$4&lt;=12,SUMIFS('ON Data'!H:H,'ON Data'!$D:$D,$A$4,'ON Data'!$E:$E,9),SUMIFS('ON Data'!H:H,'ON Data'!$E:$E,9))</f>
        <v>0</v>
      </c>
      <c r="E19" s="230">
        <f xml:space="preserve">
IF($A$4&lt;=12,SUMIFS('ON Data'!I:I,'ON Data'!$D:$D,$A$4,'ON Data'!$E:$E,9),SUMIFS('ON Data'!I:I,'ON Data'!$E:$E,9))</f>
        <v>0</v>
      </c>
      <c r="F19" s="230">
        <f xml:space="preserve">
IF($A$4&lt;=12,SUMIFS('ON Data'!K:K,'ON Data'!$D:$D,$A$4,'ON Data'!$E:$E,9),SUMIFS('ON Data'!K:K,'ON Data'!$E:$E,9))</f>
        <v>0</v>
      </c>
      <c r="G19" s="230">
        <f xml:space="preserve">
IF($A$4&lt;=12,SUMIFS('ON Data'!L:L,'ON Data'!$D:$D,$A$4,'ON Data'!$E:$E,9),SUMIFS('ON Data'!L:L,'ON Data'!$E:$E,9))</f>
        <v>0</v>
      </c>
      <c r="H19" s="230">
        <f xml:space="preserve">
IF($A$4&lt;=12,SUMIFS('ON Data'!M:M,'ON Data'!$D:$D,$A$4,'ON Data'!$E:$E,9),SUMIFS('ON Data'!M:M,'ON Data'!$E:$E,9))</f>
        <v>0</v>
      </c>
      <c r="I19" s="230">
        <f xml:space="preserve">
IF($A$4&lt;=12,SUMIFS('ON Data'!N:N,'ON Data'!$D:$D,$A$4,'ON Data'!$E:$E,9),SUMIFS('ON Data'!N:N,'ON Data'!$E:$E,9))</f>
        <v>0</v>
      </c>
      <c r="J19" s="230">
        <f xml:space="preserve">
IF($A$4&lt;=12,SUMIFS('ON Data'!O:O,'ON Data'!$D:$D,$A$4,'ON Data'!$E:$E,9),SUMIFS('ON Data'!O:O,'ON Data'!$E:$E,9))</f>
        <v>0</v>
      </c>
      <c r="K19" s="230">
        <f xml:space="preserve">
IF($A$4&lt;=12,SUMIFS('ON Data'!P:P,'ON Data'!$D:$D,$A$4,'ON Data'!$E:$E,9),SUMIFS('ON Data'!P:P,'ON Data'!$E:$E,9))</f>
        <v>0</v>
      </c>
      <c r="L19" s="230">
        <f xml:space="preserve">
IF($A$4&lt;=12,SUMIFS('ON Data'!Q:Q,'ON Data'!$D:$D,$A$4,'ON Data'!$E:$E,9),SUMIFS('ON Data'!Q:Q,'ON Data'!$E:$E,9))</f>
        <v>0</v>
      </c>
      <c r="M19" s="230">
        <f xml:space="preserve">
IF($A$4&lt;=12,SUMIFS('ON Data'!R:R,'ON Data'!$D:$D,$A$4,'ON Data'!$E:$E,9),SUMIFS('ON Data'!R:R,'ON Data'!$E:$E,9))</f>
        <v>0</v>
      </c>
      <c r="N19" s="230">
        <f xml:space="preserve">
IF($A$4&lt;=12,SUMIFS('ON Data'!S:S,'ON Data'!$D:$D,$A$4,'ON Data'!$E:$E,9),SUMIFS('ON Data'!S:S,'ON Data'!$E:$E,9))</f>
        <v>0</v>
      </c>
      <c r="O19" s="230">
        <f xml:space="preserve">
IF($A$4&lt;=12,SUMIFS('ON Data'!T:T,'ON Data'!$D:$D,$A$4,'ON Data'!$E:$E,9),SUMIFS('ON Data'!T:T,'ON Data'!$E:$E,9))</f>
        <v>0</v>
      </c>
      <c r="P19" s="230">
        <f xml:space="preserve">
IF($A$4&lt;=12,SUMIFS('ON Data'!U:U,'ON Data'!$D:$D,$A$4,'ON Data'!$E:$E,9),SUMIFS('ON Data'!U:U,'ON Data'!$E:$E,9))</f>
        <v>0</v>
      </c>
      <c r="Q19" s="230">
        <f xml:space="preserve">
IF($A$4&lt;=12,SUMIFS('ON Data'!V:V,'ON Data'!$D:$D,$A$4,'ON Data'!$E:$E,9),SUMIFS('ON Data'!V:V,'ON Data'!$E:$E,9))</f>
        <v>0</v>
      </c>
      <c r="R19" s="230">
        <f xml:space="preserve">
IF($A$4&lt;=12,SUMIFS('ON Data'!W:W,'ON Data'!$D:$D,$A$4,'ON Data'!$E:$E,9),SUMIFS('ON Data'!W:W,'ON Data'!$E:$E,9))</f>
        <v>0</v>
      </c>
      <c r="S19" s="230">
        <f xml:space="preserve">
IF($A$4&lt;=12,SUMIFS('ON Data'!X:X,'ON Data'!$D:$D,$A$4,'ON Data'!$E:$E,9),SUMIFS('ON Data'!X:X,'ON Data'!$E:$E,9))</f>
        <v>0</v>
      </c>
      <c r="T19" s="230">
        <f xml:space="preserve">
IF($A$4&lt;=12,SUMIFS('ON Data'!Y:Y,'ON Data'!$D:$D,$A$4,'ON Data'!$E:$E,9),SUMIFS('ON Data'!Y:Y,'ON Data'!$E:$E,9))</f>
        <v>0</v>
      </c>
      <c r="U19" s="230">
        <f xml:space="preserve">
IF($A$4&lt;=12,SUMIFS('ON Data'!Z:Z,'ON Data'!$D:$D,$A$4,'ON Data'!$E:$E,9),SUMIFS('ON Data'!Z:Z,'ON Data'!$E:$E,9))</f>
        <v>0</v>
      </c>
      <c r="V19" s="230">
        <f xml:space="preserve">
IF($A$4&lt;=12,SUMIFS('ON Data'!AA:AA,'ON Data'!$D:$D,$A$4,'ON Data'!$E:$E,9),SUMIFS('ON Data'!AA:AA,'ON Data'!$E:$E,9))</f>
        <v>0</v>
      </c>
      <c r="W19" s="230">
        <f xml:space="preserve">
IF($A$4&lt;=12,SUMIFS('ON Data'!AB:AB,'ON Data'!$D:$D,$A$4,'ON Data'!$E:$E,9),SUMIFS('ON Data'!AB:AB,'ON Data'!$E:$E,9))</f>
        <v>0</v>
      </c>
      <c r="X19" s="230">
        <f xml:space="preserve">
IF($A$4&lt;=12,SUMIFS('ON Data'!AC:AC,'ON Data'!$D:$D,$A$4,'ON Data'!$E:$E,9),SUMIFS('ON Data'!AC:AC,'ON Data'!$E:$E,9))</f>
        <v>0</v>
      </c>
      <c r="Y19" s="230">
        <f xml:space="preserve">
IF($A$4&lt;=12,SUMIFS('ON Data'!AD:AD,'ON Data'!$D:$D,$A$4,'ON Data'!$E:$E,9),SUMIFS('ON Data'!AD:AD,'ON Data'!$E:$E,9))</f>
        <v>0</v>
      </c>
      <c r="Z19" s="230">
        <f xml:space="preserve">
IF($A$4&lt;=12,SUMIFS('ON Data'!AE:AE,'ON Data'!$D:$D,$A$4,'ON Data'!$E:$E,9),SUMIFS('ON Data'!AE:AE,'ON Data'!$E:$E,9))</f>
        <v>0</v>
      </c>
      <c r="AA19" s="230">
        <f xml:space="preserve">
IF($A$4&lt;=12,SUMIFS('ON Data'!AF:AF,'ON Data'!$D:$D,$A$4,'ON Data'!$E:$E,9),SUMIFS('ON Data'!AF:AF,'ON Data'!$E:$E,9))</f>
        <v>0</v>
      </c>
      <c r="AB19" s="230">
        <f xml:space="preserve">
IF($A$4&lt;=12,SUMIFS('ON Data'!AG:AG,'ON Data'!$D:$D,$A$4,'ON Data'!$E:$E,9),SUMIFS('ON Data'!AG:AG,'ON Data'!$E:$E,9))</f>
        <v>0</v>
      </c>
      <c r="AC19" s="230">
        <f xml:space="preserve">
IF($A$4&lt;=12,SUMIFS('ON Data'!AH:AH,'ON Data'!$D:$D,$A$4,'ON Data'!$E:$E,9),SUMIFS('ON Data'!AH:AH,'ON Data'!$E:$E,9))</f>
        <v>0</v>
      </c>
      <c r="AD19" s="230">
        <f xml:space="preserve">
IF($A$4&lt;=12,SUMIFS('ON Data'!AI:AI,'ON Data'!$D:$D,$A$4,'ON Data'!$E:$E,9),SUMIFS('ON Data'!AI:AI,'ON Data'!$E:$E,9))</f>
        <v>0</v>
      </c>
      <c r="AE19" s="230">
        <f xml:space="preserve">
IF($A$4&lt;=12,SUMIFS('ON Data'!AJ:AJ,'ON Data'!$D:$D,$A$4,'ON Data'!$E:$E,9),SUMIFS('ON Data'!AJ:AJ,'ON Data'!$E:$E,9))</f>
        <v>0</v>
      </c>
      <c r="AF19" s="230">
        <f xml:space="preserve">
IF($A$4&lt;=12,SUMIFS('ON Data'!AK:AK,'ON Data'!$D:$D,$A$4,'ON Data'!$E:$E,9),SUMIFS('ON Data'!AK:AK,'ON Data'!$E:$E,9))</f>
        <v>0</v>
      </c>
      <c r="AG19" s="343">
        <f xml:space="preserve">
IF($A$4&lt;=12,SUMIFS('ON Data'!AM:AM,'ON Data'!$D:$D,$A$4,'ON Data'!$E:$E,9),SUMIFS('ON Data'!AM:AM,'ON Data'!$E:$E,9))</f>
        <v>0</v>
      </c>
      <c r="AH19" s="349"/>
    </row>
    <row r="20" spans="1:34" ht="15" collapsed="1" thickBot="1" x14ac:dyDescent="0.35">
      <c r="A20" s="206" t="s">
        <v>47</v>
      </c>
      <c r="B20" s="231">
        <f xml:space="preserve">
IF($A$4&lt;=12,SUMIFS('ON Data'!F:F,'ON Data'!$D:$D,$A$4,'ON Data'!$E:$E,6),SUMIFS('ON Data'!F:F,'ON Data'!$E:$E,6))</f>
        <v>491770</v>
      </c>
      <c r="C20" s="232">
        <f xml:space="preserve">
IF($A$4&lt;=12,SUMIFS('ON Data'!G:G,'ON Data'!$D:$D,$A$4,'ON Data'!$E:$E,6),SUMIFS('ON Data'!G:G,'ON Data'!$E:$E,6))</f>
        <v>0</v>
      </c>
      <c r="D20" s="233">
        <f xml:space="preserve">
IF($A$4&lt;=12,SUMIFS('ON Data'!H:H,'ON Data'!$D:$D,$A$4,'ON Data'!$E:$E,6),SUMIFS('ON Data'!H:H,'ON Data'!$E:$E,6))</f>
        <v>439829</v>
      </c>
      <c r="E20" s="233">
        <f xml:space="preserve">
IF($A$4&lt;=12,SUMIFS('ON Data'!I:I,'ON Data'!$D:$D,$A$4,'ON Data'!$E:$E,6),SUMIFS('ON Data'!I:I,'ON Data'!$E:$E,6))</f>
        <v>0</v>
      </c>
      <c r="F20" s="233">
        <f xml:space="preserve">
IF($A$4&lt;=12,SUMIFS('ON Data'!K:K,'ON Data'!$D:$D,$A$4,'ON Data'!$E:$E,6),SUMIFS('ON Data'!K:K,'ON Data'!$E:$E,6))</f>
        <v>0</v>
      </c>
      <c r="G20" s="233">
        <f xml:space="preserve">
IF($A$4&lt;=12,SUMIFS('ON Data'!L:L,'ON Data'!$D:$D,$A$4,'ON Data'!$E:$E,6),SUMIFS('ON Data'!L:L,'ON Data'!$E:$E,6))</f>
        <v>0</v>
      </c>
      <c r="H20" s="233">
        <f xml:space="preserve">
IF($A$4&lt;=12,SUMIFS('ON Data'!M:M,'ON Data'!$D:$D,$A$4,'ON Data'!$E:$E,6),SUMIFS('ON Data'!M:M,'ON Data'!$E:$E,6))</f>
        <v>0</v>
      </c>
      <c r="I20" s="233">
        <f xml:space="preserve">
IF($A$4&lt;=12,SUMIFS('ON Data'!N:N,'ON Data'!$D:$D,$A$4,'ON Data'!$E:$E,6),SUMIFS('ON Data'!N:N,'ON Data'!$E:$E,6))</f>
        <v>0</v>
      </c>
      <c r="J20" s="233">
        <f xml:space="preserve">
IF($A$4&lt;=12,SUMIFS('ON Data'!O:O,'ON Data'!$D:$D,$A$4,'ON Data'!$E:$E,6),SUMIFS('ON Data'!O:O,'ON Data'!$E:$E,6))</f>
        <v>0</v>
      </c>
      <c r="K20" s="233">
        <f xml:space="preserve">
IF($A$4&lt;=12,SUMIFS('ON Data'!P:P,'ON Data'!$D:$D,$A$4,'ON Data'!$E:$E,6),SUMIFS('ON Data'!P:P,'ON Data'!$E:$E,6))</f>
        <v>0</v>
      </c>
      <c r="L20" s="233">
        <f xml:space="preserve">
IF($A$4&lt;=12,SUMIFS('ON Data'!Q:Q,'ON Data'!$D:$D,$A$4,'ON Data'!$E:$E,6),SUMIFS('ON Data'!Q:Q,'ON Data'!$E:$E,6))</f>
        <v>0</v>
      </c>
      <c r="M20" s="233">
        <f xml:space="preserve">
IF($A$4&lt;=12,SUMIFS('ON Data'!R:R,'ON Data'!$D:$D,$A$4,'ON Data'!$E:$E,6),SUMIFS('ON Data'!R:R,'ON Data'!$E:$E,6))</f>
        <v>0</v>
      </c>
      <c r="N20" s="233">
        <f xml:space="preserve">
IF($A$4&lt;=12,SUMIFS('ON Data'!S:S,'ON Data'!$D:$D,$A$4,'ON Data'!$E:$E,6),SUMIFS('ON Data'!S:S,'ON Data'!$E:$E,6))</f>
        <v>0</v>
      </c>
      <c r="O20" s="233">
        <f xml:space="preserve">
IF($A$4&lt;=12,SUMIFS('ON Data'!T:T,'ON Data'!$D:$D,$A$4,'ON Data'!$E:$E,6),SUMIFS('ON Data'!T:T,'ON Data'!$E:$E,6))</f>
        <v>0</v>
      </c>
      <c r="P20" s="233">
        <f xml:space="preserve">
IF($A$4&lt;=12,SUMIFS('ON Data'!U:U,'ON Data'!$D:$D,$A$4,'ON Data'!$E:$E,6),SUMIFS('ON Data'!U:U,'ON Data'!$E:$E,6))</f>
        <v>0</v>
      </c>
      <c r="Q20" s="233">
        <f xml:space="preserve">
IF($A$4&lt;=12,SUMIFS('ON Data'!V:V,'ON Data'!$D:$D,$A$4,'ON Data'!$E:$E,6),SUMIFS('ON Data'!V:V,'ON Data'!$E:$E,6))</f>
        <v>0</v>
      </c>
      <c r="R20" s="233">
        <f xml:space="preserve">
IF($A$4&lt;=12,SUMIFS('ON Data'!W:W,'ON Data'!$D:$D,$A$4,'ON Data'!$E:$E,6),SUMIFS('ON Data'!W:W,'ON Data'!$E:$E,6))</f>
        <v>0</v>
      </c>
      <c r="S20" s="233">
        <f xml:space="preserve">
IF($A$4&lt;=12,SUMIFS('ON Data'!X:X,'ON Data'!$D:$D,$A$4,'ON Data'!$E:$E,6),SUMIFS('ON Data'!X:X,'ON Data'!$E:$E,6))</f>
        <v>0</v>
      </c>
      <c r="T20" s="233">
        <f xml:space="preserve">
IF($A$4&lt;=12,SUMIFS('ON Data'!Y:Y,'ON Data'!$D:$D,$A$4,'ON Data'!$E:$E,6),SUMIFS('ON Data'!Y:Y,'ON Data'!$E:$E,6))</f>
        <v>0</v>
      </c>
      <c r="U20" s="233">
        <f xml:space="preserve">
IF($A$4&lt;=12,SUMIFS('ON Data'!Z:Z,'ON Data'!$D:$D,$A$4,'ON Data'!$E:$E,6),SUMIFS('ON Data'!Z:Z,'ON Data'!$E:$E,6))</f>
        <v>12470</v>
      </c>
      <c r="V20" s="233">
        <f xml:space="preserve">
IF($A$4&lt;=12,SUMIFS('ON Data'!AA:AA,'ON Data'!$D:$D,$A$4,'ON Data'!$E:$E,6),SUMIFS('ON Data'!AA:AA,'ON Data'!$E:$E,6))</f>
        <v>0</v>
      </c>
      <c r="W20" s="233">
        <f xml:space="preserve">
IF($A$4&lt;=12,SUMIFS('ON Data'!AB:AB,'ON Data'!$D:$D,$A$4,'ON Data'!$E:$E,6),SUMIFS('ON Data'!AB:AB,'ON Data'!$E:$E,6))</f>
        <v>0</v>
      </c>
      <c r="X20" s="233">
        <f xml:space="preserve">
IF($A$4&lt;=12,SUMIFS('ON Data'!AC:AC,'ON Data'!$D:$D,$A$4,'ON Data'!$E:$E,6),SUMIFS('ON Data'!AC:AC,'ON Data'!$E:$E,6))</f>
        <v>0</v>
      </c>
      <c r="Y20" s="233">
        <f xml:space="preserve">
IF($A$4&lt;=12,SUMIFS('ON Data'!AD:AD,'ON Data'!$D:$D,$A$4,'ON Data'!$E:$E,6),SUMIFS('ON Data'!AD:AD,'ON Data'!$E:$E,6))</f>
        <v>0</v>
      </c>
      <c r="Z20" s="233">
        <f xml:space="preserve">
IF($A$4&lt;=12,SUMIFS('ON Data'!AE:AE,'ON Data'!$D:$D,$A$4,'ON Data'!$E:$E,6),SUMIFS('ON Data'!AE:AE,'ON Data'!$E:$E,6))</f>
        <v>0</v>
      </c>
      <c r="AA20" s="233">
        <f xml:space="preserve">
IF($A$4&lt;=12,SUMIFS('ON Data'!AF:AF,'ON Data'!$D:$D,$A$4,'ON Data'!$E:$E,6),SUMIFS('ON Data'!AF:AF,'ON Data'!$E:$E,6))</f>
        <v>0</v>
      </c>
      <c r="AB20" s="233">
        <f xml:space="preserve">
IF($A$4&lt;=12,SUMIFS('ON Data'!AG:AG,'ON Data'!$D:$D,$A$4,'ON Data'!$E:$E,6),SUMIFS('ON Data'!AG:AG,'ON Data'!$E:$E,6))</f>
        <v>0</v>
      </c>
      <c r="AC20" s="233">
        <f xml:space="preserve">
IF($A$4&lt;=12,SUMIFS('ON Data'!AH:AH,'ON Data'!$D:$D,$A$4,'ON Data'!$E:$E,6),SUMIFS('ON Data'!AH:AH,'ON Data'!$E:$E,6))</f>
        <v>0</v>
      </c>
      <c r="AD20" s="233">
        <f xml:space="preserve">
IF($A$4&lt;=12,SUMIFS('ON Data'!AI:AI,'ON Data'!$D:$D,$A$4,'ON Data'!$E:$E,6),SUMIFS('ON Data'!AI:AI,'ON Data'!$E:$E,6))</f>
        <v>0</v>
      </c>
      <c r="AE20" s="233">
        <f xml:space="preserve">
IF($A$4&lt;=12,SUMIFS('ON Data'!AJ:AJ,'ON Data'!$D:$D,$A$4,'ON Data'!$E:$E,6),SUMIFS('ON Data'!AJ:AJ,'ON Data'!$E:$E,6))</f>
        <v>0</v>
      </c>
      <c r="AF20" s="233">
        <f xml:space="preserve">
IF($A$4&lt;=12,SUMIFS('ON Data'!AK:AK,'ON Data'!$D:$D,$A$4,'ON Data'!$E:$E,6),SUMIFS('ON Data'!AK:AK,'ON Data'!$E:$E,6))</f>
        <v>0</v>
      </c>
      <c r="AG20" s="344">
        <f xml:space="preserve">
IF($A$4&lt;=12,SUMIFS('ON Data'!AM:AM,'ON Data'!$D:$D,$A$4,'ON Data'!$E:$E,6),SUMIFS('ON Data'!AM:AM,'ON Data'!$E:$E,6))</f>
        <v>39471</v>
      </c>
      <c r="AH20" s="349"/>
    </row>
    <row r="21" spans="1:34" ht="15" hidden="1" outlineLevel="1" thickBot="1" x14ac:dyDescent="0.35">
      <c r="A21" s="199" t="s">
        <v>82</v>
      </c>
      <c r="B21" s="219"/>
      <c r="C21" s="220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340"/>
      <c r="AH21" s="349"/>
    </row>
    <row r="22" spans="1:34" ht="15" hidden="1" outlineLevel="1" thickBot="1" x14ac:dyDescent="0.35">
      <c r="A22" s="199" t="s">
        <v>49</v>
      </c>
      <c r="B22" s="219"/>
      <c r="C22" s="220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340"/>
      <c r="AH22" s="349"/>
    </row>
    <row r="23" spans="1:34" ht="15" hidden="1" outlineLevel="1" thickBot="1" x14ac:dyDescent="0.35">
      <c r="A23" s="207" t="s">
        <v>43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341"/>
      <c r="AH23" s="349"/>
    </row>
    <row r="24" spans="1:34" x14ac:dyDescent="0.3">
      <c r="A24" s="201" t="s">
        <v>165</v>
      </c>
      <c r="B24" s="248" t="s">
        <v>1</v>
      </c>
      <c r="C24" s="350" t="s">
        <v>176</v>
      </c>
      <c r="D24" s="325"/>
      <c r="E24" s="326"/>
      <c r="F24" s="326" t="s">
        <v>177</v>
      </c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45" t="s">
        <v>178</v>
      </c>
      <c r="AH24" s="349"/>
    </row>
    <row r="25" spans="1:34" x14ac:dyDescent="0.3">
      <c r="A25" s="202" t="s">
        <v>47</v>
      </c>
      <c r="B25" s="219">
        <f xml:space="preserve">
SUM(C25:AG25)</f>
        <v>7000</v>
      </c>
      <c r="C25" s="351">
        <f xml:space="preserve">
IF($A$4&lt;=12,SUMIFS('ON Data'!H:H,'ON Data'!$D:$D,$A$4,'ON Data'!$E:$E,10),SUMIFS('ON Data'!H:H,'ON Data'!$E:$E,10))</f>
        <v>7000</v>
      </c>
      <c r="D25" s="327"/>
      <c r="E25" s="328"/>
      <c r="F25" s="328">
        <f xml:space="preserve">
IF($A$4&lt;=12,SUMIFS('ON Data'!K:K,'ON Data'!$D:$D,$A$4,'ON Data'!$E:$E,10),SUMIFS('ON Data'!K:K,'ON Data'!$E:$E,10))</f>
        <v>0</v>
      </c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46">
        <f xml:space="preserve">
IF($A$4&lt;=12,SUMIFS('ON Data'!AM:AM,'ON Data'!$D:$D,$A$4,'ON Data'!$E:$E,10),SUMIFS('ON Data'!AM:AM,'ON Data'!$E:$E,10))</f>
        <v>0</v>
      </c>
      <c r="AH25" s="349"/>
    </row>
    <row r="26" spans="1:34" x14ac:dyDescent="0.3">
      <c r="A26" s="208" t="s">
        <v>175</v>
      </c>
      <c r="B26" s="228">
        <f xml:space="preserve">
SUM(C26:AG26)</f>
        <v>4105</v>
      </c>
      <c r="C26" s="351">
        <f xml:space="preserve">
IF($A$4&lt;=12,SUMIFS('ON Data'!H:H,'ON Data'!$D:$D,$A$4,'ON Data'!$E:$E,11),SUMIFS('ON Data'!H:H,'ON Data'!$E:$E,11))</f>
        <v>3688.333333333333</v>
      </c>
      <c r="D26" s="327"/>
      <c r="E26" s="328"/>
      <c r="F26" s="329">
        <f xml:space="preserve">
IF($A$4&lt;=12,SUMIFS('ON Data'!K:K,'ON Data'!$D:$D,$A$4,'ON Data'!$E:$E,11),SUMIFS('ON Data'!K:K,'ON Data'!$E:$E,11))</f>
        <v>416.66666666666663</v>
      </c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46">
        <f xml:space="preserve">
IF($A$4&lt;=12,SUMIFS('ON Data'!AM:AM,'ON Data'!$D:$D,$A$4,'ON Data'!$E:$E,11),SUMIFS('ON Data'!AM:AM,'ON Data'!$E:$E,11))</f>
        <v>0</v>
      </c>
      <c r="AH26" s="349"/>
    </row>
    <row r="27" spans="1:34" x14ac:dyDescent="0.3">
      <c r="A27" s="208" t="s">
        <v>49</v>
      </c>
      <c r="B27" s="249">
        <f xml:space="preserve">
IF(B26=0,0,B25/B26)</f>
        <v>1.705237515225335</v>
      </c>
      <c r="C27" s="352">
        <f xml:space="preserve">
IF(C26=0,0,C25/C26)</f>
        <v>1.8978761861726166</v>
      </c>
      <c r="D27" s="330"/>
      <c r="E27" s="331"/>
      <c r="F27" s="331">
        <f xml:space="preserve">
IF(F26=0,0,F25/F26)</f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47">
        <f xml:space="preserve">
IF(AG26=0,0,AG25/AG26)</f>
        <v>0</v>
      </c>
      <c r="AH27" s="349"/>
    </row>
    <row r="28" spans="1:34" ht="15" thickBot="1" x14ac:dyDescent="0.35">
      <c r="A28" s="208" t="s">
        <v>174</v>
      </c>
      <c r="B28" s="228">
        <f xml:space="preserve">
SUM(C28:AG28)</f>
        <v>-2895.0000000000005</v>
      </c>
      <c r="C28" s="353">
        <f xml:space="preserve">
C26-C25</f>
        <v>-3311.666666666667</v>
      </c>
      <c r="D28" s="332"/>
      <c r="E28" s="333"/>
      <c r="F28" s="333">
        <f xml:space="preserve">
F26-F25</f>
        <v>416.66666666666663</v>
      </c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48">
        <f xml:space="preserve">
AG26-AG25</f>
        <v>0</v>
      </c>
      <c r="AH28" s="349"/>
    </row>
    <row r="29" spans="1:34" x14ac:dyDescent="0.3">
      <c r="A29" s="209"/>
      <c r="B29" s="209"/>
      <c r="C29" s="210"/>
      <c r="D29" s="209"/>
      <c r="E29" s="209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09"/>
      <c r="AF29" s="209"/>
      <c r="AG29" s="209"/>
    </row>
    <row r="30" spans="1:34" x14ac:dyDescent="0.3">
      <c r="A30" s="85" t="s">
        <v>108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20"/>
    </row>
    <row r="31" spans="1:34" x14ac:dyDescent="0.3">
      <c r="A31" s="86" t="s">
        <v>172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20"/>
    </row>
    <row r="32" spans="1:34" ht="14.4" customHeight="1" x14ac:dyDescent="0.3">
      <c r="A32" s="245" t="s">
        <v>169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</row>
    <row r="33" spans="1:1" x14ac:dyDescent="0.3">
      <c r="A33" s="247" t="s">
        <v>179</v>
      </c>
    </row>
    <row r="34" spans="1:1" x14ac:dyDescent="0.3">
      <c r="A34" s="247" t="s">
        <v>180</v>
      </c>
    </row>
    <row r="35" spans="1:1" x14ac:dyDescent="0.3">
      <c r="A35" s="247" t="s">
        <v>181</v>
      </c>
    </row>
    <row r="36" spans="1:1" x14ac:dyDescent="0.3">
      <c r="A36" s="247" t="s">
        <v>182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5"/>
  <sheetViews>
    <sheetView showGridLines="0" showRowColHeaders="0" workbookViewId="0"/>
  </sheetViews>
  <sheetFormatPr defaultRowHeight="14.4" x14ac:dyDescent="0.3"/>
  <cols>
    <col min="1" max="16384" width="8.88671875" style="188"/>
  </cols>
  <sheetData>
    <row r="1" spans="1:40" x14ac:dyDescent="0.3">
      <c r="A1" s="188" t="s">
        <v>270</v>
      </c>
    </row>
    <row r="2" spans="1:40" x14ac:dyDescent="0.3">
      <c r="A2" s="192" t="s">
        <v>210</v>
      </c>
    </row>
    <row r="3" spans="1:40" x14ac:dyDescent="0.3">
      <c r="A3" s="188" t="s">
        <v>139</v>
      </c>
      <c r="B3" s="213">
        <v>2014</v>
      </c>
      <c r="D3" s="189">
        <f>MAX(D5:D1048576)</f>
        <v>5</v>
      </c>
      <c r="F3" s="189">
        <f>SUMIF($E5:$E1048576,"&lt;10",F5:F1048576)</f>
        <v>494266.60000000009</v>
      </c>
      <c r="G3" s="189">
        <f t="shared" ref="G3:AN3" si="0">SUMIF($E5:$E1048576,"&lt;10",G5:G1048576)</f>
        <v>0</v>
      </c>
      <c r="H3" s="189">
        <f t="shared" si="0"/>
        <v>441794.35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89">
        <f t="shared" si="0"/>
        <v>0</v>
      </c>
      <c r="N3" s="189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89">
        <f t="shared" si="0"/>
        <v>0</v>
      </c>
      <c r="T3" s="189">
        <f t="shared" si="0"/>
        <v>0</v>
      </c>
      <c r="U3" s="189">
        <f t="shared" si="0"/>
        <v>0</v>
      </c>
      <c r="V3" s="189">
        <f t="shared" si="0"/>
        <v>0</v>
      </c>
      <c r="W3" s="189">
        <f t="shared" si="0"/>
        <v>0</v>
      </c>
      <c r="X3" s="189">
        <f t="shared" si="0"/>
        <v>0</v>
      </c>
      <c r="Y3" s="189">
        <f t="shared" si="0"/>
        <v>0</v>
      </c>
      <c r="Z3" s="189">
        <f t="shared" si="0"/>
        <v>12513.449999999999</v>
      </c>
      <c r="AA3" s="189">
        <f t="shared" si="0"/>
        <v>0</v>
      </c>
      <c r="AB3" s="189">
        <f t="shared" si="0"/>
        <v>0</v>
      </c>
      <c r="AC3" s="189">
        <f t="shared" si="0"/>
        <v>0</v>
      </c>
      <c r="AD3" s="189">
        <f t="shared" si="0"/>
        <v>0</v>
      </c>
      <c r="AE3" s="189">
        <f t="shared" si="0"/>
        <v>0</v>
      </c>
      <c r="AF3" s="189">
        <f t="shared" si="0"/>
        <v>0</v>
      </c>
      <c r="AG3" s="189">
        <f t="shared" si="0"/>
        <v>0</v>
      </c>
      <c r="AH3" s="189">
        <f t="shared" si="0"/>
        <v>0</v>
      </c>
      <c r="AI3" s="189">
        <f t="shared" si="0"/>
        <v>0</v>
      </c>
      <c r="AJ3" s="189">
        <f t="shared" si="0"/>
        <v>0</v>
      </c>
      <c r="AK3" s="189">
        <f t="shared" si="0"/>
        <v>0</v>
      </c>
      <c r="AL3" s="189">
        <f t="shared" si="0"/>
        <v>0</v>
      </c>
      <c r="AM3" s="189">
        <f t="shared" si="0"/>
        <v>39958.799999999996</v>
      </c>
      <c r="AN3" s="189">
        <f t="shared" si="0"/>
        <v>0</v>
      </c>
    </row>
    <row r="4" spans="1:40" x14ac:dyDescent="0.3">
      <c r="A4" s="188" t="s">
        <v>140</v>
      </c>
      <c r="B4" s="213">
        <v>1</v>
      </c>
      <c r="C4" s="190" t="s">
        <v>2</v>
      </c>
      <c r="D4" s="191" t="s">
        <v>42</v>
      </c>
      <c r="E4" s="191" t="s">
        <v>134</v>
      </c>
      <c r="F4" s="191" t="s">
        <v>1</v>
      </c>
      <c r="G4" s="191" t="s">
        <v>135</v>
      </c>
      <c r="H4" s="191" t="s">
        <v>136</v>
      </c>
      <c r="I4" s="191" t="s">
        <v>137</v>
      </c>
      <c r="J4" s="191" t="s">
        <v>138</v>
      </c>
      <c r="K4" s="191">
        <v>305</v>
      </c>
      <c r="L4" s="191">
        <v>306</v>
      </c>
      <c r="M4" s="191">
        <v>408</v>
      </c>
      <c r="N4" s="191">
        <v>409</v>
      </c>
      <c r="O4" s="191">
        <v>410</v>
      </c>
      <c r="P4" s="191">
        <v>415</v>
      </c>
      <c r="Q4" s="191">
        <v>416</v>
      </c>
      <c r="R4" s="191">
        <v>418</v>
      </c>
      <c r="S4" s="191">
        <v>419</v>
      </c>
      <c r="T4" s="191">
        <v>420</v>
      </c>
      <c r="U4" s="191">
        <v>421</v>
      </c>
      <c r="V4" s="191">
        <v>522</v>
      </c>
      <c r="W4" s="191">
        <v>523</v>
      </c>
      <c r="X4" s="191">
        <v>524</v>
      </c>
      <c r="Y4" s="191">
        <v>525</v>
      </c>
      <c r="Z4" s="191">
        <v>526</v>
      </c>
      <c r="AA4" s="191">
        <v>527</v>
      </c>
      <c r="AB4" s="191">
        <v>528</v>
      </c>
      <c r="AC4" s="191">
        <v>629</v>
      </c>
      <c r="AD4" s="191">
        <v>630</v>
      </c>
      <c r="AE4" s="191">
        <v>636</v>
      </c>
      <c r="AF4" s="191">
        <v>637</v>
      </c>
      <c r="AG4" s="191">
        <v>640</v>
      </c>
      <c r="AH4" s="191">
        <v>642</v>
      </c>
      <c r="AI4" s="191">
        <v>743</v>
      </c>
      <c r="AJ4" s="191">
        <v>745</v>
      </c>
      <c r="AK4" s="191">
        <v>746</v>
      </c>
      <c r="AL4" s="191">
        <v>747</v>
      </c>
      <c r="AM4" s="191">
        <v>930</v>
      </c>
      <c r="AN4" s="191">
        <v>940</v>
      </c>
    </row>
    <row r="5" spans="1:40" x14ac:dyDescent="0.3">
      <c r="A5" s="188" t="s">
        <v>141</v>
      </c>
      <c r="B5" s="213">
        <v>2</v>
      </c>
      <c r="C5" s="188">
        <v>43</v>
      </c>
      <c r="D5" s="188">
        <v>1</v>
      </c>
      <c r="E5" s="188">
        <v>1</v>
      </c>
      <c r="F5" s="188">
        <v>3.3</v>
      </c>
      <c r="G5" s="188">
        <v>0</v>
      </c>
      <c r="H5" s="188">
        <v>2.65</v>
      </c>
      <c r="I5" s="188">
        <v>0</v>
      </c>
      <c r="J5" s="188">
        <v>0</v>
      </c>
      <c r="K5" s="188">
        <v>0</v>
      </c>
      <c r="L5" s="188">
        <v>0</v>
      </c>
      <c r="M5" s="188">
        <v>0</v>
      </c>
      <c r="N5" s="188">
        <v>0</v>
      </c>
      <c r="O5" s="188">
        <v>0</v>
      </c>
      <c r="P5" s="188">
        <v>0</v>
      </c>
      <c r="Q5" s="188">
        <v>0</v>
      </c>
      <c r="R5" s="188">
        <v>0</v>
      </c>
      <c r="S5" s="188">
        <v>0</v>
      </c>
      <c r="T5" s="188">
        <v>0</v>
      </c>
      <c r="U5" s="188">
        <v>0</v>
      </c>
      <c r="V5" s="188">
        <v>0</v>
      </c>
      <c r="W5" s="188">
        <v>0</v>
      </c>
      <c r="X5" s="188">
        <v>0</v>
      </c>
      <c r="Y5" s="188">
        <v>0</v>
      </c>
      <c r="Z5" s="188">
        <v>0.05</v>
      </c>
      <c r="AA5" s="188">
        <v>0</v>
      </c>
      <c r="AB5" s="188">
        <v>0</v>
      </c>
      <c r="AC5" s="188">
        <v>0</v>
      </c>
      <c r="AD5" s="188">
        <v>0</v>
      </c>
      <c r="AE5" s="188">
        <v>0</v>
      </c>
      <c r="AF5" s="188">
        <v>0</v>
      </c>
      <c r="AG5" s="188">
        <v>0</v>
      </c>
      <c r="AH5" s="188">
        <v>0</v>
      </c>
      <c r="AI5" s="188">
        <v>0</v>
      </c>
      <c r="AJ5" s="188">
        <v>0</v>
      </c>
      <c r="AK5" s="188">
        <v>0</v>
      </c>
      <c r="AL5" s="188">
        <v>0</v>
      </c>
      <c r="AM5" s="188">
        <v>0.6</v>
      </c>
      <c r="AN5" s="188">
        <v>0</v>
      </c>
    </row>
    <row r="6" spans="1:40" x14ac:dyDescent="0.3">
      <c r="A6" s="188" t="s">
        <v>142</v>
      </c>
      <c r="B6" s="213">
        <v>3</v>
      </c>
      <c r="C6" s="188">
        <v>43</v>
      </c>
      <c r="D6" s="188">
        <v>1</v>
      </c>
      <c r="E6" s="188">
        <v>2</v>
      </c>
      <c r="F6" s="188">
        <v>536.79999999999995</v>
      </c>
      <c r="G6" s="188">
        <v>0</v>
      </c>
      <c r="H6" s="188">
        <v>425.2</v>
      </c>
      <c r="I6" s="188">
        <v>0</v>
      </c>
      <c r="J6" s="188">
        <v>0</v>
      </c>
      <c r="K6" s="188">
        <v>0</v>
      </c>
      <c r="L6" s="188">
        <v>0</v>
      </c>
      <c r="M6" s="188">
        <v>0</v>
      </c>
      <c r="N6" s="188">
        <v>0</v>
      </c>
      <c r="O6" s="188">
        <v>0</v>
      </c>
      <c r="P6" s="188">
        <v>0</v>
      </c>
      <c r="Q6" s="188">
        <v>0</v>
      </c>
      <c r="R6" s="188">
        <v>0</v>
      </c>
      <c r="S6" s="188">
        <v>0</v>
      </c>
      <c r="T6" s="188">
        <v>0</v>
      </c>
      <c r="U6" s="188">
        <v>0</v>
      </c>
      <c r="V6" s="188">
        <v>0</v>
      </c>
      <c r="W6" s="188">
        <v>0</v>
      </c>
      <c r="X6" s="188">
        <v>0</v>
      </c>
      <c r="Y6" s="188">
        <v>0</v>
      </c>
      <c r="Z6" s="188">
        <v>9.1999999999999993</v>
      </c>
      <c r="AA6" s="188">
        <v>0</v>
      </c>
      <c r="AB6" s="188">
        <v>0</v>
      </c>
      <c r="AC6" s="188">
        <v>0</v>
      </c>
      <c r="AD6" s="188">
        <v>0</v>
      </c>
      <c r="AE6" s="188">
        <v>0</v>
      </c>
      <c r="AF6" s="188">
        <v>0</v>
      </c>
      <c r="AG6" s="188">
        <v>0</v>
      </c>
      <c r="AH6" s="188">
        <v>0</v>
      </c>
      <c r="AI6" s="188">
        <v>0</v>
      </c>
      <c r="AJ6" s="188">
        <v>0</v>
      </c>
      <c r="AK6" s="188">
        <v>0</v>
      </c>
      <c r="AL6" s="188">
        <v>0</v>
      </c>
      <c r="AM6" s="188">
        <v>102.4</v>
      </c>
      <c r="AN6" s="188">
        <v>0</v>
      </c>
    </row>
    <row r="7" spans="1:40" x14ac:dyDescent="0.3">
      <c r="A7" s="188" t="s">
        <v>143</v>
      </c>
      <c r="B7" s="213">
        <v>4</v>
      </c>
      <c r="C7" s="188">
        <v>43</v>
      </c>
      <c r="D7" s="188">
        <v>1</v>
      </c>
      <c r="E7" s="188">
        <v>6</v>
      </c>
      <c r="F7" s="188">
        <v>103109</v>
      </c>
      <c r="G7" s="188">
        <v>0</v>
      </c>
      <c r="H7" s="188">
        <v>92656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2494</v>
      </c>
      <c r="AA7" s="188">
        <v>0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7959</v>
      </c>
      <c r="AN7" s="188">
        <v>0</v>
      </c>
    </row>
    <row r="8" spans="1:40" x14ac:dyDescent="0.3">
      <c r="A8" s="188" t="s">
        <v>144</v>
      </c>
      <c r="B8" s="213">
        <v>5</v>
      </c>
      <c r="C8" s="188">
        <v>43</v>
      </c>
      <c r="D8" s="188">
        <v>1</v>
      </c>
      <c r="E8" s="188">
        <v>11</v>
      </c>
      <c r="F8" s="188">
        <v>821</v>
      </c>
      <c r="G8" s="188">
        <v>0</v>
      </c>
      <c r="H8" s="188">
        <v>737.66666666666663</v>
      </c>
      <c r="I8" s="188">
        <v>0</v>
      </c>
      <c r="J8" s="188">
        <v>0</v>
      </c>
      <c r="K8" s="188">
        <v>83.333333333333329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8">
        <v>0</v>
      </c>
    </row>
    <row r="9" spans="1:40" x14ac:dyDescent="0.3">
      <c r="A9" s="188" t="s">
        <v>145</v>
      </c>
      <c r="B9" s="213">
        <v>6</v>
      </c>
      <c r="C9" s="188">
        <v>43</v>
      </c>
      <c r="D9" s="188">
        <v>2</v>
      </c>
      <c r="E9" s="188">
        <v>1</v>
      </c>
      <c r="F9" s="188">
        <v>3.3</v>
      </c>
      <c r="G9" s="188">
        <v>0</v>
      </c>
      <c r="H9" s="188">
        <v>2.65</v>
      </c>
      <c r="I9" s="188">
        <v>0</v>
      </c>
      <c r="J9" s="188">
        <v>0</v>
      </c>
      <c r="K9" s="188">
        <v>0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0.05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0.6</v>
      </c>
      <c r="AN9" s="188">
        <v>0</v>
      </c>
    </row>
    <row r="10" spans="1:40" x14ac:dyDescent="0.3">
      <c r="A10" s="188" t="s">
        <v>146</v>
      </c>
      <c r="B10" s="213">
        <v>7</v>
      </c>
      <c r="C10" s="188">
        <v>43</v>
      </c>
      <c r="D10" s="188">
        <v>2</v>
      </c>
      <c r="E10" s="188">
        <v>2</v>
      </c>
      <c r="F10" s="188">
        <v>466</v>
      </c>
      <c r="G10" s="188">
        <v>0</v>
      </c>
      <c r="H10" s="188">
        <v>370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8</v>
      </c>
      <c r="AA10" s="188">
        <v>0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88</v>
      </c>
      <c r="AN10" s="188">
        <v>0</v>
      </c>
    </row>
    <row r="11" spans="1:40" x14ac:dyDescent="0.3">
      <c r="A11" s="188" t="s">
        <v>147</v>
      </c>
      <c r="B11" s="213">
        <v>8</v>
      </c>
      <c r="C11" s="188">
        <v>43</v>
      </c>
      <c r="D11" s="188">
        <v>2</v>
      </c>
      <c r="E11" s="188">
        <v>6</v>
      </c>
      <c r="F11" s="188">
        <v>98875</v>
      </c>
      <c r="G11" s="188">
        <v>0</v>
      </c>
      <c r="H11" s="188">
        <v>88503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2494</v>
      </c>
      <c r="AA11" s="188">
        <v>0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7878</v>
      </c>
      <c r="AN11" s="188">
        <v>0</v>
      </c>
    </row>
    <row r="12" spans="1:40" x14ac:dyDescent="0.3">
      <c r="A12" s="188" t="s">
        <v>148</v>
      </c>
      <c r="B12" s="213">
        <v>9</v>
      </c>
      <c r="C12" s="188">
        <v>43</v>
      </c>
      <c r="D12" s="188">
        <v>2</v>
      </c>
      <c r="E12" s="188">
        <v>11</v>
      </c>
      <c r="F12" s="188">
        <v>821</v>
      </c>
      <c r="G12" s="188">
        <v>0</v>
      </c>
      <c r="H12" s="188">
        <v>737.66666666666663</v>
      </c>
      <c r="I12" s="188">
        <v>0</v>
      </c>
      <c r="J12" s="188">
        <v>0</v>
      </c>
      <c r="K12" s="188">
        <v>83.333333333333329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0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8">
        <v>0</v>
      </c>
    </row>
    <row r="13" spans="1:40" x14ac:dyDescent="0.3">
      <c r="A13" s="188" t="s">
        <v>149</v>
      </c>
      <c r="B13" s="213">
        <v>10</v>
      </c>
      <c r="C13" s="188">
        <v>43</v>
      </c>
      <c r="D13" s="188">
        <v>3</v>
      </c>
      <c r="E13" s="188">
        <v>1</v>
      </c>
      <c r="F13" s="188">
        <v>3.3</v>
      </c>
      <c r="G13" s="188">
        <v>0</v>
      </c>
      <c r="H13" s="188">
        <v>2.65</v>
      </c>
      <c r="I13" s="188">
        <v>0</v>
      </c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0.05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0.6</v>
      </c>
      <c r="AN13" s="188">
        <v>0</v>
      </c>
    </row>
    <row r="14" spans="1:40" x14ac:dyDescent="0.3">
      <c r="A14" s="188" t="s">
        <v>150</v>
      </c>
      <c r="B14" s="213">
        <v>11</v>
      </c>
      <c r="C14" s="188">
        <v>43</v>
      </c>
      <c r="D14" s="188">
        <v>3</v>
      </c>
      <c r="E14" s="188">
        <v>2</v>
      </c>
      <c r="F14" s="188">
        <v>509.6</v>
      </c>
      <c r="G14" s="188">
        <v>0</v>
      </c>
      <c r="H14" s="188">
        <v>401.2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8.4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100</v>
      </c>
      <c r="AN14" s="188">
        <v>0</v>
      </c>
    </row>
    <row r="15" spans="1:40" x14ac:dyDescent="0.3">
      <c r="A15" s="188" t="s">
        <v>151</v>
      </c>
      <c r="B15" s="213">
        <v>12</v>
      </c>
      <c r="C15" s="188">
        <v>43</v>
      </c>
      <c r="D15" s="188">
        <v>3</v>
      </c>
      <c r="E15" s="188">
        <v>6</v>
      </c>
      <c r="F15" s="188">
        <v>98859</v>
      </c>
      <c r="G15" s="188">
        <v>0</v>
      </c>
      <c r="H15" s="188">
        <v>88520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2494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7845</v>
      </c>
      <c r="AN15" s="188">
        <v>0</v>
      </c>
    </row>
    <row r="16" spans="1:40" x14ac:dyDescent="0.3">
      <c r="A16" s="188" t="s">
        <v>139</v>
      </c>
      <c r="B16" s="213">
        <v>2014</v>
      </c>
      <c r="C16" s="188">
        <v>43</v>
      </c>
      <c r="D16" s="188">
        <v>3</v>
      </c>
      <c r="E16" s="188">
        <v>11</v>
      </c>
      <c r="F16" s="188">
        <v>821</v>
      </c>
      <c r="G16" s="188">
        <v>0</v>
      </c>
      <c r="H16" s="188">
        <v>737.66666666666663</v>
      </c>
      <c r="I16" s="188">
        <v>0</v>
      </c>
      <c r="J16" s="188">
        <v>0</v>
      </c>
      <c r="K16" s="188">
        <v>83.333333333333329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</row>
    <row r="17" spans="3:40" x14ac:dyDescent="0.3">
      <c r="C17" s="188">
        <v>43</v>
      </c>
      <c r="D17" s="188">
        <v>4</v>
      </c>
      <c r="E17" s="188">
        <v>1</v>
      </c>
      <c r="F17" s="188">
        <v>3.15</v>
      </c>
      <c r="G17" s="188">
        <v>0</v>
      </c>
      <c r="H17" s="188">
        <v>2.5</v>
      </c>
      <c r="I17" s="188">
        <v>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0.05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0.6</v>
      </c>
      <c r="AN17" s="188">
        <v>0</v>
      </c>
    </row>
    <row r="18" spans="3:40" x14ac:dyDescent="0.3">
      <c r="C18" s="188">
        <v>43</v>
      </c>
      <c r="D18" s="188">
        <v>4</v>
      </c>
      <c r="E18" s="188">
        <v>2</v>
      </c>
      <c r="F18" s="188">
        <v>526.4</v>
      </c>
      <c r="G18" s="188">
        <v>0</v>
      </c>
      <c r="H18" s="188">
        <v>420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8.8000000000000007</v>
      </c>
      <c r="AA18" s="188">
        <v>0</v>
      </c>
      <c r="AB18" s="188">
        <v>0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97.6</v>
      </c>
      <c r="AN18" s="188">
        <v>0</v>
      </c>
    </row>
    <row r="19" spans="3:40" x14ac:dyDescent="0.3">
      <c r="C19" s="188">
        <v>43</v>
      </c>
      <c r="D19" s="188">
        <v>4</v>
      </c>
      <c r="E19" s="188">
        <v>6</v>
      </c>
      <c r="F19" s="188">
        <v>95302</v>
      </c>
      <c r="G19" s="188">
        <v>0</v>
      </c>
      <c r="H19" s="188">
        <v>84917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2494</v>
      </c>
      <c r="AA19" s="188">
        <v>0</v>
      </c>
      <c r="AB19" s="188">
        <v>0</v>
      </c>
      <c r="AC19" s="188">
        <v>0</v>
      </c>
      <c r="AD19" s="188">
        <v>0</v>
      </c>
      <c r="AE19" s="188">
        <v>0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7891</v>
      </c>
      <c r="AN19" s="188">
        <v>0</v>
      </c>
    </row>
    <row r="20" spans="3:40" x14ac:dyDescent="0.3">
      <c r="C20" s="188">
        <v>43</v>
      </c>
      <c r="D20" s="188">
        <v>4</v>
      </c>
      <c r="E20" s="188">
        <v>11</v>
      </c>
      <c r="F20" s="188">
        <v>821</v>
      </c>
      <c r="G20" s="188">
        <v>0</v>
      </c>
      <c r="H20" s="188">
        <v>737.66666666666663</v>
      </c>
      <c r="I20" s="188">
        <v>0</v>
      </c>
      <c r="J20" s="188">
        <v>0</v>
      </c>
      <c r="K20" s="188">
        <v>83.333333333333329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8">
        <v>0</v>
      </c>
    </row>
    <row r="21" spans="3:40" x14ac:dyDescent="0.3">
      <c r="C21" s="188">
        <v>43</v>
      </c>
      <c r="D21" s="188">
        <v>5</v>
      </c>
      <c r="E21" s="188">
        <v>1</v>
      </c>
      <c r="F21" s="188">
        <v>3.15</v>
      </c>
      <c r="G21" s="188">
        <v>0</v>
      </c>
      <c r="H21" s="188">
        <v>2.5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0.05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0.6</v>
      </c>
      <c r="AN21" s="188">
        <v>0</v>
      </c>
    </row>
    <row r="22" spans="3:40" x14ac:dyDescent="0.3">
      <c r="C22" s="188">
        <v>43</v>
      </c>
      <c r="D22" s="188">
        <v>5</v>
      </c>
      <c r="E22" s="188">
        <v>2</v>
      </c>
      <c r="F22" s="188">
        <v>441.6</v>
      </c>
      <c r="G22" s="188">
        <v>0</v>
      </c>
      <c r="H22" s="188">
        <v>336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8.8000000000000007</v>
      </c>
      <c r="AA22" s="188">
        <v>0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96.8</v>
      </c>
      <c r="AN22" s="188">
        <v>0</v>
      </c>
    </row>
    <row r="23" spans="3:40" x14ac:dyDescent="0.3">
      <c r="C23" s="188">
        <v>43</v>
      </c>
      <c r="D23" s="188">
        <v>5</v>
      </c>
      <c r="E23" s="188">
        <v>6</v>
      </c>
      <c r="F23" s="188">
        <v>95625</v>
      </c>
      <c r="G23" s="188">
        <v>0</v>
      </c>
      <c r="H23" s="188">
        <v>85233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8">
        <v>2494</v>
      </c>
      <c r="AA23" s="188">
        <v>0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88">
        <v>0</v>
      </c>
      <c r="AK23" s="188">
        <v>0</v>
      </c>
      <c r="AL23" s="188">
        <v>0</v>
      </c>
      <c r="AM23" s="188">
        <v>7898</v>
      </c>
      <c r="AN23" s="188">
        <v>0</v>
      </c>
    </row>
    <row r="24" spans="3:40" x14ac:dyDescent="0.3">
      <c r="C24" s="188">
        <v>43</v>
      </c>
      <c r="D24" s="188">
        <v>5</v>
      </c>
      <c r="E24" s="188">
        <v>10</v>
      </c>
      <c r="F24" s="188">
        <v>7000</v>
      </c>
      <c r="G24" s="188">
        <v>0</v>
      </c>
      <c r="H24" s="188">
        <v>7000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88">
        <v>0</v>
      </c>
      <c r="AK24" s="188">
        <v>0</v>
      </c>
      <c r="AL24" s="188">
        <v>0</v>
      </c>
      <c r="AM24" s="188">
        <v>0</v>
      </c>
      <c r="AN24" s="188">
        <v>0</v>
      </c>
    </row>
    <row r="25" spans="3:40" x14ac:dyDescent="0.3">
      <c r="C25" s="188">
        <v>43</v>
      </c>
      <c r="D25" s="188">
        <v>5</v>
      </c>
      <c r="E25" s="188">
        <v>11</v>
      </c>
      <c r="F25" s="188">
        <v>821</v>
      </c>
      <c r="G25" s="188">
        <v>0</v>
      </c>
      <c r="H25" s="188">
        <v>737.66666666666663</v>
      </c>
      <c r="I25" s="188">
        <v>0</v>
      </c>
      <c r="J25" s="188">
        <v>0</v>
      </c>
      <c r="K25" s="188">
        <v>83.333333333333329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82" t="s">
        <v>275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</row>
    <row r="2" spans="1:19" ht="14.4" customHeight="1" thickBot="1" x14ac:dyDescent="0.35">
      <c r="A2" s="192" t="s">
        <v>210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8" t="s">
        <v>97</v>
      </c>
      <c r="B3" s="179">
        <f>SUBTOTAL(9,B6:B1048576)</f>
        <v>0</v>
      </c>
      <c r="C3" s="180">
        <f t="shared" ref="C3:R3" si="0">SUBTOTAL(9,C6:C1048576)</f>
        <v>0</v>
      </c>
      <c r="D3" s="180">
        <f t="shared" si="0"/>
        <v>327</v>
      </c>
      <c r="E3" s="180">
        <f t="shared" si="0"/>
        <v>0</v>
      </c>
      <c r="F3" s="180">
        <f t="shared" si="0"/>
        <v>327</v>
      </c>
      <c r="G3" s="181" t="str">
        <f>IF(B3&lt;&gt;0,F3/B3,"")</f>
        <v/>
      </c>
      <c r="H3" s="182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3" t="str">
        <f>IF(H3&lt;&gt;0,L3/H3,"")</f>
        <v/>
      </c>
      <c r="N3" s="179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83" t="s">
        <v>73</v>
      </c>
      <c r="B4" s="284" t="s">
        <v>74</v>
      </c>
      <c r="C4" s="285"/>
      <c r="D4" s="285"/>
      <c r="E4" s="285"/>
      <c r="F4" s="285"/>
      <c r="G4" s="286"/>
      <c r="H4" s="284" t="s">
        <v>75</v>
      </c>
      <c r="I4" s="285"/>
      <c r="J4" s="285"/>
      <c r="K4" s="285"/>
      <c r="L4" s="285"/>
      <c r="M4" s="286"/>
      <c r="N4" s="284" t="s">
        <v>76</v>
      </c>
      <c r="O4" s="285"/>
      <c r="P4" s="285"/>
      <c r="Q4" s="285"/>
      <c r="R4" s="285"/>
      <c r="S4" s="286"/>
    </row>
    <row r="5" spans="1:19" ht="14.4" customHeight="1" thickBot="1" x14ac:dyDescent="0.35">
      <c r="A5" s="354"/>
      <c r="B5" s="355">
        <v>2012</v>
      </c>
      <c r="C5" s="356"/>
      <c r="D5" s="356">
        <v>2013</v>
      </c>
      <c r="E5" s="356"/>
      <c r="F5" s="356">
        <v>2014</v>
      </c>
      <c r="G5" s="357" t="s">
        <v>0</v>
      </c>
      <c r="H5" s="355">
        <v>2012</v>
      </c>
      <c r="I5" s="356"/>
      <c r="J5" s="356">
        <v>2013</v>
      </c>
      <c r="K5" s="356"/>
      <c r="L5" s="356">
        <v>2014</v>
      </c>
      <c r="M5" s="357" t="s">
        <v>0</v>
      </c>
      <c r="N5" s="355">
        <v>2012</v>
      </c>
      <c r="O5" s="356"/>
      <c r="P5" s="356">
        <v>2013</v>
      </c>
      <c r="Q5" s="356"/>
      <c r="R5" s="356">
        <v>2014</v>
      </c>
      <c r="S5" s="357" t="s">
        <v>0</v>
      </c>
    </row>
    <row r="6" spans="1:19" ht="14.4" customHeight="1" thickBot="1" x14ac:dyDescent="0.35">
      <c r="A6" s="363" t="s">
        <v>271</v>
      </c>
      <c r="B6" s="359"/>
      <c r="C6" s="360"/>
      <c r="D6" s="359">
        <v>327</v>
      </c>
      <c r="E6" s="360"/>
      <c r="F6" s="359">
        <v>327</v>
      </c>
      <c r="G6" s="361"/>
      <c r="H6" s="359"/>
      <c r="I6" s="360"/>
      <c r="J6" s="359"/>
      <c r="K6" s="360"/>
      <c r="L6" s="359"/>
      <c r="M6" s="361"/>
      <c r="N6" s="359"/>
      <c r="O6" s="360"/>
      <c r="P6" s="359"/>
      <c r="Q6" s="360"/>
      <c r="R6" s="359"/>
      <c r="S6" s="362"/>
    </row>
    <row r="7" spans="1:19" ht="14.4" customHeight="1" x14ac:dyDescent="0.3">
      <c r="A7" s="364" t="s">
        <v>272</v>
      </c>
    </row>
    <row r="8" spans="1:19" ht="14.4" customHeight="1" x14ac:dyDescent="0.3">
      <c r="A8" s="365" t="s">
        <v>273</v>
      </c>
    </row>
    <row r="9" spans="1:19" ht="14.4" customHeight="1" x14ac:dyDescent="0.3">
      <c r="A9" s="364" t="s">
        <v>274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2014-06-18T07:49:55Z</dcterms:modified>
</cp:coreProperties>
</file>