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Detail'!$A$5:$Q$5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62913"/>
</workbook>
</file>

<file path=xl/calcChain.xml><?xml version="1.0" encoding="utf-8"?>
<calcChain xmlns="http://schemas.openxmlformats.org/spreadsheetml/2006/main">
  <c r="A7" i="414" l="1"/>
  <c r="F3" i="344" l="1"/>
  <c r="D3" i="344"/>
  <c r="B3" i="34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5" i="383"/>
  <c r="G3" i="429"/>
  <c r="F3" i="429"/>
  <c r="E3" i="429"/>
  <c r="D3" i="429"/>
  <c r="C3" i="429"/>
  <c r="B3" i="429"/>
  <c r="AH26" i="419" l="1"/>
  <c r="AH25" i="41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16" i="414" s="1"/>
  <c r="C11" i="339"/>
  <c r="H11" i="339" l="1"/>
  <c r="G11" i="339"/>
  <c r="A17" i="414"/>
  <c r="A16" i="414"/>
  <c r="A11" i="414"/>
  <c r="A12" i="414"/>
  <c r="A4" i="414"/>
  <c r="A6" i="339" l="1"/>
  <c r="A5" i="339"/>
  <c r="D4" i="414"/>
  <c r="C15" i="414"/>
  <c r="C12" i="414"/>
  <c r="D12" i="414"/>
  <c r="D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D18" i="414"/>
  <c r="C18" i="414"/>
  <c r="F13" i="339" l="1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<sst xmlns="http://schemas.openxmlformats.org/spreadsheetml/2006/main" count="584" uniqueCount="324">
  <si>
    <t>NS</t>
  </si>
  <si>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</si>
  <si>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</si>
  <si>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</si>
  <si>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</si>
  <si>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</si>
  <si>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</si>
  <si>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</si>
  <si>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</si>
  <si>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</si>
  <si>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</si>
  <si>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</si>
  <si>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</si>
  <si>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</si>
  <si>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</si>
  <si>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</si>
  <si>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</si>
  <si>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</si>
  <si>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</si>
  <si>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</si>
  <si>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</si>
  <si>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</si>
  <si>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</si>
  <si>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</si>
  <si>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</si>
  <si>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</si>
  <si>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</si>
  <si>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</si>
  <si>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</si>
  <si>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</si>
  <si>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</si>
  <si>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</si>
  <si>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</si>
  <si>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</si>
  <si>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</si>
  <si>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</si>
  <si>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</si>
  <si>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</si>
  <si>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</si>
  <si>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</si>
  <si>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</si>
  <si>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</si>
  <si>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</si>
  <si>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</si>
  <si>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</si>
  <si>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</si>
  <si>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</si>
  <si>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</si>
  <si>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</si>
  <si>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</si>
  <si>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</si>
  <si>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</si>
  <si>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</si>
  <si>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</si>
  <si>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</si>
  <si>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</si>
  <si>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</si>
  <si>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</si>
  <si>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</si>
  <si>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</si>
  <si>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</si>
  <si>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</si>
  <si>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</si>
  <si>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</si>
  <si>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</si>
  <si>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</si>
  <si>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</si>
  <si>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</si>
  <si>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</si>
  <si>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</si>
  <si>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</si>
  <si>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</si>
  <si>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</si>
  <si>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</si>
  <si>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</si>
  <si>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</si>
  <si>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</si>
  <si>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</si>
  <si>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</si>
  <si>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</si>
  <si>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</si>
  <si>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</si>
  <si>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</si>
  <si>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</si>
  <si>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</si>
  <si>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</si>
  <si>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</si>
  <si>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</si>
  <si>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</si>
  <si>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</si>
  <si>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</si>
  <si>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</si>
  <si>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</si>
  <si>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</si>
  <si>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</si>
  <si>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</si>
  <si>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</si>
  <si>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</si>
  <si>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</si>
  <si>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</si>
  <si>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</si>
  <si>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</si>
  <si>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</si>
  <si>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</si>
  <si>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</si>
  <si>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</si>
  <si>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</si>
  <si>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</si>
  <si>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</si>
  <si>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</si>
  <si>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</si>
  <si>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</si>
  <si>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</si>
  <si>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</si>
  <si>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</si>
  <si>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</si>
  <si>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</si>
  <si>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</si>
  <si>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</si>
  <si>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</si>
  <si>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</si>
  <si>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</si>
  <si>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</si>
  <si>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</si>
  <si>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</si>
  <si>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</si>
  <si>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</si>
  <si>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</si>
  <si>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</si>
  <si>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</si>
  <si>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</si>
  <si>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</si>
  <si>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</si>
  <si>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</si>
  <si>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</si>
  <si>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</si>
  <si>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</si>
  <si>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</si>
  <si>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</si>
  <si>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</si>
  <si>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</si>
  <si>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</si>
  <si>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</si>
  <si>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</si>
  <si>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</si>
  <si>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</si>
  <si>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</si>
  <si>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</si>
  <si>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</si>
  <si>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</si>
  <si>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</si>
  <si>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</si>
  <si>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</si>
  <si>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</si>
  <si>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</si>
  <si>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</si>
  <si>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</si>
  <si>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</si>
  <si>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</si>
  <si>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</si>
  <si>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</si>
  <si>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</si>
  <si>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</si>
  <si>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</si>
  <si>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</si>
  <si>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</si>
  <si>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</si>
  <si>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</si>
  <si>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</si>
  <si>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</si>
  <si>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</si>
  <si>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</si>
  <si>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</si>
  <si>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</si>
  <si>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</si>
  <si>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</si>
  <si>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</si>
  <si>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</si>
  <si>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</si>
  <si>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</si>
  <si>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</si>
  <si>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</si>
  <si>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</si>
  <si>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</si>
  <si>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</si>
  <si>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</si>
  <si>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</si>
  <si>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</si>
  <si>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</si>
  <si>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</si>
  <si>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</si>
  <si>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</si>
  <si>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</si>
  <si>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</si>
  <si>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</si>
  <si>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</si>
  <si>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</si>
  <si>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</si>
  <si>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</si>
  <si>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</si>
  <si>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</si>
  <si>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</si>
  <si>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</si>
  <si>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</si>
  <si>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</si>
  <si>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</si>
  <si>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</si>
  <si>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</si>
  <si>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</si>
  <si>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</si>
  <si>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</si>
  <si>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</si>
  <si>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</si>
  <si>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</si>
  <si>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</si>
  <si>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t>Sml.odb./NS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</si>
  <si>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</si>
  <si>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</si>
  <si>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</si>
  <si>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</si>
  <si>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</si>
  <si>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</si>
  <si>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</si>
  <si>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</si>
  <si>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--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</si>
  <si>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</si>
  <si>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</si>
  <si>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</si>
  <si>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</si>
  <si>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</si>
  <si>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</si>
  <si>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</si>
  <si>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</si>
  <si>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</si>
  <si>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</si>
  <si>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</si>
  <si>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</si>
  <si>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</si>
  <si>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</si>
  <si>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</si>
  <si>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</si>
  <si>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</si>
  <si>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</si>
  <si>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</si>
  <si>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</si>
  <si>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</si>
  <si>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</si>
  <si>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</si>
  <si>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</si>
  <si>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</si>
  <si>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</si>
  <si>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</si>
  <si>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</si>
  <si>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</si>
  <si>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</si>
  <si>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</si>
  <si>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</si>
  <si>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</si>
  <si>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</si>
  <si>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</si>
  <si>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</si>
  <si>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</si>
  <si>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</si>
  <si>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</si>
  <si>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</si>
  <si>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</si>
  <si>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</si>
  <si>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</si>
  <si>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</si>
  <si>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</si>
  <si>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</si>
  <si>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</si>
  <si>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</si>
  <si>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</si>
  <si>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</si>
  <si>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</si>
  <si>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</si>
  <si>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</si>
  <si>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</si>
  <si>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>Zdravotní výkony vykázané na pracovišti v rámci ambulantní péče *</t>
  </si>
  <si>
    <t>4321</t>
  </si>
  <si>
    <t xml:space="preserve"> </t>
  </si>
  <si>
    <t>* Legenda</t>
  </si>
  <si>
    <t>Ambulantní péče znamená, že pacient v den poskytnutí zdravotní péče není hospitalizován ve FNOL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</si>
  <si>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</si>
  <si>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</si>
  <si>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</si>
  <si>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</si>
  <si>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</si>
  <si>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</si>
  <si>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</si>
  <si>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</si>
  <si>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</si>
  <si>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</si>
  <si>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</si>
  <si>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</si>
  <si>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</si>
  <si>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</si>
  <si>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14 - Oční klinika</t>
  </si>
  <si>
    <t>16 - Klinika plicních nemocí a tuberkulózy</t>
  </si>
  <si>
    <t>17 - Neurologická klinika</t>
  </si>
  <si>
    <t>21 - Onkologická klinika</t>
  </si>
  <si>
    <t>30 - Oddělení geriatrie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</si>
  <si>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</si>
  <si>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</si>
  <si>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</si>
  <si>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</si>
  <si>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</si>
  <si>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</si>
  <si>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</si>
  <si>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</si>
  <si>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</si>
  <si>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</si>
  <si>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08</t>
  </si>
  <si>
    <t>10</t>
  </si>
  <si>
    <t>14</t>
  </si>
  <si>
    <t>16</t>
  </si>
  <si>
    <t>17</t>
  </si>
  <si>
    <t>21</t>
  </si>
  <si>
    <t>30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</si>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</sst>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3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1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6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5" fillId="4" borderId="32" xfId="1" applyFont="1" applyFill="1" applyBorder="1"/>
    <xf numFmtId="0" fontId="45" fillId="4" borderId="16" xfId="1" applyFont="1" applyFill="1" applyBorder="1"/>
    <xf numFmtId="0" fontId="45" fillId="3" borderId="17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5" fillId="3" borderId="7" xfId="1" applyFont="1" applyFill="1" applyBorder="1"/>
    <xf numFmtId="0" fontId="45" fillId="3" borderId="3" xfId="1" applyFont="1" applyFill="1" applyBorder="1"/>
    <xf numFmtId="0" fontId="45" fillId="6" borderId="3" xfId="1" applyFont="1" applyFill="1" applyBorder="1"/>
    <xf numFmtId="0" fontId="45" fillId="6" borderId="47" xfId="1" applyFont="1" applyFill="1" applyBorder="1"/>
    <xf numFmtId="0" fontId="45" fillId="2" borderId="3" xfId="1" applyFont="1" applyFill="1" applyBorder="1"/>
    <xf numFmtId="0" fontId="45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9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5" fillId="2" borderId="33" xfId="1" applyFont="1" applyFill="1" applyBorder="1" applyAlignment="1">
      <alignment horizontal="left" indent="2"/>
    </xf>
    <xf numFmtId="0" fontId="49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9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9" fillId="4" borderId="46" xfId="1" applyFont="1" applyFill="1" applyBorder="1" applyAlignment="1">
      <alignment horizontal="left"/>
    </xf>
    <xf numFmtId="0" fontId="45" fillId="4" borderId="33" xfId="1" applyFont="1" applyFill="1" applyBorder="1" applyAlignment="1">
      <alignment horizontal="left" indent="2"/>
    </xf>
    <xf numFmtId="0" fontId="49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2" fillId="8" borderId="58" xfId="0" applyNumberFormat="1" applyFont="1" applyFill="1" applyBorder="1"/>
    <xf numFmtId="3" fontId="52" fillId="8" borderId="57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4" fillId="2" borderId="64" xfId="0" applyNumberFormat="1" applyFont="1" applyFill="1" applyBorder="1" applyAlignment="1">
      <alignment horizontal="center" vertical="center" wrapText="1"/>
    </xf>
    <xf numFmtId="0" fontId="54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4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25" fillId="2" borderId="33" xfId="1" applyFill="1" applyBorder="1" applyAlignment="1">
      <alignment horizontal="left" indent="4"/>
    </xf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40" fillId="0" borderId="84" xfId="0" applyFont="1" applyFill="1" applyBorder="1" applyAlignment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3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9" xfId="0" applyFont="1" applyFill="1" applyBorder="1" applyAlignment="1">
      <alignment horizontal="center" vertical="top" wrapText="1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3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3" fontId="39" fillId="4" borderId="103" xfId="0" applyNumberFormat="1" applyFont="1" applyFill="1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 wrapText="1"/>
    </xf>
    <xf numFmtId="175" fontId="32" fillId="0" borderId="105" xfId="0" applyNumberFormat="1" applyFont="1" applyBorder="1" applyAlignment="1">
      <alignment horizontal="right"/>
    </xf>
    <xf numFmtId="175" fontId="32" fillId="0" borderId="106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4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09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09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0" xfId="0" applyNumberFormat="1" applyFont="1" applyFill="1" applyBorder="1" applyAlignment="1">
      <alignment horizontal="center"/>
    </xf>
    <xf numFmtId="173" fontId="32" fillId="0" borderId="111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69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87032"/>
        <c:axId val="4393104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2.5679435421877098E-4</c:v>
                </c:pt>
                <c:pt idx="1">
                  <c:v>2.5679435421877098E-4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301400"/>
        <c:axId val="248636424"/>
      </c:scatterChart>
      <c:catAx>
        <c:axId val="43848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93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931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8487032"/>
        <c:crosses val="autoZero"/>
        <c:crossBetween val="between"/>
      </c:valAx>
      <c:valAx>
        <c:axId val="4393014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248636424"/>
        <c:crosses val="max"/>
        <c:crossBetween val="midCat"/>
      </c:valAx>
      <c:valAx>
        <c:axId val="2486364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393014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4" t="s">
        <v>84</v>
      </c>
      <c r="B1" s="264"/>
    </row>
    <row r="2" spans="1:3" ht="14.4" customHeight="1" thickBot="1" x14ac:dyDescent="0.35">
      <c r="A2" s="191" t="s">
        <v>216</v>
      </c>
      <c r="B2" s="41"/>
    </row>
    <row r="3" spans="1:3" ht="14.4" customHeight="1" thickBot="1" x14ac:dyDescent="0.35">
      <c r="A3" s="260" t="s">
        <v>101</v>
      </c>
      <c r="B3" s="261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218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37</v>
      </c>
      <c r="C8" s="42" t="s">
        <v>42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2" t="s">
        <v>85</v>
      </c>
      <c r="B10" s="261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3" t="s">
        <v>86</v>
      </c>
      <c r="B13" s="261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279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285</v>
      </c>
      <c r="C15" s="42" t="s">
        <v>192</v>
      </c>
    </row>
    <row r="16" spans="1:3" ht="14.4" customHeight="1" x14ac:dyDescent="0.3">
      <c r="A16" s="116" t="str">
        <f t="shared" si="2"/>
        <v>ZV Vykáz.-A Detail</v>
      </c>
      <c r="B16" s="65" t="s">
        <v>290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323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5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2" t="s">
        <v>285</v>
      </c>
      <c r="B1" s="264"/>
      <c r="C1" s="264"/>
      <c r="D1" s="264"/>
      <c r="E1" s="264"/>
      <c r="F1" s="264"/>
      <c r="G1" s="264"/>
    </row>
    <row r="2" spans="1:7" ht="14.4" customHeight="1" thickBot="1" x14ac:dyDescent="0.35">
      <c r="A2" s="191" t="s">
        <v>216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7" t="s">
        <v>98</v>
      </c>
      <c r="B3" s="253">
        <f t="shared" ref="B3:G3" si="0">SUBTOTAL(9,B6:B1048576)</f>
        <v>1</v>
      </c>
      <c r="C3" s="254">
        <f t="shared" si="0"/>
        <v>1</v>
      </c>
      <c r="D3" s="254">
        <f t="shared" si="0"/>
        <v>0</v>
      </c>
      <c r="E3" s="181">
        <f t="shared" si="0"/>
        <v>327</v>
      </c>
      <c r="F3" s="179">
        <f t="shared" si="0"/>
        <v>327</v>
      </c>
      <c r="G3" s="255">
        <f t="shared" si="0"/>
        <v>0</v>
      </c>
    </row>
    <row r="4" spans="1:7" ht="14.4" customHeight="1" x14ac:dyDescent="0.3">
      <c r="A4" s="293" t="s">
        <v>99</v>
      </c>
      <c r="B4" s="294" t="s">
        <v>191</v>
      </c>
      <c r="C4" s="295"/>
      <c r="D4" s="295"/>
      <c r="E4" s="297" t="s">
        <v>75</v>
      </c>
      <c r="F4" s="298"/>
      <c r="G4" s="299"/>
    </row>
    <row r="5" spans="1:7" ht="14.4" customHeight="1" thickBot="1" x14ac:dyDescent="0.35">
      <c r="A5" s="370"/>
      <c r="B5" s="371">
        <v>2013</v>
      </c>
      <c r="C5" s="372">
        <v>2014</v>
      </c>
      <c r="D5" s="372">
        <v>2015</v>
      </c>
      <c r="E5" s="371">
        <v>2013</v>
      </c>
      <c r="F5" s="372">
        <v>2014</v>
      </c>
      <c r="G5" s="380">
        <v>2015</v>
      </c>
    </row>
    <row r="6" spans="1:7" ht="14.4" customHeight="1" thickBot="1" x14ac:dyDescent="0.35">
      <c r="A6" s="377" t="s">
        <v>284</v>
      </c>
      <c r="B6" s="381">
        <v>1</v>
      </c>
      <c r="C6" s="381">
        <v>1</v>
      </c>
      <c r="D6" s="381"/>
      <c r="E6" s="375">
        <v>327</v>
      </c>
      <c r="F6" s="375">
        <v>327</v>
      </c>
      <c r="G6" s="382"/>
    </row>
    <row r="7" spans="1:7" ht="14.4" customHeight="1" x14ac:dyDescent="0.3">
      <c r="A7" s="378" t="s">
        <v>281</v>
      </c>
    </row>
    <row r="8" spans="1:7" ht="14.4" customHeight="1" x14ac:dyDescent="0.3">
      <c r="A8" s="379" t="s">
        <v>282</v>
      </c>
    </row>
    <row r="9" spans="1:7" ht="14.4" customHeight="1" x14ac:dyDescent="0.3">
      <c r="A9" s="378" t="s">
        <v>283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6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102" bestFit="1" customWidth="1"/>
    <col min="2" max="2" width="6.109375" style="102" customWidth="1"/>
    <col min="3" max="3" width="2.109375" style="102" bestFit="1" customWidth="1"/>
    <col min="4" max="4" width="8" style="102" customWidth="1"/>
    <col min="5" max="5" width="50.88671875" style="102" bestFit="1" customWidth="1"/>
    <col min="6" max="7" width="11.109375" style="175" customWidth="1"/>
    <col min="8" max="9" width="9.33203125" style="102" hidden="1" customWidth="1"/>
    <col min="10" max="11" width="11.109375" style="175" customWidth="1"/>
    <col min="12" max="13" width="9.33203125" style="102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64" t="s">
        <v>290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91" t="s">
        <v>216</v>
      </c>
      <c r="B2" s="259"/>
      <c r="C2" s="103"/>
      <c r="D2" s="252"/>
      <c r="E2" s="103"/>
      <c r="F2" s="185"/>
      <c r="G2" s="185"/>
      <c r="H2" s="103"/>
      <c r="I2" s="103"/>
      <c r="J2" s="185"/>
      <c r="K2" s="185"/>
      <c r="L2" s="103"/>
      <c r="M2" s="103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</v>
      </c>
      <c r="G3" s="75">
        <f t="shared" si="0"/>
        <v>327</v>
      </c>
      <c r="H3" s="57"/>
      <c r="I3" s="57"/>
      <c r="J3" s="75">
        <f t="shared" si="0"/>
        <v>1</v>
      </c>
      <c r="K3" s="75">
        <f t="shared" si="0"/>
        <v>327</v>
      </c>
      <c r="L3" s="57"/>
      <c r="M3" s="57"/>
      <c r="N3" s="75">
        <f t="shared" si="0"/>
        <v>0</v>
      </c>
      <c r="O3" s="75">
        <f t="shared" si="0"/>
        <v>0</v>
      </c>
      <c r="P3" s="58">
        <f>IF(G3=0,0,O3/G3)</f>
        <v>0</v>
      </c>
      <c r="Q3" s="76">
        <f>IF(N3=0,0,O3/N3)</f>
        <v>0</v>
      </c>
    </row>
    <row r="4" spans="1:17" ht="14.4" customHeight="1" x14ac:dyDescent="0.3">
      <c r="A4" s="301" t="s">
        <v>71</v>
      </c>
      <c r="B4" s="308" t="s">
        <v>0</v>
      </c>
      <c r="C4" s="302" t="s">
        <v>72</v>
      </c>
      <c r="D4" s="307" t="s">
        <v>47</v>
      </c>
      <c r="E4" s="303" t="s">
        <v>46</v>
      </c>
      <c r="F4" s="304">
        <v>2013</v>
      </c>
      <c r="G4" s="305"/>
      <c r="H4" s="73"/>
      <c r="I4" s="73"/>
      <c r="J4" s="304">
        <v>2014</v>
      </c>
      <c r="K4" s="305"/>
      <c r="L4" s="73"/>
      <c r="M4" s="73"/>
      <c r="N4" s="304">
        <v>2015</v>
      </c>
      <c r="O4" s="305"/>
      <c r="P4" s="306" t="s">
        <v>1</v>
      </c>
      <c r="Q4" s="300" t="s">
        <v>74</v>
      </c>
    </row>
    <row r="5" spans="1:17" ht="14.4" customHeight="1" thickBot="1" x14ac:dyDescent="0.35">
      <c r="A5" s="383"/>
      <c r="B5" s="384"/>
      <c r="C5" s="385"/>
      <c r="D5" s="386"/>
      <c r="E5" s="387"/>
      <c r="F5" s="388" t="s">
        <v>48</v>
      </c>
      <c r="G5" s="389" t="s">
        <v>4</v>
      </c>
      <c r="H5" s="390"/>
      <c r="I5" s="390"/>
      <c r="J5" s="388" t="s">
        <v>48</v>
      </c>
      <c r="K5" s="389" t="s">
        <v>4</v>
      </c>
      <c r="L5" s="390"/>
      <c r="M5" s="390"/>
      <c r="N5" s="388" t="s">
        <v>48</v>
      </c>
      <c r="O5" s="389" t="s">
        <v>4</v>
      </c>
      <c r="P5" s="391"/>
      <c r="Q5" s="392"/>
    </row>
    <row r="6" spans="1:17" ht="14.4" customHeight="1" thickBot="1" x14ac:dyDescent="0.35">
      <c r="A6" s="374" t="s">
        <v>286</v>
      </c>
      <c r="B6" s="376" t="s">
        <v>280</v>
      </c>
      <c r="C6" s="376" t="s">
        <v>287</v>
      </c>
      <c r="D6" s="376" t="s">
        <v>288</v>
      </c>
      <c r="E6" s="376" t="s">
        <v>289</v>
      </c>
      <c r="F6" s="381">
        <v>1</v>
      </c>
      <c r="G6" s="381">
        <v>327</v>
      </c>
      <c r="H6" s="376">
        <v>1</v>
      </c>
      <c r="I6" s="376">
        <v>327</v>
      </c>
      <c r="J6" s="381">
        <v>1</v>
      </c>
      <c r="K6" s="381">
        <v>327</v>
      </c>
      <c r="L6" s="376">
        <v>1</v>
      </c>
      <c r="M6" s="376">
        <v>327</v>
      </c>
      <c r="N6" s="381"/>
      <c r="O6" s="381"/>
      <c r="P6" s="249"/>
      <c r="Q6" s="393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20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73" t="s">
        <v>97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91" t="s">
        <v>216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98</v>
      </c>
      <c r="B3" s="178">
        <f>SUBTOTAL(9,B6:B1048576)</f>
        <v>36289</v>
      </c>
      <c r="C3" s="179">
        <f t="shared" ref="C3:R3" si="0">SUBTOTAL(9,C6:C1048576)</f>
        <v>10</v>
      </c>
      <c r="D3" s="179">
        <f t="shared" si="0"/>
        <v>32922</v>
      </c>
      <c r="E3" s="179">
        <f t="shared" si="0"/>
        <v>24.591747962582147</v>
      </c>
      <c r="F3" s="179">
        <f t="shared" si="0"/>
        <v>34241</v>
      </c>
      <c r="G3" s="182">
        <f>IF(B3&lt;&gt;0,F3/B3,"")</f>
        <v>0.94356416544958532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IF(H3&lt;&gt;0,L3/H3,"")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93" t="s">
        <v>81</v>
      </c>
      <c r="B4" s="294" t="s">
        <v>75</v>
      </c>
      <c r="C4" s="295"/>
      <c r="D4" s="295"/>
      <c r="E4" s="295"/>
      <c r="F4" s="295"/>
      <c r="G4" s="296"/>
      <c r="H4" s="294" t="s">
        <v>76</v>
      </c>
      <c r="I4" s="295"/>
      <c r="J4" s="295"/>
      <c r="K4" s="295"/>
      <c r="L4" s="295"/>
      <c r="M4" s="296"/>
      <c r="N4" s="294" t="s">
        <v>77</v>
      </c>
      <c r="O4" s="295"/>
      <c r="P4" s="295"/>
      <c r="Q4" s="295"/>
      <c r="R4" s="295"/>
      <c r="S4" s="296"/>
    </row>
    <row r="5" spans="1:19" ht="14.4" customHeight="1" thickBot="1" x14ac:dyDescent="0.35">
      <c r="A5" s="370"/>
      <c r="B5" s="371">
        <v>2013</v>
      </c>
      <c r="C5" s="372"/>
      <c r="D5" s="372">
        <v>2014</v>
      </c>
      <c r="E5" s="372"/>
      <c r="F5" s="372">
        <v>2015</v>
      </c>
      <c r="G5" s="373" t="s">
        <v>1</v>
      </c>
      <c r="H5" s="371">
        <v>2013</v>
      </c>
      <c r="I5" s="372"/>
      <c r="J5" s="372">
        <v>2014</v>
      </c>
      <c r="K5" s="372"/>
      <c r="L5" s="372">
        <v>2015</v>
      </c>
      <c r="M5" s="373" t="s">
        <v>1</v>
      </c>
      <c r="N5" s="371">
        <v>2013</v>
      </c>
      <c r="O5" s="372"/>
      <c r="P5" s="372">
        <v>2014</v>
      </c>
      <c r="Q5" s="372"/>
      <c r="R5" s="372">
        <v>2015</v>
      </c>
      <c r="S5" s="373" t="s">
        <v>1</v>
      </c>
    </row>
    <row r="6" spans="1:19" ht="14.4" customHeight="1" x14ac:dyDescent="0.3">
      <c r="A6" s="409" t="s">
        <v>291</v>
      </c>
      <c r="B6" s="395">
        <v>2779</v>
      </c>
      <c r="C6" s="396">
        <v>1</v>
      </c>
      <c r="D6" s="395">
        <v>1320</v>
      </c>
      <c r="E6" s="396">
        <v>0.47499100395825838</v>
      </c>
      <c r="F6" s="395">
        <v>3142</v>
      </c>
      <c r="G6" s="397">
        <v>1.130622526088521</v>
      </c>
      <c r="H6" s="395"/>
      <c r="I6" s="396"/>
      <c r="J6" s="395"/>
      <c r="K6" s="396"/>
      <c r="L6" s="395"/>
      <c r="M6" s="397"/>
      <c r="N6" s="395"/>
      <c r="O6" s="396"/>
      <c r="P6" s="395"/>
      <c r="Q6" s="396"/>
      <c r="R6" s="395"/>
      <c r="S6" s="398"/>
    </row>
    <row r="7" spans="1:19" ht="14.4" customHeight="1" x14ac:dyDescent="0.3">
      <c r="A7" s="410" t="s">
        <v>292</v>
      </c>
      <c r="B7" s="400">
        <v>29751</v>
      </c>
      <c r="C7" s="401">
        <v>1</v>
      </c>
      <c r="D7" s="400">
        <v>17277</v>
      </c>
      <c r="E7" s="401">
        <v>0.58071997579913281</v>
      </c>
      <c r="F7" s="400">
        <v>4302</v>
      </c>
      <c r="G7" s="402">
        <v>0.14460018150650397</v>
      </c>
      <c r="H7" s="400"/>
      <c r="I7" s="401"/>
      <c r="J7" s="400"/>
      <c r="K7" s="401"/>
      <c r="L7" s="400"/>
      <c r="M7" s="402"/>
      <c r="N7" s="400"/>
      <c r="O7" s="401"/>
      <c r="P7" s="400"/>
      <c r="Q7" s="401"/>
      <c r="R7" s="400"/>
      <c r="S7" s="403"/>
    </row>
    <row r="8" spans="1:19" ht="14.4" customHeight="1" x14ac:dyDescent="0.3">
      <c r="A8" s="410" t="s">
        <v>293</v>
      </c>
      <c r="B8" s="400">
        <v>817</v>
      </c>
      <c r="C8" s="401">
        <v>1</v>
      </c>
      <c r="D8" s="400">
        <v>5441</v>
      </c>
      <c r="E8" s="401">
        <v>6.6597307221542223</v>
      </c>
      <c r="F8" s="400">
        <v>14392</v>
      </c>
      <c r="G8" s="402">
        <v>17.615667074663403</v>
      </c>
      <c r="H8" s="400"/>
      <c r="I8" s="401"/>
      <c r="J8" s="400"/>
      <c r="K8" s="401"/>
      <c r="L8" s="400"/>
      <c r="M8" s="402"/>
      <c r="N8" s="400"/>
      <c r="O8" s="401"/>
      <c r="P8" s="400"/>
      <c r="Q8" s="401"/>
      <c r="R8" s="400"/>
      <c r="S8" s="403"/>
    </row>
    <row r="9" spans="1:19" ht="14.4" customHeight="1" x14ac:dyDescent="0.3">
      <c r="A9" s="410" t="s">
        <v>294</v>
      </c>
      <c r="B9" s="400"/>
      <c r="C9" s="401"/>
      <c r="D9" s="400"/>
      <c r="E9" s="401"/>
      <c r="F9" s="400">
        <v>496</v>
      </c>
      <c r="G9" s="402"/>
      <c r="H9" s="400"/>
      <c r="I9" s="401"/>
      <c r="J9" s="400"/>
      <c r="K9" s="401"/>
      <c r="L9" s="400"/>
      <c r="M9" s="402"/>
      <c r="N9" s="400"/>
      <c r="O9" s="401"/>
      <c r="P9" s="400"/>
      <c r="Q9" s="401"/>
      <c r="R9" s="400"/>
      <c r="S9" s="403"/>
    </row>
    <row r="10" spans="1:19" ht="14.4" customHeight="1" x14ac:dyDescent="0.3">
      <c r="A10" s="410" t="s">
        <v>295</v>
      </c>
      <c r="B10" s="400">
        <v>654</v>
      </c>
      <c r="C10" s="401">
        <v>1</v>
      </c>
      <c r="D10" s="400">
        <v>990</v>
      </c>
      <c r="E10" s="401">
        <v>1.5137614678899083</v>
      </c>
      <c r="F10" s="400">
        <v>3804</v>
      </c>
      <c r="G10" s="402">
        <v>5.8165137614678901</v>
      </c>
      <c r="H10" s="400"/>
      <c r="I10" s="401"/>
      <c r="J10" s="400"/>
      <c r="K10" s="401"/>
      <c r="L10" s="400"/>
      <c r="M10" s="402"/>
      <c r="N10" s="400"/>
      <c r="O10" s="401"/>
      <c r="P10" s="400"/>
      <c r="Q10" s="401"/>
      <c r="R10" s="400"/>
      <c r="S10" s="403"/>
    </row>
    <row r="11" spans="1:19" ht="14.4" customHeight="1" x14ac:dyDescent="0.3">
      <c r="A11" s="410" t="s">
        <v>296</v>
      </c>
      <c r="B11" s="400">
        <v>327</v>
      </c>
      <c r="C11" s="401">
        <v>1</v>
      </c>
      <c r="D11" s="400"/>
      <c r="E11" s="401"/>
      <c r="F11" s="400"/>
      <c r="G11" s="402"/>
      <c r="H11" s="400"/>
      <c r="I11" s="401"/>
      <c r="J11" s="400"/>
      <c r="K11" s="401"/>
      <c r="L11" s="400"/>
      <c r="M11" s="402"/>
      <c r="N11" s="400"/>
      <c r="O11" s="401"/>
      <c r="P11" s="400"/>
      <c r="Q11" s="401"/>
      <c r="R11" s="400"/>
      <c r="S11" s="403"/>
    </row>
    <row r="12" spans="1:19" ht="14.4" customHeight="1" x14ac:dyDescent="0.3">
      <c r="A12" s="410" t="s">
        <v>297</v>
      </c>
      <c r="B12" s="400">
        <v>327</v>
      </c>
      <c r="C12" s="401">
        <v>1</v>
      </c>
      <c r="D12" s="400">
        <v>1644</v>
      </c>
      <c r="E12" s="401">
        <v>5.0275229357798166</v>
      </c>
      <c r="F12" s="400">
        <v>1985</v>
      </c>
      <c r="G12" s="402">
        <v>6.0703363914373085</v>
      </c>
      <c r="H12" s="400"/>
      <c r="I12" s="401"/>
      <c r="J12" s="400"/>
      <c r="K12" s="401"/>
      <c r="L12" s="400"/>
      <c r="M12" s="402"/>
      <c r="N12" s="400"/>
      <c r="O12" s="401"/>
      <c r="P12" s="400"/>
      <c r="Q12" s="401"/>
      <c r="R12" s="400"/>
      <c r="S12" s="403"/>
    </row>
    <row r="13" spans="1:19" ht="14.4" customHeight="1" x14ac:dyDescent="0.3">
      <c r="A13" s="410" t="s">
        <v>298</v>
      </c>
      <c r="B13" s="400">
        <v>326</v>
      </c>
      <c r="C13" s="401">
        <v>1</v>
      </c>
      <c r="D13" s="400">
        <v>1484</v>
      </c>
      <c r="E13" s="401">
        <v>4.552147239263804</v>
      </c>
      <c r="F13" s="400">
        <v>1158</v>
      </c>
      <c r="G13" s="402">
        <v>3.5521472392638036</v>
      </c>
      <c r="H13" s="400"/>
      <c r="I13" s="401"/>
      <c r="J13" s="400"/>
      <c r="K13" s="401"/>
      <c r="L13" s="400"/>
      <c r="M13" s="402"/>
      <c r="N13" s="400"/>
      <c r="O13" s="401"/>
      <c r="P13" s="400"/>
      <c r="Q13" s="401"/>
      <c r="R13" s="400"/>
      <c r="S13" s="403"/>
    </row>
    <row r="14" spans="1:19" ht="14.4" customHeight="1" x14ac:dyDescent="0.3">
      <c r="A14" s="410" t="s">
        <v>299</v>
      </c>
      <c r="B14" s="400">
        <v>327</v>
      </c>
      <c r="C14" s="401">
        <v>1</v>
      </c>
      <c r="D14" s="400">
        <v>330</v>
      </c>
      <c r="E14" s="401">
        <v>1.0091743119266054</v>
      </c>
      <c r="F14" s="400">
        <v>662</v>
      </c>
      <c r="G14" s="402">
        <v>2.0244648318042815</v>
      </c>
      <c r="H14" s="400"/>
      <c r="I14" s="401"/>
      <c r="J14" s="400"/>
      <c r="K14" s="401"/>
      <c r="L14" s="400"/>
      <c r="M14" s="402"/>
      <c r="N14" s="400"/>
      <c r="O14" s="401"/>
      <c r="P14" s="400"/>
      <c r="Q14" s="401"/>
      <c r="R14" s="400"/>
      <c r="S14" s="403"/>
    </row>
    <row r="15" spans="1:19" ht="14.4" customHeight="1" x14ac:dyDescent="0.3">
      <c r="A15" s="410" t="s">
        <v>300</v>
      </c>
      <c r="B15" s="400"/>
      <c r="C15" s="401"/>
      <c r="D15" s="400"/>
      <c r="E15" s="401"/>
      <c r="F15" s="400">
        <v>827</v>
      </c>
      <c r="G15" s="402"/>
      <c r="H15" s="400"/>
      <c r="I15" s="401"/>
      <c r="J15" s="400"/>
      <c r="K15" s="401"/>
      <c r="L15" s="400"/>
      <c r="M15" s="402"/>
      <c r="N15" s="400"/>
      <c r="O15" s="401"/>
      <c r="P15" s="400"/>
      <c r="Q15" s="401"/>
      <c r="R15" s="400"/>
      <c r="S15" s="403"/>
    </row>
    <row r="16" spans="1:19" ht="14.4" customHeight="1" x14ac:dyDescent="0.3">
      <c r="A16" s="410" t="s">
        <v>301</v>
      </c>
      <c r="B16" s="400"/>
      <c r="C16" s="401"/>
      <c r="D16" s="400">
        <v>657</v>
      </c>
      <c r="E16" s="401"/>
      <c r="F16" s="400">
        <v>496</v>
      </c>
      <c r="G16" s="402"/>
      <c r="H16" s="400"/>
      <c r="I16" s="401"/>
      <c r="J16" s="400"/>
      <c r="K16" s="401"/>
      <c r="L16" s="400"/>
      <c r="M16" s="402"/>
      <c r="N16" s="400"/>
      <c r="O16" s="401"/>
      <c r="P16" s="400"/>
      <c r="Q16" s="401"/>
      <c r="R16" s="400"/>
      <c r="S16" s="403"/>
    </row>
    <row r="17" spans="1:19" ht="14.4" customHeight="1" x14ac:dyDescent="0.3">
      <c r="A17" s="410" t="s">
        <v>302</v>
      </c>
      <c r="B17" s="400">
        <v>654</v>
      </c>
      <c r="C17" s="401">
        <v>1</v>
      </c>
      <c r="D17" s="400">
        <v>3122</v>
      </c>
      <c r="E17" s="401">
        <v>4.7737003058103973</v>
      </c>
      <c r="F17" s="400">
        <v>1820</v>
      </c>
      <c r="G17" s="402">
        <v>2.782874617737003</v>
      </c>
      <c r="H17" s="400"/>
      <c r="I17" s="401"/>
      <c r="J17" s="400"/>
      <c r="K17" s="401"/>
      <c r="L17" s="400"/>
      <c r="M17" s="402"/>
      <c r="N17" s="400"/>
      <c r="O17" s="401"/>
      <c r="P17" s="400"/>
      <c r="Q17" s="401"/>
      <c r="R17" s="400"/>
      <c r="S17" s="403"/>
    </row>
    <row r="18" spans="1:19" ht="14.4" customHeight="1" x14ac:dyDescent="0.3">
      <c r="A18" s="410" t="s">
        <v>303</v>
      </c>
      <c r="B18" s="400"/>
      <c r="C18" s="401"/>
      <c r="D18" s="400">
        <v>330</v>
      </c>
      <c r="E18" s="401"/>
      <c r="F18" s="400"/>
      <c r="G18" s="402"/>
      <c r="H18" s="400"/>
      <c r="I18" s="401"/>
      <c r="J18" s="400"/>
      <c r="K18" s="401"/>
      <c r="L18" s="400"/>
      <c r="M18" s="402"/>
      <c r="N18" s="400"/>
      <c r="O18" s="401"/>
      <c r="P18" s="400"/>
      <c r="Q18" s="401"/>
      <c r="R18" s="400"/>
      <c r="S18" s="403"/>
    </row>
    <row r="19" spans="1:19" ht="14.4" customHeight="1" x14ac:dyDescent="0.3">
      <c r="A19" s="410" t="s">
        <v>304</v>
      </c>
      <c r="B19" s="400">
        <v>327</v>
      </c>
      <c r="C19" s="401">
        <v>1</v>
      </c>
      <c r="D19" s="400"/>
      <c r="E19" s="401"/>
      <c r="F19" s="400">
        <v>496</v>
      </c>
      <c r="G19" s="402">
        <v>1.5168195718654434</v>
      </c>
      <c r="H19" s="400"/>
      <c r="I19" s="401"/>
      <c r="J19" s="400"/>
      <c r="K19" s="401"/>
      <c r="L19" s="400"/>
      <c r="M19" s="402"/>
      <c r="N19" s="400"/>
      <c r="O19" s="401"/>
      <c r="P19" s="400"/>
      <c r="Q19" s="401"/>
      <c r="R19" s="400"/>
      <c r="S19" s="403"/>
    </row>
    <row r="20" spans="1:19" ht="14.4" customHeight="1" thickBot="1" x14ac:dyDescent="0.35">
      <c r="A20" s="411" t="s">
        <v>305</v>
      </c>
      <c r="B20" s="405"/>
      <c r="C20" s="406"/>
      <c r="D20" s="405">
        <v>327</v>
      </c>
      <c r="E20" s="406"/>
      <c r="F20" s="405">
        <v>661</v>
      </c>
      <c r="G20" s="407"/>
      <c r="H20" s="405"/>
      <c r="I20" s="406"/>
      <c r="J20" s="405"/>
      <c r="K20" s="406"/>
      <c r="L20" s="405"/>
      <c r="M20" s="407"/>
      <c r="N20" s="405"/>
      <c r="O20" s="406"/>
      <c r="P20" s="405"/>
      <c r="Q20" s="406"/>
      <c r="R20" s="405"/>
      <c r="S20" s="40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5" customWidth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2"/>
  </cols>
  <sheetData>
    <row r="1" spans="1:17" ht="18.600000000000001" customHeight="1" thickBot="1" x14ac:dyDescent="0.4">
      <c r="A1" s="264" t="s">
        <v>323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ht="14.4" customHeight="1" thickBot="1" x14ac:dyDescent="0.35">
      <c r="A2" s="191" t="s">
        <v>216</v>
      </c>
      <c r="B2" s="103"/>
      <c r="C2" s="103"/>
      <c r="D2" s="103"/>
      <c r="E2" s="103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98</v>
      </c>
      <c r="F3" s="74">
        <f t="shared" ref="F3:O3" si="0">SUBTOTAL(9,F6:F1048576)</f>
        <v>119</v>
      </c>
      <c r="G3" s="75">
        <f t="shared" si="0"/>
        <v>36289</v>
      </c>
      <c r="H3" s="75"/>
      <c r="I3" s="75"/>
      <c r="J3" s="75">
        <f t="shared" si="0"/>
        <v>107</v>
      </c>
      <c r="K3" s="75">
        <f t="shared" si="0"/>
        <v>32922</v>
      </c>
      <c r="L3" s="75"/>
      <c r="M3" s="75"/>
      <c r="N3" s="75">
        <f t="shared" si="0"/>
        <v>121</v>
      </c>
      <c r="O3" s="75">
        <f t="shared" si="0"/>
        <v>34241</v>
      </c>
      <c r="P3" s="58">
        <f>IF(G3=0,0,O3/G3)</f>
        <v>0.94356416544958532</v>
      </c>
      <c r="Q3" s="76">
        <f>IF(N3=0,0,O3/N3)</f>
        <v>282.98347107438019</v>
      </c>
    </row>
    <row r="4" spans="1:17" ht="14.4" customHeight="1" x14ac:dyDescent="0.3">
      <c r="A4" s="302" t="s">
        <v>45</v>
      </c>
      <c r="B4" s="301" t="s">
        <v>71</v>
      </c>
      <c r="C4" s="302" t="s">
        <v>72</v>
      </c>
      <c r="D4" s="311" t="s">
        <v>73</v>
      </c>
      <c r="E4" s="303" t="s">
        <v>46</v>
      </c>
      <c r="F4" s="309">
        <v>2013</v>
      </c>
      <c r="G4" s="310"/>
      <c r="H4" s="77"/>
      <c r="I4" s="77"/>
      <c r="J4" s="309">
        <v>2014</v>
      </c>
      <c r="K4" s="310"/>
      <c r="L4" s="77"/>
      <c r="M4" s="77"/>
      <c r="N4" s="309">
        <v>2015</v>
      </c>
      <c r="O4" s="310"/>
      <c r="P4" s="312" t="s">
        <v>1</v>
      </c>
      <c r="Q4" s="300" t="s">
        <v>74</v>
      </c>
    </row>
    <row r="5" spans="1:17" ht="14.4" customHeight="1" thickBot="1" x14ac:dyDescent="0.35">
      <c r="A5" s="385"/>
      <c r="B5" s="383"/>
      <c r="C5" s="385"/>
      <c r="D5" s="412"/>
      <c r="E5" s="387"/>
      <c r="F5" s="413" t="s">
        <v>48</v>
      </c>
      <c r="G5" s="414" t="s">
        <v>4</v>
      </c>
      <c r="H5" s="415"/>
      <c r="I5" s="415"/>
      <c r="J5" s="413" t="s">
        <v>48</v>
      </c>
      <c r="K5" s="414" t="s">
        <v>4</v>
      </c>
      <c r="L5" s="415"/>
      <c r="M5" s="415"/>
      <c r="N5" s="413" t="s">
        <v>48</v>
      </c>
      <c r="O5" s="414" t="s">
        <v>4</v>
      </c>
      <c r="P5" s="416"/>
      <c r="Q5" s="392"/>
    </row>
    <row r="6" spans="1:17" ht="14.4" customHeight="1" x14ac:dyDescent="0.3">
      <c r="A6" s="394" t="s">
        <v>306</v>
      </c>
      <c r="B6" s="396" t="s">
        <v>286</v>
      </c>
      <c r="C6" s="396" t="s">
        <v>287</v>
      </c>
      <c r="D6" s="396" t="s">
        <v>288</v>
      </c>
      <c r="E6" s="396" t="s">
        <v>289</v>
      </c>
      <c r="F6" s="417">
        <v>8</v>
      </c>
      <c r="G6" s="417">
        <v>2616</v>
      </c>
      <c r="H6" s="417">
        <v>1</v>
      </c>
      <c r="I6" s="417">
        <v>327</v>
      </c>
      <c r="J6" s="417">
        <v>4</v>
      </c>
      <c r="K6" s="417">
        <v>1320</v>
      </c>
      <c r="L6" s="417">
        <v>0.50458715596330272</v>
      </c>
      <c r="M6" s="417">
        <v>330</v>
      </c>
      <c r="N6" s="417">
        <v>7</v>
      </c>
      <c r="O6" s="417">
        <v>2317</v>
      </c>
      <c r="P6" s="397">
        <v>0.8857033639143731</v>
      </c>
      <c r="Q6" s="418">
        <v>331</v>
      </c>
    </row>
    <row r="7" spans="1:17" ht="14.4" customHeight="1" x14ac:dyDescent="0.3">
      <c r="A7" s="399" t="s">
        <v>306</v>
      </c>
      <c r="B7" s="401" t="s">
        <v>286</v>
      </c>
      <c r="C7" s="401" t="s">
        <v>287</v>
      </c>
      <c r="D7" s="401" t="s">
        <v>307</v>
      </c>
      <c r="E7" s="401" t="s">
        <v>308</v>
      </c>
      <c r="F7" s="419">
        <v>1</v>
      </c>
      <c r="G7" s="419">
        <v>163</v>
      </c>
      <c r="H7" s="419">
        <v>1</v>
      </c>
      <c r="I7" s="419">
        <v>163</v>
      </c>
      <c r="J7" s="419"/>
      <c r="K7" s="419"/>
      <c r="L7" s="419"/>
      <c r="M7" s="419"/>
      <c r="N7" s="419">
        <v>5</v>
      </c>
      <c r="O7" s="419">
        <v>825</v>
      </c>
      <c r="P7" s="402">
        <v>5.0613496932515334</v>
      </c>
      <c r="Q7" s="420">
        <v>165</v>
      </c>
    </row>
    <row r="8" spans="1:17" ht="14.4" customHeight="1" x14ac:dyDescent="0.3">
      <c r="A8" s="399" t="s">
        <v>309</v>
      </c>
      <c r="B8" s="401" t="s">
        <v>286</v>
      </c>
      <c r="C8" s="401" t="s">
        <v>287</v>
      </c>
      <c r="D8" s="401" t="s">
        <v>288</v>
      </c>
      <c r="E8" s="401" t="s">
        <v>289</v>
      </c>
      <c r="F8" s="419">
        <v>85</v>
      </c>
      <c r="G8" s="419">
        <v>27795</v>
      </c>
      <c r="H8" s="419">
        <v>1</v>
      </c>
      <c r="I8" s="419">
        <v>327</v>
      </c>
      <c r="J8" s="419">
        <v>48</v>
      </c>
      <c r="K8" s="419">
        <v>15804</v>
      </c>
      <c r="L8" s="419">
        <v>0.56859147328656234</v>
      </c>
      <c r="M8" s="419">
        <v>329.25</v>
      </c>
      <c r="N8" s="419">
        <v>12</v>
      </c>
      <c r="O8" s="419">
        <v>3972</v>
      </c>
      <c r="P8" s="402">
        <v>0.14290339989206691</v>
      </c>
      <c r="Q8" s="420">
        <v>331</v>
      </c>
    </row>
    <row r="9" spans="1:17" ht="14.4" customHeight="1" x14ac:dyDescent="0.3">
      <c r="A9" s="399" t="s">
        <v>309</v>
      </c>
      <c r="B9" s="401" t="s">
        <v>286</v>
      </c>
      <c r="C9" s="401" t="s">
        <v>287</v>
      </c>
      <c r="D9" s="401" t="s">
        <v>307</v>
      </c>
      <c r="E9" s="401" t="s">
        <v>308</v>
      </c>
      <c r="F9" s="419">
        <v>12</v>
      </c>
      <c r="G9" s="419">
        <v>1956</v>
      </c>
      <c r="H9" s="419">
        <v>1</v>
      </c>
      <c r="I9" s="419">
        <v>163</v>
      </c>
      <c r="J9" s="419">
        <v>9</v>
      </c>
      <c r="K9" s="419">
        <v>1473</v>
      </c>
      <c r="L9" s="419">
        <v>0.75306748466257667</v>
      </c>
      <c r="M9" s="419">
        <v>163.66666666666666</v>
      </c>
      <c r="N9" s="419">
        <v>2</v>
      </c>
      <c r="O9" s="419">
        <v>330</v>
      </c>
      <c r="P9" s="402">
        <v>0.16871165644171779</v>
      </c>
      <c r="Q9" s="420">
        <v>165</v>
      </c>
    </row>
    <row r="10" spans="1:17" ht="14.4" customHeight="1" x14ac:dyDescent="0.3">
      <c r="A10" s="399" t="s">
        <v>310</v>
      </c>
      <c r="B10" s="401" t="s">
        <v>286</v>
      </c>
      <c r="C10" s="401" t="s">
        <v>287</v>
      </c>
      <c r="D10" s="401" t="s">
        <v>288</v>
      </c>
      <c r="E10" s="401" t="s">
        <v>289</v>
      </c>
      <c r="F10" s="419">
        <v>2</v>
      </c>
      <c r="G10" s="419">
        <v>654</v>
      </c>
      <c r="H10" s="419">
        <v>1</v>
      </c>
      <c r="I10" s="419">
        <v>327</v>
      </c>
      <c r="J10" s="419">
        <v>16</v>
      </c>
      <c r="K10" s="419">
        <v>5277</v>
      </c>
      <c r="L10" s="419">
        <v>8.0688073394495419</v>
      </c>
      <c r="M10" s="419">
        <v>329.8125</v>
      </c>
      <c r="N10" s="419">
        <v>37</v>
      </c>
      <c r="O10" s="419">
        <v>12247</v>
      </c>
      <c r="P10" s="402">
        <v>18.726299694189603</v>
      </c>
      <c r="Q10" s="420">
        <v>331</v>
      </c>
    </row>
    <row r="11" spans="1:17" ht="14.4" customHeight="1" x14ac:dyDescent="0.3">
      <c r="A11" s="399" t="s">
        <v>310</v>
      </c>
      <c r="B11" s="401" t="s">
        <v>286</v>
      </c>
      <c r="C11" s="401" t="s">
        <v>287</v>
      </c>
      <c r="D11" s="401" t="s">
        <v>307</v>
      </c>
      <c r="E11" s="401" t="s">
        <v>308</v>
      </c>
      <c r="F11" s="419">
        <v>1</v>
      </c>
      <c r="G11" s="419">
        <v>163</v>
      </c>
      <c r="H11" s="419">
        <v>1</v>
      </c>
      <c r="I11" s="419">
        <v>163</v>
      </c>
      <c r="J11" s="419">
        <v>1</v>
      </c>
      <c r="K11" s="419">
        <v>164</v>
      </c>
      <c r="L11" s="419">
        <v>1.0061349693251533</v>
      </c>
      <c r="M11" s="419">
        <v>164</v>
      </c>
      <c r="N11" s="419">
        <v>13</v>
      </c>
      <c r="O11" s="419">
        <v>2145</v>
      </c>
      <c r="P11" s="402">
        <v>13.159509202453988</v>
      </c>
      <c r="Q11" s="420">
        <v>165</v>
      </c>
    </row>
    <row r="12" spans="1:17" ht="14.4" customHeight="1" x14ac:dyDescent="0.3">
      <c r="A12" s="399" t="s">
        <v>311</v>
      </c>
      <c r="B12" s="401" t="s">
        <v>286</v>
      </c>
      <c r="C12" s="401" t="s">
        <v>287</v>
      </c>
      <c r="D12" s="401" t="s">
        <v>288</v>
      </c>
      <c r="E12" s="401" t="s">
        <v>289</v>
      </c>
      <c r="F12" s="419"/>
      <c r="G12" s="419"/>
      <c r="H12" s="419"/>
      <c r="I12" s="419"/>
      <c r="J12" s="419"/>
      <c r="K12" s="419"/>
      <c r="L12" s="419"/>
      <c r="M12" s="419"/>
      <c r="N12" s="419">
        <v>1</v>
      </c>
      <c r="O12" s="419">
        <v>331</v>
      </c>
      <c r="P12" s="402"/>
      <c r="Q12" s="420">
        <v>331</v>
      </c>
    </row>
    <row r="13" spans="1:17" ht="14.4" customHeight="1" x14ac:dyDescent="0.3">
      <c r="A13" s="399" t="s">
        <v>311</v>
      </c>
      <c r="B13" s="401" t="s">
        <v>286</v>
      </c>
      <c r="C13" s="401" t="s">
        <v>287</v>
      </c>
      <c r="D13" s="401" t="s">
        <v>307</v>
      </c>
      <c r="E13" s="401" t="s">
        <v>308</v>
      </c>
      <c r="F13" s="419"/>
      <c r="G13" s="419"/>
      <c r="H13" s="419"/>
      <c r="I13" s="419"/>
      <c r="J13" s="419"/>
      <c r="K13" s="419"/>
      <c r="L13" s="419"/>
      <c r="M13" s="419"/>
      <c r="N13" s="419">
        <v>1</v>
      </c>
      <c r="O13" s="419">
        <v>165</v>
      </c>
      <c r="P13" s="402"/>
      <c r="Q13" s="420">
        <v>165</v>
      </c>
    </row>
    <row r="14" spans="1:17" ht="14.4" customHeight="1" x14ac:dyDescent="0.3">
      <c r="A14" s="399" t="s">
        <v>312</v>
      </c>
      <c r="B14" s="401" t="s">
        <v>286</v>
      </c>
      <c r="C14" s="401" t="s">
        <v>287</v>
      </c>
      <c r="D14" s="401" t="s">
        <v>288</v>
      </c>
      <c r="E14" s="401" t="s">
        <v>289</v>
      </c>
      <c r="F14" s="419">
        <v>2</v>
      </c>
      <c r="G14" s="419">
        <v>654</v>
      </c>
      <c r="H14" s="419">
        <v>1</v>
      </c>
      <c r="I14" s="419">
        <v>327</v>
      </c>
      <c r="J14" s="419">
        <v>3</v>
      </c>
      <c r="K14" s="419">
        <v>990</v>
      </c>
      <c r="L14" s="419">
        <v>1.5137614678899083</v>
      </c>
      <c r="M14" s="419">
        <v>330</v>
      </c>
      <c r="N14" s="419">
        <v>9</v>
      </c>
      <c r="O14" s="419">
        <v>2979</v>
      </c>
      <c r="P14" s="402">
        <v>4.5550458715596331</v>
      </c>
      <c r="Q14" s="420">
        <v>331</v>
      </c>
    </row>
    <row r="15" spans="1:17" ht="14.4" customHeight="1" x14ac:dyDescent="0.3">
      <c r="A15" s="399" t="s">
        <v>312</v>
      </c>
      <c r="B15" s="401" t="s">
        <v>286</v>
      </c>
      <c r="C15" s="401" t="s">
        <v>287</v>
      </c>
      <c r="D15" s="401" t="s">
        <v>307</v>
      </c>
      <c r="E15" s="401" t="s">
        <v>308</v>
      </c>
      <c r="F15" s="419"/>
      <c r="G15" s="419"/>
      <c r="H15" s="419"/>
      <c r="I15" s="419"/>
      <c r="J15" s="419"/>
      <c r="K15" s="419"/>
      <c r="L15" s="419"/>
      <c r="M15" s="419"/>
      <c r="N15" s="419">
        <v>5</v>
      </c>
      <c r="O15" s="419">
        <v>825</v>
      </c>
      <c r="P15" s="402"/>
      <c r="Q15" s="420">
        <v>165</v>
      </c>
    </row>
    <row r="16" spans="1:17" ht="14.4" customHeight="1" x14ac:dyDescent="0.3">
      <c r="A16" s="399" t="s">
        <v>313</v>
      </c>
      <c r="B16" s="401" t="s">
        <v>286</v>
      </c>
      <c r="C16" s="401" t="s">
        <v>287</v>
      </c>
      <c r="D16" s="401" t="s">
        <v>288</v>
      </c>
      <c r="E16" s="401" t="s">
        <v>289</v>
      </c>
      <c r="F16" s="419">
        <v>1</v>
      </c>
      <c r="G16" s="419">
        <v>327</v>
      </c>
      <c r="H16" s="419">
        <v>1</v>
      </c>
      <c r="I16" s="419">
        <v>327</v>
      </c>
      <c r="J16" s="419"/>
      <c r="K16" s="419"/>
      <c r="L16" s="419"/>
      <c r="M16" s="419"/>
      <c r="N16" s="419"/>
      <c r="O16" s="419"/>
      <c r="P16" s="402"/>
      <c r="Q16" s="420"/>
    </row>
    <row r="17" spans="1:17" ht="14.4" customHeight="1" x14ac:dyDescent="0.3">
      <c r="A17" s="399" t="s">
        <v>314</v>
      </c>
      <c r="B17" s="401" t="s">
        <v>286</v>
      </c>
      <c r="C17" s="401" t="s">
        <v>287</v>
      </c>
      <c r="D17" s="401" t="s">
        <v>288</v>
      </c>
      <c r="E17" s="401" t="s">
        <v>289</v>
      </c>
      <c r="F17" s="419">
        <v>1</v>
      </c>
      <c r="G17" s="419">
        <v>327</v>
      </c>
      <c r="H17" s="419">
        <v>1</v>
      </c>
      <c r="I17" s="419">
        <v>327</v>
      </c>
      <c r="J17" s="419">
        <v>4</v>
      </c>
      <c r="K17" s="419">
        <v>1317</v>
      </c>
      <c r="L17" s="419">
        <v>4.0275229357798166</v>
      </c>
      <c r="M17" s="419">
        <v>329.25</v>
      </c>
      <c r="N17" s="419">
        <v>5</v>
      </c>
      <c r="O17" s="419">
        <v>1655</v>
      </c>
      <c r="P17" s="402">
        <v>5.0611620795107033</v>
      </c>
      <c r="Q17" s="420">
        <v>331</v>
      </c>
    </row>
    <row r="18" spans="1:17" ht="14.4" customHeight="1" x14ac:dyDescent="0.3">
      <c r="A18" s="399" t="s">
        <v>314</v>
      </c>
      <c r="B18" s="401" t="s">
        <v>286</v>
      </c>
      <c r="C18" s="401" t="s">
        <v>287</v>
      </c>
      <c r="D18" s="401" t="s">
        <v>307</v>
      </c>
      <c r="E18" s="401" t="s">
        <v>308</v>
      </c>
      <c r="F18" s="419"/>
      <c r="G18" s="419"/>
      <c r="H18" s="419"/>
      <c r="I18" s="419"/>
      <c r="J18" s="419">
        <v>2</v>
      </c>
      <c r="K18" s="419">
        <v>327</v>
      </c>
      <c r="L18" s="419"/>
      <c r="M18" s="419">
        <v>163.5</v>
      </c>
      <c r="N18" s="419">
        <v>2</v>
      </c>
      <c r="O18" s="419">
        <v>330</v>
      </c>
      <c r="P18" s="402"/>
      <c r="Q18" s="420">
        <v>165</v>
      </c>
    </row>
    <row r="19" spans="1:17" ht="14.4" customHeight="1" x14ac:dyDescent="0.3">
      <c r="A19" s="399" t="s">
        <v>315</v>
      </c>
      <c r="B19" s="401" t="s">
        <v>286</v>
      </c>
      <c r="C19" s="401" t="s">
        <v>287</v>
      </c>
      <c r="D19" s="401" t="s">
        <v>288</v>
      </c>
      <c r="E19" s="401" t="s">
        <v>289</v>
      </c>
      <c r="F19" s="419"/>
      <c r="G19" s="419"/>
      <c r="H19" s="419"/>
      <c r="I19" s="419"/>
      <c r="J19" s="419">
        <v>4</v>
      </c>
      <c r="K19" s="419">
        <v>1320</v>
      </c>
      <c r="L19" s="419"/>
      <c r="M19" s="419">
        <v>330</v>
      </c>
      <c r="N19" s="419">
        <v>3</v>
      </c>
      <c r="O19" s="419">
        <v>993</v>
      </c>
      <c r="P19" s="402"/>
      <c r="Q19" s="420">
        <v>331</v>
      </c>
    </row>
    <row r="20" spans="1:17" ht="14.4" customHeight="1" x14ac:dyDescent="0.3">
      <c r="A20" s="399" t="s">
        <v>315</v>
      </c>
      <c r="B20" s="401" t="s">
        <v>286</v>
      </c>
      <c r="C20" s="401" t="s">
        <v>287</v>
      </c>
      <c r="D20" s="401" t="s">
        <v>307</v>
      </c>
      <c r="E20" s="401" t="s">
        <v>308</v>
      </c>
      <c r="F20" s="419">
        <v>2</v>
      </c>
      <c r="G20" s="419">
        <v>326</v>
      </c>
      <c r="H20" s="419">
        <v>1</v>
      </c>
      <c r="I20" s="419">
        <v>163</v>
      </c>
      <c r="J20" s="419">
        <v>1</v>
      </c>
      <c r="K20" s="419">
        <v>164</v>
      </c>
      <c r="L20" s="419">
        <v>0.50306748466257667</v>
      </c>
      <c r="M20" s="419">
        <v>164</v>
      </c>
      <c r="N20" s="419">
        <v>1</v>
      </c>
      <c r="O20" s="419">
        <v>165</v>
      </c>
      <c r="P20" s="402">
        <v>0.50613496932515334</v>
      </c>
      <c r="Q20" s="420">
        <v>165</v>
      </c>
    </row>
    <row r="21" spans="1:17" ht="14.4" customHeight="1" x14ac:dyDescent="0.3">
      <c r="A21" s="399" t="s">
        <v>316</v>
      </c>
      <c r="B21" s="401" t="s">
        <v>286</v>
      </c>
      <c r="C21" s="401" t="s">
        <v>287</v>
      </c>
      <c r="D21" s="401" t="s">
        <v>288</v>
      </c>
      <c r="E21" s="401" t="s">
        <v>289</v>
      </c>
      <c r="F21" s="419">
        <v>1</v>
      </c>
      <c r="G21" s="419">
        <v>327</v>
      </c>
      <c r="H21" s="419">
        <v>1</v>
      </c>
      <c r="I21" s="419">
        <v>327</v>
      </c>
      <c r="J21" s="419">
        <v>1</v>
      </c>
      <c r="K21" s="419">
        <v>330</v>
      </c>
      <c r="L21" s="419">
        <v>1.0091743119266054</v>
      </c>
      <c r="M21" s="419">
        <v>330</v>
      </c>
      <c r="N21" s="419">
        <v>2</v>
      </c>
      <c r="O21" s="419">
        <v>662</v>
      </c>
      <c r="P21" s="402">
        <v>2.0244648318042815</v>
      </c>
      <c r="Q21" s="420">
        <v>331</v>
      </c>
    </row>
    <row r="22" spans="1:17" ht="14.4" customHeight="1" x14ac:dyDescent="0.3">
      <c r="A22" s="399" t="s">
        <v>317</v>
      </c>
      <c r="B22" s="401" t="s">
        <v>286</v>
      </c>
      <c r="C22" s="401" t="s">
        <v>287</v>
      </c>
      <c r="D22" s="401" t="s">
        <v>288</v>
      </c>
      <c r="E22" s="401" t="s">
        <v>289</v>
      </c>
      <c r="F22" s="419"/>
      <c r="G22" s="419"/>
      <c r="H22" s="419"/>
      <c r="I22" s="419"/>
      <c r="J22" s="419"/>
      <c r="K22" s="419"/>
      <c r="L22" s="419"/>
      <c r="M22" s="419"/>
      <c r="N22" s="419">
        <v>2</v>
      </c>
      <c r="O22" s="419">
        <v>662</v>
      </c>
      <c r="P22" s="402"/>
      <c r="Q22" s="420">
        <v>331</v>
      </c>
    </row>
    <row r="23" spans="1:17" ht="14.4" customHeight="1" x14ac:dyDescent="0.3">
      <c r="A23" s="399" t="s">
        <v>317</v>
      </c>
      <c r="B23" s="401" t="s">
        <v>286</v>
      </c>
      <c r="C23" s="401" t="s">
        <v>287</v>
      </c>
      <c r="D23" s="401" t="s">
        <v>307</v>
      </c>
      <c r="E23" s="401" t="s">
        <v>308</v>
      </c>
      <c r="F23" s="419"/>
      <c r="G23" s="419"/>
      <c r="H23" s="419"/>
      <c r="I23" s="419"/>
      <c r="J23" s="419"/>
      <c r="K23" s="419"/>
      <c r="L23" s="419"/>
      <c r="M23" s="419"/>
      <c r="N23" s="419">
        <v>1</v>
      </c>
      <c r="O23" s="419">
        <v>165</v>
      </c>
      <c r="P23" s="402"/>
      <c r="Q23" s="420">
        <v>165</v>
      </c>
    </row>
    <row r="24" spans="1:17" ht="14.4" customHeight="1" x14ac:dyDescent="0.3">
      <c r="A24" s="399" t="s">
        <v>318</v>
      </c>
      <c r="B24" s="401" t="s">
        <v>286</v>
      </c>
      <c r="C24" s="401" t="s">
        <v>287</v>
      </c>
      <c r="D24" s="401" t="s">
        <v>288</v>
      </c>
      <c r="E24" s="401" t="s">
        <v>289</v>
      </c>
      <c r="F24" s="419"/>
      <c r="G24" s="419"/>
      <c r="H24" s="419"/>
      <c r="I24" s="419"/>
      <c r="J24" s="419">
        <v>2</v>
      </c>
      <c r="K24" s="419">
        <v>657</v>
      </c>
      <c r="L24" s="419"/>
      <c r="M24" s="419">
        <v>328.5</v>
      </c>
      <c r="N24" s="419">
        <v>1</v>
      </c>
      <c r="O24" s="419">
        <v>331</v>
      </c>
      <c r="P24" s="402"/>
      <c r="Q24" s="420">
        <v>331</v>
      </c>
    </row>
    <row r="25" spans="1:17" ht="14.4" customHeight="1" x14ac:dyDescent="0.3">
      <c r="A25" s="399" t="s">
        <v>318</v>
      </c>
      <c r="B25" s="401" t="s">
        <v>286</v>
      </c>
      <c r="C25" s="401" t="s">
        <v>287</v>
      </c>
      <c r="D25" s="401" t="s">
        <v>307</v>
      </c>
      <c r="E25" s="401" t="s">
        <v>308</v>
      </c>
      <c r="F25" s="419"/>
      <c r="G25" s="419"/>
      <c r="H25" s="419"/>
      <c r="I25" s="419"/>
      <c r="J25" s="419"/>
      <c r="K25" s="419"/>
      <c r="L25" s="419"/>
      <c r="M25" s="419"/>
      <c r="N25" s="419">
        <v>1</v>
      </c>
      <c r="O25" s="419">
        <v>165</v>
      </c>
      <c r="P25" s="402"/>
      <c r="Q25" s="420">
        <v>165</v>
      </c>
    </row>
    <row r="26" spans="1:17" ht="14.4" customHeight="1" x14ac:dyDescent="0.3">
      <c r="A26" s="399" t="s">
        <v>319</v>
      </c>
      <c r="B26" s="401" t="s">
        <v>286</v>
      </c>
      <c r="C26" s="401" t="s">
        <v>287</v>
      </c>
      <c r="D26" s="401" t="s">
        <v>288</v>
      </c>
      <c r="E26" s="401" t="s">
        <v>289</v>
      </c>
      <c r="F26" s="419">
        <v>2</v>
      </c>
      <c r="G26" s="419">
        <v>654</v>
      </c>
      <c r="H26" s="419">
        <v>1</v>
      </c>
      <c r="I26" s="419">
        <v>327</v>
      </c>
      <c r="J26" s="419">
        <v>9</v>
      </c>
      <c r="K26" s="419">
        <v>2958</v>
      </c>
      <c r="L26" s="419">
        <v>4.522935779816514</v>
      </c>
      <c r="M26" s="419">
        <v>328.66666666666669</v>
      </c>
      <c r="N26" s="419">
        <v>5</v>
      </c>
      <c r="O26" s="419">
        <v>1655</v>
      </c>
      <c r="P26" s="402">
        <v>2.5305810397553516</v>
      </c>
      <c r="Q26" s="420">
        <v>331</v>
      </c>
    </row>
    <row r="27" spans="1:17" ht="14.4" customHeight="1" x14ac:dyDescent="0.3">
      <c r="A27" s="399" t="s">
        <v>319</v>
      </c>
      <c r="B27" s="401" t="s">
        <v>286</v>
      </c>
      <c r="C27" s="401" t="s">
        <v>287</v>
      </c>
      <c r="D27" s="401" t="s">
        <v>307</v>
      </c>
      <c r="E27" s="401" t="s">
        <v>308</v>
      </c>
      <c r="F27" s="419"/>
      <c r="G27" s="419"/>
      <c r="H27" s="419"/>
      <c r="I27" s="419"/>
      <c r="J27" s="419">
        <v>1</v>
      </c>
      <c r="K27" s="419">
        <v>164</v>
      </c>
      <c r="L27" s="419"/>
      <c r="M27" s="419">
        <v>164</v>
      </c>
      <c r="N27" s="419">
        <v>1</v>
      </c>
      <c r="O27" s="419">
        <v>165</v>
      </c>
      <c r="P27" s="402"/>
      <c r="Q27" s="420">
        <v>165</v>
      </c>
    </row>
    <row r="28" spans="1:17" ht="14.4" customHeight="1" x14ac:dyDescent="0.3">
      <c r="A28" s="399" t="s">
        <v>320</v>
      </c>
      <c r="B28" s="401" t="s">
        <v>286</v>
      </c>
      <c r="C28" s="401" t="s">
        <v>287</v>
      </c>
      <c r="D28" s="401" t="s">
        <v>288</v>
      </c>
      <c r="E28" s="401" t="s">
        <v>289</v>
      </c>
      <c r="F28" s="419"/>
      <c r="G28" s="419"/>
      <c r="H28" s="419"/>
      <c r="I28" s="419"/>
      <c r="J28" s="419">
        <v>1</v>
      </c>
      <c r="K28" s="419">
        <v>330</v>
      </c>
      <c r="L28" s="419"/>
      <c r="M28" s="419">
        <v>330</v>
      </c>
      <c r="N28" s="419"/>
      <c r="O28" s="419"/>
      <c r="P28" s="402"/>
      <c r="Q28" s="420"/>
    </row>
    <row r="29" spans="1:17" ht="14.4" customHeight="1" x14ac:dyDescent="0.3">
      <c r="A29" s="399" t="s">
        <v>321</v>
      </c>
      <c r="B29" s="401" t="s">
        <v>286</v>
      </c>
      <c r="C29" s="401" t="s">
        <v>287</v>
      </c>
      <c r="D29" s="401" t="s">
        <v>288</v>
      </c>
      <c r="E29" s="401" t="s">
        <v>289</v>
      </c>
      <c r="F29" s="419">
        <v>1</v>
      </c>
      <c r="G29" s="419">
        <v>327</v>
      </c>
      <c r="H29" s="419">
        <v>1</v>
      </c>
      <c r="I29" s="419">
        <v>327</v>
      </c>
      <c r="J29" s="419"/>
      <c r="K29" s="419"/>
      <c r="L29" s="419"/>
      <c r="M29" s="419"/>
      <c r="N29" s="419">
        <v>1</v>
      </c>
      <c r="O29" s="419">
        <v>331</v>
      </c>
      <c r="P29" s="402">
        <v>1.0122324159021407</v>
      </c>
      <c r="Q29" s="420">
        <v>331</v>
      </c>
    </row>
    <row r="30" spans="1:17" ht="14.4" customHeight="1" x14ac:dyDescent="0.3">
      <c r="A30" s="399" t="s">
        <v>321</v>
      </c>
      <c r="B30" s="401" t="s">
        <v>286</v>
      </c>
      <c r="C30" s="401" t="s">
        <v>287</v>
      </c>
      <c r="D30" s="401" t="s">
        <v>307</v>
      </c>
      <c r="E30" s="401" t="s">
        <v>308</v>
      </c>
      <c r="F30" s="419"/>
      <c r="G30" s="419"/>
      <c r="H30" s="419"/>
      <c r="I30" s="419"/>
      <c r="J30" s="419"/>
      <c r="K30" s="419"/>
      <c r="L30" s="419"/>
      <c r="M30" s="419"/>
      <c r="N30" s="419">
        <v>1</v>
      </c>
      <c r="O30" s="419">
        <v>165</v>
      </c>
      <c r="P30" s="402"/>
      <c r="Q30" s="420">
        <v>165</v>
      </c>
    </row>
    <row r="31" spans="1:17" ht="14.4" customHeight="1" x14ac:dyDescent="0.3">
      <c r="A31" s="399" t="s">
        <v>322</v>
      </c>
      <c r="B31" s="401" t="s">
        <v>286</v>
      </c>
      <c r="C31" s="401" t="s">
        <v>287</v>
      </c>
      <c r="D31" s="401" t="s">
        <v>288</v>
      </c>
      <c r="E31" s="401" t="s">
        <v>289</v>
      </c>
      <c r="F31" s="419"/>
      <c r="G31" s="419"/>
      <c r="H31" s="419"/>
      <c r="I31" s="419"/>
      <c r="J31" s="419">
        <v>1</v>
      </c>
      <c r="K31" s="419">
        <v>327</v>
      </c>
      <c r="L31" s="419"/>
      <c r="M31" s="419">
        <v>327</v>
      </c>
      <c r="N31" s="419">
        <v>1</v>
      </c>
      <c r="O31" s="419">
        <v>331</v>
      </c>
      <c r="P31" s="402"/>
      <c r="Q31" s="420">
        <v>331</v>
      </c>
    </row>
    <row r="32" spans="1:17" ht="14.4" customHeight="1" thickBot="1" x14ac:dyDescent="0.35">
      <c r="A32" s="404" t="s">
        <v>322</v>
      </c>
      <c r="B32" s="406" t="s">
        <v>286</v>
      </c>
      <c r="C32" s="406" t="s">
        <v>287</v>
      </c>
      <c r="D32" s="406" t="s">
        <v>307</v>
      </c>
      <c r="E32" s="406" t="s">
        <v>308</v>
      </c>
      <c r="F32" s="421"/>
      <c r="G32" s="421"/>
      <c r="H32" s="421"/>
      <c r="I32" s="421"/>
      <c r="J32" s="421"/>
      <c r="K32" s="421"/>
      <c r="L32" s="421"/>
      <c r="M32" s="421"/>
      <c r="N32" s="421">
        <v>2</v>
      </c>
      <c r="O32" s="421">
        <v>330</v>
      </c>
      <c r="P32" s="407"/>
      <c r="Q32" s="422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4" t="s">
        <v>91</v>
      </c>
      <c r="B1" s="264"/>
      <c r="C1" s="265"/>
      <c r="D1" s="265"/>
      <c r="E1" s="265"/>
    </row>
    <row r="2" spans="1:5" ht="14.4" customHeight="1" thickBot="1" x14ac:dyDescent="0.35">
      <c r="A2" s="191" t="s">
        <v>216</v>
      </c>
      <c r="B2" s="121"/>
    </row>
    <row r="3" spans="1:5" ht="14.4" customHeight="1" thickBot="1" x14ac:dyDescent="0.35">
      <c r="A3" s="124"/>
      <c r="C3" s="125" t="s">
        <v>83</v>
      </c>
      <c r="D3" s="126" t="s">
        <v>49</v>
      </c>
      <c r="E3" s="127" t="s">
        <v>51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1273.3924816797908</v>
      </c>
      <c r="D4" s="130">
        <f ca="1">IF(ISERROR(VLOOKUP("Náklady celkem",INDIRECT("HI!$A:$G"),5,0)),0,VLOOKUP("Náklady celkem",INDIRECT("HI!$A:$G"),5,0))</f>
        <v>1212.0334099999998</v>
      </c>
      <c r="E4" s="131">
        <f ca="1">IF(C4=0,0,D4/C4)</f>
        <v>0.95181448566521343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0" t="s">
        <v>104</v>
      </c>
      <c r="B8" s="137"/>
      <c r="C8" s="138"/>
      <c r="D8" s="138"/>
      <c r="E8" s="135"/>
    </row>
    <row r="9" spans="1:5" ht="14.4" customHeight="1" x14ac:dyDescent="0.3">
      <c r="A9" s="140" t="s">
        <v>105</v>
      </c>
      <c r="B9" s="137"/>
      <c r="C9" s="138"/>
      <c r="D9" s="138"/>
      <c r="E9" s="135"/>
    </row>
    <row r="10" spans="1:5" ht="14.4" customHeight="1" x14ac:dyDescent="0.3">
      <c r="A10" s="141" t="s">
        <v>109</v>
      </c>
      <c r="B10" s="137"/>
      <c r="C10" s="134"/>
      <c r="D10" s="134"/>
      <c r="E10" s="135"/>
    </row>
    <row r="11" spans="1:5" ht="14.4" customHeight="1" x14ac:dyDescent="0.3">
      <c r="A11" s="14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3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1270.157639909371</v>
      </c>
      <c r="D12" s="134">
        <f ca="1">IF(ISERROR(VLOOKUP("Osobní náklady (Kč) *",INDIRECT("HI!$A:$G"),5,0)),0,VLOOKUP("Osobní náklady (Kč) *",INDIRECT("HI!$A:$G"),5,0))</f>
        <v>1208.2963199999999</v>
      </c>
      <c r="E12" s="135">
        <f ca="1">IF(C12=0,0,D12/C12)</f>
        <v>0.95129634466963875</v>
      </c>
    </row>
    <row r="13" spans="1:5" ht="14.4" customHeight="1" thickBot="1" x14ac:dyDescent="0.35">
      <c r="A13" s="147"/>
      <c r="B13" s="148"/>
      <c r="C13" s="149"/>
      <c r="D13" s="149"/>
      <c r="E13" s="150"/>
    </row>
    <row r="14" spans="1:5" ht="14.4" customHeight="1" thickBot="1" x14ac:dyDescent="0.35">
      <c r="A14" s="151" t="str">
        <f>HYPERLINK("#HI!A1","VÝNOSY CELKEM (v tisících)")</f>
        <v>VÝNOSY CELKEM (v tisících)</v>
      </c>
      <c r="B14" s="152"/>
      <c r="C14" s="153">
        <f ca="1">IF(ISERROR(VLOOKUP("Výnosy celkem",INDIRECT("HI!$A:$G"),6,0)),0,VLOOKUP("Výnosy celkem",INDIRECT("HI!$A:$G"),6,0))</f>
        <v>0.32700000000000001</v>
      </c>
      <c r="D14" s="153">
        <f ca="1">IF(ISERROR(VLOOKUP("Výnosy celkem",INDIRECT("HI!$A:$G"),5,0)),0,VLOOKUP("Výnosy celkem",INDIRECT("HI!$A:$G"),5,0))</f>
        <v>0</v>
      </c>
      <c r="E14" s="154">
        <f t="shared" ref="E14:E17" ca="1" si="1">IF(C14=0,0,D14/C14)</f>
        <v>0</v>
      </c>
    </row>
    <row r="15" spans="1:5" ht="14.4" customHeight="1" x14ac:dyDescent="0.3">
      <c r="A15" s="155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0.32700000000000001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6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39">
        <v>1</v>
      </c>
      <c r="D16" s="139">
        <f>IF(ISERROR(VLOOKUP("Celkem:",'ZV Vykáz.-A'!$A:$S,7,0)),"",VLOOKUP("Celkem:",'ZV Vykáz.-A'!$A:$S,7,0))</f>
        <v>0</v>
      </c>
      <c r="E16" s="135">
        <f t="shared" si="1"/>
        <v>0</v>
      </c>
    </row>
    <row r="17" spans="1:5" ht="14.4" customHeight="1" x14ac:dyDescent="0.3">
      <c r="A17" s="156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39">
        <v>0.85</v>
      </c>
      <c r="D17" s="139">
        <f>IF(ISERROR(VLOOKUP("Celkem:",'ZV Vykáz.-H'!$A:$S,7,0)),"",VLOOKUP("Celkem:",'ZV Vykáz.-H'!$A:$S,7,0))</f>
        <v>0.94356416544958532</v>
      </c>
      <c r="E17" s="135">
        <f t="shared" si="1"/>
        <v>1.1100754887642181</v>
      </c>
    </row>
    <row r="18" spans="1:5" ht="14.4" customHeight="1" x14ac:dyDescent="0.3">
      <c r="A18" s="157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8" t="s">
        <v>106</v>
      </c>
      <c r="B19" s="144"/>
      <c r="C19" s="145"/>
      <c r="D19" s="145"/>
      <c r="E19" s="146"/>
    </row>
    <row r="20" spans="1:5" ht="14.4" customHeight="1" thickBot="1" x14ac:dyDescent="0.35">
      <c r="A20" s="159"/>
      <c r="B20" s="160"/>
      <c r="C20" s="161"/>
      <c r="D20" s="161"/>
      <c r="E20" s="162"/>
    </row>
    <row r="21" spans="1:5" ht="14.4" customHeight="1" thickBot="1" x14ac:dyDescent="0.35">
      <c r="A21" s="163" t="s">
        <v>107</v>
      </c>
      <c r="B21" s="164"/>
      <c r="C21" s="165"/>
      <c r="D21" s="165"/>
      <c r="E21" s="166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4" t="s">
        <v>100</v>
      </c>
      <c r="B1" s="264"/>
      <c r="C1" s="264"/>
      <c r="D1" s="264"/>
      <c r="E1" s="264"/>
      <c r="F1" s="264"/>
      <c r="G1" s="265"/>
      <c r="H1" s="265"/>
    </row>
    <row r="2" spans="1:8" ht="14.4" customHeight="1" thickBot="1" x14ac:dyDescent="0.35">
      <c r="A2" s="191" t="s">
        <v>216</v>
      </c>
      <c r="B2" s="83"/>
      <c r="C2" s="83"/>
      <c r="D2" s="83"/>
      <c r="E2" s="83"/>
      <c r="F2" s="83"/>
    </row>
    <row r="3" spans="1:8" ht="14.4" customHeight="1" x14ac:dyDescent="0.3">
      <c r="A3" s="266"/>
      <c r="B3" s="79">
        <v>2013</v>
      </c>
      <c r="C3" s="40">
        <v>2014</v>
      </c>
      <c r="D3" s="7"/>
      <c r="E3" s="270">
        <v>2015</v>
      </c>
      <c r="F3" s="271"/>
      <c r="G3" s="271"/>
      <c r="H3" s="272"/>
    </row>
    <row r="4" spans="1:8" ht="14.4" customHeight="1" thickBot="1" x14ac:dyDescent="0.35">
      <c r="A4" s="267"/>
      <c r="B4" s="268" t="s">
        <v>49</v>
      </c>
      <c r="C4" s="269"/>
      <c r="D4" s="7"/>
      <c r="E4" s="100" t="s">
        <v>49</v>
      </c>
      <c r="F4" s="81" t="s">
        <v>50</v>
      </c>
      <c r="G4" s="81" t="s">
        <v>44</v>
      </c>
      <c r="H4" s="82" t="s">
        <v>51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1161.46922</v>
      </c>
      <c r="C7" s="31">
        <v>1096.885040000001</v>
      </c>
      <c r="D7" s="8"/>
      <c r="E7" s="90">
        <v>1208.2963199999999</v>
      </c>
      <c r="F7" s="30">
        <v>1270.157639909371</v>
      </c>
      <c r="G7" s="91">
        <f>E7-F7</f>
        <v>-61.861319909371105</v>
      </c>
      <c r="H7" s="95">
        <f>IF(F7&lt;0.00000001,"",E7/F7)</f>
        <v>0.95129634466963875</v>
      </c>
    </row>
    <row r="8" spans="1:8" ht="14.4" customHeight="1" thickBot="1" x14ac:dyDescent="0.35">
      <c r="A8" s="1" t="s">
        <v>52</v>
      </c>
      <c r="B8" s="11">
        <v>6.3969300000001112</v>
      </c>
      <c r="C8" s="33">
        <v>4.8662699999999859</v>
      </c>
      <c r="D8" s="8"/>
      <c r="E8" s="92">
        <v>3.7370899999998528</v>
      </c>
      <c r="F8" s="32">
        <v>3.2348417704197345</v>
      </c>
      <c r="G8" s="93">
        <f>E8-F8</f>
        <v>0.50224822958011828</v>
      </c>
      <c r="H8" s="96">
        <f>IF(F8&lt;0.00000001,"",E8/F8)</f>
        <v>1.1552620700563507</v>
      </c>
    </row>
    <row r="9" spans="1:8" ht="14.4" customHeight="1" thickBot="1" x14ac:dyDescent="0.35">
      <c r="A9" s="2" t="s">
        <v>53</v>
      </c>
      <c r="B9" s="3">
        <v>1167.8661500000001</v>
      </c>
      <c r="C9" s="35">
        <v>1101.751310000001</v>
      </c>
      <c r="D9" s="8"/>
      <c r="E9" s="3">
        <v>1212.0334099999998</v>
      </c>
      <c r="F9" s="34">
        <v>1273.3924816797908</v>
      </c>
      <c r="G9" s="34">
        <f>E9-F9</f>
        <v>-61.359071679790986</v>
      </c>
      <c r="H9" s="97">
        <f>IF(F9&lt;0.00000001,"",E9/F9)</f>
        <v>0.95181448566521343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0.32700000000000001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</v>
      </c>
      <c r="F11" s="28">
        <f>B11</f>
        <v>0.32700000000000001</v>
      </c>
      <c r="G11" s="88">
        <f>E11-F11</f>
        <v>-0.32700000000000001</v>
      </c>
      <c r="H11" s="94">
        <f>IF(F11&lt;0.00000001,"",E11/F11)</f>
        <v>0</v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0.32700000000000001</v>
      </c>
      <c r="C13" s="37">
        <f>SUM(C11:C12)</f>
        <v>0.32700000000000001</v>
      </c>
      <c r="D13" s="8"/>
      <c r="E13" s="5">
        <f>SUM(E11:E12)</f>
        <v>0</v>
      </c>
      <c r="F13" s="36">
        <f>SUM(F11:F12)</f>
        <v>0.32700000000000001</v>
      </c>
      <c r="G13" s="36">
        <f>E13-F13</f>
        <v>-0.32700000000000001</v>
      </c>
      <c r="H13" s="98">
        <f>IF(F13&lt;0.00000001,"",E13/F13)</f>
        <v>0</v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2.7999784050595182E-4</v>
      </c>
      <c r="C15" s="39">
        <f>IF(C9=0,"",C13/C9)</f>
        <v>2.9680019168754128E-4</v>
      </c>
      <c r="D15" s="8"/>
      <c r="E15" s="6">
        <f>IF(E9=0,"",E13/E9)</f>
        <v>0</v>
      </c>
      <c r="F15" s="38">
        <f>IF(F9=0,"",F13/F9)</f>
        <v>2.5679435421877098E-4</v>
      </c>
      <c r="G15" s="38">
        <f>IF(ISERROR(F15-E15),"",E15-F15)</f>
        <v>-2.5679435421877098E-4</v>
      </c>
      <c r="H15" s="99">
        <f>IF(ISERROR(F15-E15),"",IF(F15&lt;0.00000001,"",E15/F15))</f>
        <v>0</v>
      </c>
    </row>
    <row r="17" spans="1:8" ht="14.4" customHeight="1" x14ac:dyDescent="0.3">
      <c r="A17" s="85" t="s">
        <v>110</v>
      </c>
    </row>
    <row r="18" spans="1:8" ht="14.4" customHeight="1" x14ac:dyDescent="0.3">
      <c r="A18" s="244" t="s">
        <v>148</v>
      </c>
      <c r="B18" s="245"/>
      <c r="C18" s="245"/>
      <c r="D18" s="245"/>
      <c r="E18" s="245"/>
      <c r="F18" s="245"/>
      <c r="G18" s="245"/>
      <c r="H18" s="245"/>
    </row>
    <row r="19" spans="1:8" x14ac:dyDescent="0.3">
      <c r="A19" s="243" t="s">
        <v>147</v>
      </c>
      <c r="B19" s="245"/>
      <c r="C19" s="245"/>
      <c r="D19" s="245"/>
      <c r="E19" s="245"/>
      <c r="F19" s="245"/>
      <c r="G19" s="245"/>
      <c r="H19" s="245"/>
    </row>
    <row r="20" spans="1:8" ht="14.4" customHeight="1" x14ac:dyDescent="0.3">
      <c r="A20" s="86" t="s">
        <v>190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112</v>
      </c>
    </row>
    <row r="23" spans="1:8" ht="14.4" customHeight="1" x14ac:dyDescent="0.3">
      <c r="A23" s="87" t="s">
        <v>113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4" t="s">
        <v>80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3" ht="14.4" customHeight="1" x14ac:dyDescent="0.3">
      <c r="A2" s="191" t="s">
        <v>216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7"/>
      <c r="B3" s="168" t="s">
        <v>58</v>
      </c>
      <c r="C3" s="169" t="s">
        <v>59</v>
      </c>
      <c r="D3" s="169" t="s">
        <v>60</v>
      </c>
      <c r="E3" s="168" t="s">
        <v>61</v>
      </c>
      <c r="F3" s="169" t="s">
        <v>62</v>
      </c>
      <c r="G3" s="169" t="s">
        <v>63</v>
      </c>
      <c r="H3" s="169" t="s">
        <v>64</v>
      </c>
      <c r="I3" s="169" t="s">
        <v>65</v>
      </c>
      <c r="J3" s="169" t="s">
        <v>66</v>
      </c>
      <c r="K3" s="169" t="s">
        <v>67</v>
      </c>
      <c r="L3" s="169" t="s">
        <v>68</v>
      </c>
      <c r="M3" s="169" t="s">
        <v>69</v>
      </c>
    </row>
    <row r="4" spans="1:13" ht="14.4" customHeight="1" x14ac:dyDescent="0.3">
      <c r="A4" s="167" t="s">
        <v>57</v>
      </c>
      <c r="B4" s="170">
        <f>(B10+B8)/B6</f>
        <v>0</v>
      </c>
      <c r="C4" s="170">
        <f t="shared" ref="C4:M4" si="0">(C10+C8)/C6</f>
        <v>0</v>
      </c>
      <c r="D4" s="170">
        <f t="shared" si="0"/>
        <v>0</v>
      </c>
      <c r="E4" s="170">
        <f t="shared" si="0"/>
        <v>0</v>
      </c>
      <c r="F4" s="170">
        <f t="shared" si="0"/>
        <v>0</v>
      </c>
      <c r="G4" s="170">
        <f t="shared" si="0"/>
        <v>0</v>
      </c>
      <c r="H4" s="170">
        <f t="shared" si="0"/>
        <v>0</v>
      </c>
      <c r="I4" s="170">
        <f t="shared" si="0"/>
        <v>0</v>
      </c>
      <c r="J4" s="170">
        <f t="shared" si="0"/>
        <v>0</v>
      </c>
      <c r="K4" s="170">
        <f t="shared" si="0"/>
        <v>0</v>
      </c>
      <c r="L4" s="170">
        <f t="shared" si="0"/>
        <v>0</v>
      </c>
      <c r="M4" s="170">
        <f t="shared" si="0"/>
        <v>0</v>
      </c>
    </row>
    <row r="5" spans="1:13" ht="14.4" customHeight="1" x14ac:dyDescent="0.3">
      <c r="A5" s="171" t="s">
        <v>29</v>
      </c>
      <c r="B5" s="170">
        <f>IF(ISERROR(VLOOKUP($A5,'Man Tab'!$A:$Q,COLUMN()+2,0)),0,VLOOKUP($A5,'Man Tab'!$A:$Q,COLUMN()+2,0))</f>
        <v>127.03761</v>
      </c>
      <c r="C5" s="170">
        <f>IF(ISERROR(VLOOKUP($A5,'Man Tab'!$A:$Q,COLUMN()+2,0)),0,VLOOKUP($A5,'Man Tab'!$A:$Q,COLUMN()+2,0))</f>
        <v>114.08555</v>
      </c>
      <c r="D5" s="170">
        <f>IF(ISERROR(VLOOKUP($A5,'Man Tab'!$A:$Q,COLUMN()+2,0)),0,VLOOKUP($A5,'Man Tab'!$A:$Q,COLUMN()+2,0))</f>
        <v>114.91518000000001</v>
      </c>
      <c r="E5" s="170">
        <f>IF(ISERROR(VLOOKUP($A5,'Man Tab'!$A:$Q,COLUMN()+2,0)),0,VLOOKUP($A5,'Man Tab'!$A:$Q,COLUMN()+2,0))</f>
        <v>119.6409</v>
      </c>
      <c r="F5" s="170">
        <f>IF(ISERROR(VLOOKUP($A5,'Man Tab'!$A:$Q,COLUMN()+2,0)),0,VLOOKUP($A5,'Man Tab'!$A:$Q,COLUMN()+2,0))</f>
        <v>119.37074</v>
      </c>
      <c r="G5" s="170">
        <f>IF(ISERROR(VLOOKUP($A5,'Man Tab'!$A:$Q,COLUMN()+2,0)),0,VLOOKUP($A5,'Man Tab'!$A:$Q,COLUMN()+2,0))</f>
        <v>119.25785999999999</v>
      </c>
      <c r="H5" s="170">
        <f>IF(ISERROR(VLOOKUP($A5,'Man Tab'!$A:$Q,COLUMN()+2,0)),0,VLOOKUP($A5,'Man Tab'!$A:$Q,COLUMN()+2,0))</f>
        <v>235.73365000000001</v>
      </c>
      <c r="I5" s="170">
        <f>IF(ISERROR(VLOOKUP($A5,'Man Tab'!$A:$Q,COLUMN()+2,0)),0,VLOOKUP($A5,'Man Tab'!$A:$Q,COLUMN()+2,0))</f>
        <v>116.78115</v>
      </c>
      <c r="J5" s="170">
        <f>IF(ISERROR(VLOOKUP($A5,'Man Tab'!$A:$Q,COLUMN()+2,0)),0,VLOOKUP($A5,'Man Tab'!$A:$Q,COLUMN()+2,0))</f>
        <v>145.21077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53</v>
      </c>
      <c r="B6" s="172">
        <f>B5</f>
        <v>127.03761</v>
      </c>
      <c r="C6" s="172">
        <f t="shared" ref="C6:M6" si="1">C5+B6</f>
        <v>241.12315999999998</v>
      </c>
      <c r="D6" s="172">
        <f t="shared" si="1"/>
        <v>356.03834000000001</v>
      </c>
      <c r="E6" s="172">
        <f t="shared" si="1"/>
        <v>475.67923999999999</v>
      </c>
      <c r="F6" s="172">
        <f t="shared" si="1"/>
        <v>595.04998000000001</v>
      </c>
      <c r="G6" s="172">
        <f t="shared" si="1"/>
        <v>714.30783999999994</v>
      </c>
      <c r="H6" s="172">
        <f t="shared" si="1"/>
        <v>950.04148999999995</v>
      </c>
      <c r="I6" s="172">
        <f t="shared" si="1"/>
        <v>1066.8226399999999</v>
      </c>
      <c r="J6" s="172">
        <f t="shared" si="1"/>
        <v>1212.0334099999998</v>
      </c>
      <c r="K6" s="172">
        <f t="shared" si="1"/>
        <v>1212.0334099999998</v>
      </c>
      <c r="L6" s="172">
        <f t="shared" si="1"/>
        <v>1212.0334099999998</v>
      </c>
      <c r="M6" s="172">
        <f t="shared" si="1"/>
        <v>1212.0334099999998</v>
      </c>
    </row>
    <row r="7" spans="1:13" ht="14.4" customHeight="1" x14ac:dyDescent="0.3">
      <c r="A7" s="171" t="s">
        <v>78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54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79</v>
      </c>
      <c r="B9" s="171"/>
      <c r="C9" s="171"/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55</v>
      </c>
      <c r="B10" s="172">
        <f>B9/1000</f>
        <v>0</v>
      </c>
      <c r="C10" s="172">
        <f t="shared" ref="C10:M10" si="3">C9/1000+B10</f>
        <v>0</v>
      </c>
      <c r="D10" s="172">
        <f t="shared" si="3"/>
        <v>0</v>
      </c>
      <c r="E10" s="172">
        <f t="shared" si="3"/>
        <v>0</v>
      </c>
      <c r="F10" s="172">
        <f t="shared" si="3"/>
        <v>0</v>
      </c>
      <c r="G10" s="172">
        <f t="shared" si="3"/>
        <v>0</v>
      </c>
      <c r="H10" s="172">
        <f t="shared" si="3"/>
        <v>0</v>
      </c>
      <c r="I10" s="172">
        <f t="shared" si="3"/>
        <v>0</v>
      </c>
      <c r="J10" s="172">
        <f t="shared" si="3"/>
        <v>0</v>
      </c>
      <c r="K10" s="172">
        <f t="shared" si="3"/>
        <v>0</v>
      </c>
      <c r="L10" s="172">
        <f t="shared" si="3"/>
        <v>0</v>
      </c>
      <c r="M10" s="172">
        <f t="shared" si="3"/>
        <v>0</v>
      </c>
    </row>
    <row r="11" spans="1:13" ht="14.4" customHeight="1" x14ac:dyDescent="0.3">
      <c r="A11" s="167"/>
      <c r="B11" s="167" t="s">
        <v>70</v>
      </c>
      <c r="C11" s="167">
        <f ca="1">IF(MONTH(TODAY())=1,12,MONTH(TODAY())-1)</f>
        <v>9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2.5679435421877098E-4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2.5679435421877098E-4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3" customFormat="1" ht="18.600000000000001" customHeight="1" thickBot="1" x14ac:dyDescent="0.4">
      <c r="A1" s="273" t="s">
        <v>218</v>
      </c>
      <c r="B1" s="273"/>
      <c r="C1" s="273"/>
      <c r="D1" s="273"/>
      <c r="E1" s="273"/>
      <c r="F1" s="273"/>
      <c r="G1" s="273"/>
      <c r="H1" s="264"/>
      <c r="I1" s="264"/>
      <c r="J1" s="264"/>
      <c r="K1" s="264"/>
      <c r="L1" s="264"/>
      <c r="M1" s="264"/>
      <c r="N1" s="264"/>
      <c r="O1" s="264"/>
      <c r="P1" s="264"/>
      <c r="Q1" s="264"/>
    </row>
    <row r="2" spans="1:17" s="173" customFormat="1" ht="14.4" customHeight="1" thickBot="1" x14ac:dyDescent="0.3">
      <c r="A2" s="191" t="s">
        <v>216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4" t="s">
        <v>5</v>
      </c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110"/>
      <c r="Q3" s="112"/>
    </row>
    <row r="4" spans="1:17" ht="14.4" customHeight="1" x14ac:dyDescent="0.3">
      <c r="A4" s="60"/>
      <c r="B4" s="20">
        <v>2015</v>
      </c>
      <c r="C4" s="111" t="s">
        <v>6</v>
      </c>
      <c r="D4" s="101" t="s">
        <v>193</v>
      </c>
      <c r="E4" s="101" t="s">
        <v>194</v>
      </c>
      <c r="F4" s="101" t="s">
        <v>195</v>
      </c>
      <c r="G4" s="101" t="s">
        <v>196</v>
      </c>
      <c r="H4" s="101" t="s">
        <v>197</v>
      </c>
      <c r="I4" s="101" t="s">
        <v>198</v>
      </c>
      <c r="J4" s="101" t="s">
        <v>199</v>
      </c>
      <c r="K4" s="101" t="s">
        <v>200</v>
      </c>
      <c r="L4" s="101" t="s">
        <v>201</v>
      </c>
      <c r="M4" s="101" t="s">
        <v>202</v>
      </c>
      <c r="N4" s="101" t="s">
        <v>203</v>
      </c>
      <c r="O4" s="101" t="s">
        <v>204</v>
      </c>
      <c r="P4" s="276" t="s">
        <v>2</v>
      </c>
      <c r="Q4" s="277"/>
    </row>
    <row r="5" spans="1:17" ht="14.4" customHeight="1" thickBot="1" x14ac:dyDescent="0.35">
      <c r="A5" s="61"/>
      <c r="B5" s="21" t="s">
        <v>7</v>
      </c>
      <c r="C5" s="22" t="s">
        <v>7</v>
      </c>
      <c r="D5" s="22" t="s">
        <v>8</v>
      </c>
      <c r="E5" s="22" t="s">
        <v>8</v>
      </c>
      <c r="F5" s="22" t="s">
        <v>8</v>
      </c>
      <c r="G5" s="22" t="s">
        <v>8</v>
      </c>
      <c r="H5" s="22" t="s">
        <v>8</v>
      </c>
      <c r="I5" s="22" t="s">
        <v>8</v>
      </c>
      <c r="J5" s="22" t="s">
        <v>8</v>
      </c>
      <c r="K5" s="22" t="s">
        <v>8</v>
      </c>
      <c r="L5" s="22" t="s">
        <v>8</v>
      </c>
      <c r="M5" s="22" t="s">
        <v>8</v>
      </c>
      <c r="N5" s="22" t="s">
        <v>8</v>
      </c>
      <c r="O5" s="22" t="s">
        <v>8</v>
      </c>
      <c r="P5" s="22" t="s">
        <v>8</v>
      </c>
      <c r="Q5" s="23" t="s">
        <v>9</v>
      </c>
    </row>
    <row r="6" spans="1:17" ht="14.4" customHeight="1" x14ac:dyDescent="0.3">
      <c r="A6" s="14" t="s">
        <v>10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217</v>
      </c>
    </row>
    <row r="7" spans="1:17" ht="14.4" customHeight="1" x14ac:dyDescent="0.3">
      <c r="A7" s="15" t="s">
        <v>11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217</v>
      </c>
    </row>
    <row r="8" spans="1:17" ht="14.4" customHeight="1" x14ac:dyDescent="0.3">
      <c r="A8" s="15" t="s">
        <v>12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217</v>
      </c>
    </row>
    <row r="9" spans="1:17" ht="14.4" customHeight="1" x14ac:dyDescent="0.3">
      <c r="A9" s="15" t="s">
        <v>13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217</v>
      </c>
    </row>
    <row r="10" spans="1:17" ht="14.4" customHeight="1" x14ac:dyDescent="0.3">
      <c r="A10" s="15" t="s">
        <v>14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217</v>
      </c>
    </row>
    <row r="11" spans="1:17" ht="14.4" customHeight="1" x14ac:dyDescent="0.3">
      <c r="A11" s="15" t="s">
        <v>15</v>
      </c>
      <c r="B11" s="46">
        <v>4.3062894542860004</v>
      </c>
      <c r="C11" s="47">
        <v>0.358857454523</v>
      </c>
      <c r="D11" s="47">
        <v>0</v>
      </c>
      <c r="E11" s="47">
        <v>0</v>
      </c>
      <c r="F11" s="47">
        <v>0</v>
      </c>
      <c r="G11" s="47">
        <v>1.89897</v>
      </c>
      <c r="H11" s="47">
        <v>3.7999999999999999E-2</v>
      </c>
      <c r="I11" s="47">
        <v>0</v>
      </c>
      <c r="J11" s="47">
        <v>0</v>
      </c>
      <c r="K11" s="47">
        <v>0</v>
      </c>
      <c r="L11" s="47">
        <v>0.29848999999999998</v>
      </c>
      <c r="M11" s="47">
        <v>0</v>
      </c>
      <c r="N11" s="47">
        <v>0</v>
      </c>
      <c r="O11" s="47">
        <v>0</v>
      </c>
      <c r="P11" s="48">
        <v>2.2354599999999998</v>
      </c>
      <c r="Q11" s="70">
        <v>0.69215350360700001</v>
      </c>
    </row>
    <row r="12" spans="1:17" ht="14.4" customHeight="1" x14ac:dyDescent="0.3">
      <c r="A12" s="15" t="s">
        <v>16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217</v>
      </c>
    </row>
    <row r="13" spans="1:17" ht="14.4" customHeight="1" x14ac:dyDescent="0.3">
      <c r="A13" s="15" t="s">
        <v>17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1.50163</v>
      </c>
      <c r="M13" s="47">
        <v>0</v>
      </c>
      <c r="N13" s="47">
        <v>0</v>
      </c>
      <c r="O13" s="47">
        <v>0</v>
      </c>
      <c r="P13" s="48">
        <v>1.50163</v>
      </c>
      <c r="Q13" s="70" t="s">
        <v>217</v>
      </c>
    </row>
    <row r="14" spans="1:17" ht="14.4" customHeight="1" x14ac:dyDescent="0.3">
      <c r="A14" s="15" t="s">
        <v>18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217</v>
      </c>
    </row>
    <row r="15" spans="1:17" ht="14.4" customHeight="1" x14ac:dyDescent="0.3">
      <c r="A15" s="15" t="s">
        <v>19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217</v>
      </c>
    </row>
    <row r="16" spans="1:17" ht="14.4" customHeight="1" x14ac:dyDescent="0.3">
      <c r="A16" s="15" t="s">
        <v>20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217</v>
      </c>
    </row>
    <row r="17" spans="1:17" ht="14.4" customHeight="1" x14ac:dyDescent="0.3">
      <c r="A17" s="15" t="s">
        <v>21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217</v>
      </c>
    </row>
    <row r="18" spans="1:17" ht="14.4" customHeight="1" x14ac:dyDescent="0.3">
      <c r="A18" s="15" t="s">
        <v>22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217</v>
      </c>
    </row>
    <row r="19" spans="1:17" ht="14.4" customHeight="1" x14ac:dyDescent="0.3">
      <c r="A19" s="15" t="s">
        <v>23</v>
      </c>
      <c r="B19" s="46">
        <v>6.8329062649999999E-3</v>
      </c>
      <c r="C19" s="47">
        <v>5.6940885500000003E-4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24</v>
      </c>
      <c r="B20" s="46">
        <v>1693.5435198791599</v>
      </c>
      <c r="C20" s="47">
        <v>141.12862665659699</v>
      </c>
      <c r="D20" s="47">
        <v>127.03761</v>
      </c>
      <c r="E20" s="47">
        <v>114.08555</v>
      </c>
      <c r="F20" s="47">
        <v>114.91518000000001</v>
      </c>
      <c r="G20" s="47">
        <v>117.74193</v>
      </c>
      <c r="H20" s="47">
        <v>119.33274</v>
      </c>
      <c r="I20" s="47">
        <v>119.25785999999999</v>
      </c>
      <c r="J20" s="47">
        <v>235.73365000000001</v>
      </c>
      <c r="K20" s="47">
        <v>116.78115</v>
      </c>
      <c r="L20" s="47">
        <v>143.41065</v>
      </c>
      <c r="M20" s="47">
        <v>0</v>
      </c>
      <c r="N20" s="47">
        <v>0</v>
      </c>
      <c r="O20" s="47">
        <v>0</v>
      </c>
      <c r="P20" s="48">
        <v>1208.2963199999999</v>
      </c>
      <c r="Q20" s="70">
        <v>0.95129634466900004</v>
      </c>
    </row>
    <row r="21" spans="1:17" ht="14.4" customHeight="1" x14ac:dyDescent="0.3">
      <c r="A21" s="16" t="s">
        <v>25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217</v>
      </c>
    </row>
    <row r="22" spans="1:17" ht="14.4" customHeight="1" x14ac:dyDescent="0.3">
      <c r="A22" s="15" t="s">
        <v>26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217</v>
      </c>
    </row>
    <row r="23" spans="1:17" ht="14.4" customHeight="1" x14ac:dyDescent="0.3">
      <c r="A23" s="16" t="s">
        <v>27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217</v>
      </c>
    </row>
    <row r="24" spans="1:17" ht="14.4" customHeight="1" x14ac:dyDescent="0.3">
      <c r="A24" s="16" t="s">
        <v>28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1.4210854715202001E-14</v>
      </c>
      <c r="H24" s="47">
        <v>0</v>
      </c>
      <c r="I24" s="47">
        <v>0</v>
      </c>
      <c r="J24" s="47">
        <v>0</v>
      </c>
      <c r="K24" s="47">
        <v>0</v>
      </c>
      <c r="L24" s="47">
        <v>2.8421709430404001E-14</v>
      </c>
      <c r="M24" s="47">
        <v>0</v>
      </c>
      <c r="N24" s="47">
        <v>0</v>
      </c>
      <c r="O24" s="47">
        <v>0</v>
      </c>
      <c r="P24" s="48">
        <v>4.2632564145605999E-14</v>
      </c>
      <c r="Q24" s="70"/>
    </row>
    <row r="25" spans="1:17" ht="14.4" customHeight="1" x14ac:dyDescent="0.3">
      <c r="A25" s="17" t="s">
        <v>29</v>
      </c>
      <c r="B25" s="49">
        <v>1697.85664223972</v>
      </c>
      <c r="C25" s="50">
        <v>141.48805351997601</v>
      </c>
      <c r="D25" s="50">
        <v>127.03761</v>
      </c>
      <c r="E25" s="50">
        <v>114.08555</v>
      </c>
      <c r="F25" s="50">
        <v>114.91518000000001</v>
      </c>
      <c r="G25" s="50">
        <v>119.6409</v>
      </c>
      <c r="H25" s="50">
        <v>119.37074</v>
      </c>
      <c r="I25" s="50">
        <v>119.25785999999999</v>
      </c>
      <c r="J25" s="50">
        <v>235.73365000000001</v>
      </c>
      <c r="K25" s="50">
        <v>116.78115</v>
      </c>
      <c r="L25" s="50">
        <v>145.21077</v>
      </c>
      <c r="M25" s="50">
        <v>0</v>
      </c>
      <c r="N25" s="50">
        <v>0</v>
      </c>
      <c r="O25" s="50">
        <v>0</v>
      </c>
      <c r="P25" s="51">
        <v>1212.03341</v>
      </c>
      <c r="Q25" s="71">
        <v>0.95181448566500004</v>
      </c>
    </row>
    <row r="26" spans="1:17" ht="14.4" customHeight="1" x14ac:dyDescent="0.3">
      <c r="A26" s="15" t="s">
        <v>30</v>
      </c>
      <c r="B26" s="46">
        <v>290.77654384974602</v>
      </c>
      <c r="C26" s="47">
        <v>24.231378654145001</v>
      </c>
      <c r="D26" s="47">
        <v>21.42699</v>
      </c>
      <c r="E26" s="47">
        <v>19.515450000000001</v>
      </c>
      <c r="F26" s="47">
        <v>22.171420000000001</v>
      </c>
      <c r="G26" s="47">
        <v>19.75094</v>
      </c>
      <c r="H26" s="47">
        <v>17.99832</v>
      </c>
      <c r="I26" s="47">
        <v>29.045850000000002</v>
      </c>
      <c r="J26" s="47">
        <v>33.495780000000003</v>
      </c>
      <c r="K26" s="47">
        <v>17.718640000000001</v>
      </c>
      <c r="L26" s="47">
        <v>25.26332</v>
      </c>
      <c r="M26" s="47">
        <v>0</v>
      </c>
      <c r="N26" s="47">
        <v>0</v>
      </c>
      <c r="O26" s="47">
        <v>0</v>
      </c>
      <c r="P26" s="48">
        <v>206.38670999999999</v>
      </c>
      <c r="Q26" s="70">
        <v>0.94637028268000001</v>
      </c>
    </row>
    <row r="27" spans="1:17" ht="14.4" customHeight="1" x14ac:dyDescent="0.3">
      <c r="A27" s="18" t="s">
        <v>31</v>
      </c>
      <c r="B27" s="49">
        <v>1988.63318608946</v>
      </c>
      <c r="C27" s="50">
        <v>165.71943217412201</v>
      </c>
      <c r="D27" s="50">
        <v>148.46459999999999</v>
      </c>
      <c r="E27" s="50">
        <v>133.601</v>
      </c>
      <c r="F27" s="50">
        <v>137.0866</v>
      </c>
      <c r="G27" s="50">
        <v>139.39184</v>
      </c>
      <c r="H27" s="50">
        <v>137.36905999999999</v>
      </c>
      <c r="I27" s="50">
        <v>148.30371</v>
      </c>
      <c r="J27" s="50">
        <v>269.22942999999998</v>
      </c>
      <c r="K27" s="50">
        <v>134.49978999999999</v>
      </c>
      <c r="L27" s="50">
        <v>170.47408999999999</v>
      </c>
      <c r="M27" s="50">
        <v>0</v>
      </c>
      <c r="N27" s="50">
        <v>0</v>
      </c>
      <c r="O27" s="50">
        <v>0</v>
      </c>
      <c r="P27" s="51">
        <v>1418.42012</v>
      </c>
      <c r="Q27" s="71">
        <v>0.951018438139</v>
      </c>
    </row>
    <row r="28" spans="1:17" ht="14.4" customHeight="1" x14ac:dyDescent="0.3">
      <c r="A28" s="16" t="s">
        <v>32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217</v>
      </c>
    </row>
    <row r="30" spans="1:17" ht="14.4" customHeight="1" x14ac:dyDescent="0.3">
      <c r="A30" s="16" t="s">
        <v>34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217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213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3" t="s">
        <v>37</v>
      </c>
      <c r="B1" s="273"/>
      <c r="C1" s="273"/>
      <c r="D1" s="273"/>
      <c r="E1" s="273"/>
      <c r="F1" s="273"/>
      <c r="G1" s="273"/>
      <c r="H1" s="278"/>
      <c r="I1" s="278"/>
      <c r="J1" s="278"/>
      <c r="K1" s="278"/>
    </row>
    <row r="2" spans="1:11" s="55" customFormat="1" ht="14.4" customHeight="1" thickBot="1" x14ac:dyDescent="0.35">
      <c r="A2" s="191" t="s">
        <v>216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4" t="s">
        <v>38</v>
      </c>
      <c r="C3" s="275"/>
      <c r="D3" s="275"/>
      <c r="E3" s="275"/>
      <c r="F3" s="281" t="s">
        <v>39</v>
      </c>
      <c r="G3" s="275"/>
      <c r="H3" s="275"/>
      <c r="I3" s="275"/>
      <c r="J3" s="275"/>
      <c r="K3" s="282"/>
    </row>
    <row r="4" spans="1:11" ht="14.4" customHeight="1" x14ac:dyDescent="0.3">
      <c r="A4" s="60"/>
      <c r="B4" s="279"/>
      <c r="C4" s="280"/>
      <c r="D4" s="280"/>
      <c r="E4" s="280"/>
      <c r="F4" s="283" t="s">
        <v>209</v>
      </c>
      <c r="G4" s="285" t="s">
        <v>40</v>
      </c>
      <c r="H4" s="113" t="s">
        <v>102</v>
      </c>
      <c r="I4" s="283" t="s">
        <v>41</v>
      </c>
      <c r="J4" s="285" t="s">
        <v>211</v>
      </c>
      <c r="K4" s="286" t="s">
        <v>212</v>
      </c>
    </row>
    <row r="5" spans="1:11" ht="42" thickBot="1" x14ac:dyDescent="0.35">
      <c r="A5" s="61"/>
      <c r="B5" s="24" t="s">
        <v>205</v>
      </c>
      <c r="C5" s="25" t="s">
        <v>206</v>
      </c>
      <c r="D5" s="26" t="s">
        <v>207</v>
      </c>
      <c r="E5" s="26" t="s">
        <v>208</v>
      </c>
      <c r="F5" s="284"/>
      <c r="G5" s="284"/>
      <c r="H5" s="25" t="s">
        <v>210</v>
      </c>
      <c r="I5" s="284"/>
      <c r="J5" s="284"/>
      <c r="K5" s="287"/>
    </row>
    <row r="6" spans="1:11" ht="14.4" customHeight="1" thickBot="1" x14ac:dyDescent="0.35">
      <c r="A6" s="331" t="s">
        <v>219</v>
      </c>
      <c r="B6" s="313">
        <v>1732.96179687734</v>
      </c>
      <c r="C6" s="313">
        <v>1540.22019</v>
      </c>
      <c r="D6" s="314">
        <v>-192.74160687733601</v>
      </c>
      <c r="E6" s="315">
        <v>0.88877907913200005</v>
      </c>
      <c r="F6" s="313">
        <v>1697.85664223972</v>
      </c>
      <c r="G6" s="314">
        <v>1273.3924816797901</v>
      </c>
      <c r="H6" s="316">
        <v>145.21077</v>
      </c>
      <c r="I6" s="313">
        <v>1212.03341</v>
      </c>
      <c r="J6" s="314">
        <v>-61.359071679785998</v>
      </c>
      <c r="K6" s="317">
        <v>0.71386086424799999</v>
      </c>
    </row>
    <row r="7" spans="1:11" ht="14.4" customHeight="1" thickBot="1" x14ac:dyDescent="0.35">
      <c r="A7" s="332" t="s">
        <v>220</v>
      </c>
      <c r="B7" s="313">
        <v>0.95855070338299997</v>
      </c>
      <c r="C7" s="313">
        <v>1.60684</v>
      </c>
      <c r="D7" s="314">
        <v>0.64828929661599999</v>
      </c>
      <c r="E7" s="315">
        <v>1.676322383707</v>
      </c>
      <c r="F7" s="313">
        <v>4.3062894542860004</v>
      </c>
      <c r="G7" s="314">
        <v>3.2297170907149999</v>
      </c>
      <c r="H7" s="316">
        <v>1.8001199999999999</v>
      </c>
      <c r="I7" s="313">
        <v>3.7370899999999998</v>
      </c>
      <c r="J7" s="314">
        <v>0.50737290928400003</v>
      </c>
      <c r="K7" s="317">
        <v>0.86782136678699995</v>
      </c>
    </row>
    <row r="8" spans="1:11" ht="14.4" customHeight="1" thickBot="1" x14ac:dyDescent="0.35">
      <c r="A8" s="333" t="s">
        <v>221</v>
      </c>
      <c r="B8" s="313">
        <v>0.95855070338299997</v>
      </c>
      <c r="C8" s="313">
        <v>1.60684</v>
      </c>
      <c r="D8" s="314">
        <v>0.64828929661599999</v>
      </c>
      <c r="E8" s="315">
        <v>1.676322383707</v>
      </c>
      <c r="F8" s="313">
        <v>4.3062894542860004</v>
      </c>
      <c r="G8" s="314">
        <v>3.2297170907149999</v>
      </c>
      <c r="H8" s="316">
        <v>1.8001199999999999</v>
      </c>
      <c r="I8" s="313">
        <v>3.7370899999999998</v>
      </c>
      <c r="J8" s="314">
        <v>0.50737290928400003</v>
      </c>
      <c r="K8" s="317">
        <v>0.86782136678699995</v>
      </c>
    </row>
    <row r="9" spans="1:11" ht="14.4" customHeight="1" thickBot="1" x14ac:dyDescent="0.35">
      <c r="A9" s="334" t="s">
        <v>222</v>
      </c>
      <c r="B9" s="318">
        <v>0.33331868456199998</v>
      </c>
      <c r="C9" s="318">
        <v>1.60684</v>
      </c>
      <c r="D9" s="319">
        <v>1.273521315437</v>
      </c>
      <c r="E9" s="320">
        <v>4.820731853391</v>
      </c>
      <c r="F9" s="318">
        <v>4.3062894542860004</v>
      </c>
      <c r="G9" s="319">
        <v>3.2297170907149999</v>
      </c>
      <c r="H9" s="321">
        <v>0.29848999999999998</v>
      </c>
      <c r="I9" s="318">
        <v>2.2354599999999998</v>
      </c>
      <c r="J9" s="319">
        <v>-0.99425709071500001</v>
      </c>
      <c r="K9" s="322">
        <v>0.51911512770500001</v>
      </c>
    </row>
    <row r="10" spans="1:11" ht="14.4" customHeight="1" thickBot="1" x14ac:dyDescent="0.35">
      <c r="A10" s="335" t="s">
        <v>223</v>
      </c>
      <c r="B10" s="313">
        <v>0</v>
      </c>
      <c r="C10" s="313">
        <v>0.18</v>
      </c>
      <c r="D10" s="314">
        <v>0.18</v>
      </c>
      <c r="E10" s="323" t="s">
        <v>224</v>
      </c>
      <c r="F10" s="313">
        <v>0.31905168952099999</v>
      </c>
      <c r="G10" s="314">
        <v>0.23928876714</v>
      </c>
      <c r="H10" s="316">
        <v>0</v>
      </c>
      <c r="I10" s="313">
        <v>0.84599999999999997</v>
      </c>
      <c r="J10" s="314">
        <v>0.60671123285899997</v>
      </c>
      <c r="K10" s="317">
        <v>2.651607961297</v>
      </c>
    </row>
    <row r="11" spans="1:11" ht="14.4" customHeight="1" thickBot="1" x14ac:dyDescent="0.35">
      <c r="A11" s="335" t="s">
        <v>225</v>
      </c>
      <c r="B11" s="313">
        <v>0</v>
      </c>
      <c r="C11" s="313">
        <v>0</v>
      </c>
      <c r="D11" s="314">
        <v>0</v>
      </c>
      <c r="E11" s="315">
        <v>1</v>
      </c>
      <c r="F11" s="313">
        <v>1</v>
      </c>
      <c r="G11" s="314">
        <v>0.75</v>
      </c>
      <c r="H11" s="316">
        <v>0</v>
      </c>
      <c r="I11" s="313">
        <v>0</v>
      </c>
      <c r="J11" s="314">
        <v>-0.75</v>
      </c>
      <c r="K11" s="317">
        <v>0</v>
      </c>
    </row>
    <row r="12" spans="1:11" ht="14.4" customHeight="1" thickBot="1" x14ac:dyDescent="0.35">
      <c r="A12" s="335" t="s">
        <v>226</v>
      </c>
      <c r="B12" s="313">
        <v>0.33331868456199998</v>
      </c>
      <c r="C12" s="313">
        <v>0.34644000000000003</v>
      </c>
      <c r="D12" s="314">
        <v>1.3121315437E-2</v>
      </c>
      <c r="E12" s="315">
        <v>1.039365676289</v>
      </c>
      <c r="F12" s="313">
        <v>1</v>
      </c>
      <c r="G12" s="314">
        <v>0.75</v>
      </c>
      <c r="H12" s="316">
        <v>0.29848999999999998</v>
      </c>
      <c r="I12" s="313">
        <v>0.48196</v>
      </c>
      <c r="J12" s="314">
        <v>-0.26804</v>
      </c>
      <c r="K12" s="317">
        <v>0.48196</v>
      </c>
    </row>
    <row r="13" spans="1:11" ht="14.4" customHeight="1" thickBot="1" x14ac:dyDescent="0.35">
      <c r="A13" s="335" t="s">
        <v>227</v>
      </c>
      <c r="B13" s="313">
        <v>0</v>
      </c>
      <c r="C13" s="313">
        <v>0.99839999999999995</v>
      </c>
      <c r="D13" s="314">
        <v>0.99839999999999995</v>
      </c>
      <c r="E13" s="323" t="s">
        <v>217</v>
      </c>
      <c r="F13" s="313">
        <v>0.98723776476500003</v>
      </c>
      <c r="G13" s="314">
        <v>0.74042832357400001</v>
      </c>
      <c r="H13" s="316">
        <v>0</v>
      </c>
      <c r="I13" s="313">
        <v>0.90749999999999997</v>
      </c>
      <c r="J13" s="314">
        <v>0.16707167642500001</v>
      </c>
      <c r="K13" s="317">
        <v>0.91923144797300005</v>
      </c>
    </row>
    <row r="14" spans="1:11" ht="14.4" customHeight="1" thickBot="1" x14ac:dyDescent="0.35">
      <c r="A14" s="335" t="s">
        <v>228</v>
      </c>
      <c r="B14" s="313">
        <v>0</v>
      </c>
      <c r="C14" s="313">
        <v>8.2000000000000003E-2</v>
      </c>
      <c r="D14" s="314">
        <v>8.2000000000000003E-2</v>
      </c>
      <c r="E14" s="323" t="s">
        <v>224</v>
      </c>
      <c r="F14" s="313">
        <v>1</v>
      </c>
      <c r="G14" s="314">
        <v>0.75</v>
      </c>
      <c r="H14" s="316">
        <v>0</v>
      </c>
      <c r="I14" s="313">
        <v>0</v>
      </c>
      <c r="J14" s="314">
        <v>-0.75</v>
      </c>
      <c r="K14" s="317">
        <v>0</v>
      </c>
    </row>
    <row r="15" spans="1:11" ht="14.4" customHeight="1" thickBot="1" x14ac:dyDescent="0.35">
      <c r="A15" s="334" t="s">
        <v>229</v>
      </c>
      <c r="B15" s="318">
        <v>0.62523201882000001</v>
      </c>
      <c r="C15" s="318">
        <v>0</v>
      </c>
      <c r="D15" s="319">
        <v>-0.62523201882000001</v>
      </c>
      <c r="E15" s="320">
        <v>0</v>
      </c>
      <c r="F15" s="318">
        <v>0</v>
      </c>
      <c r="G15" s="319">
        <v>0</v>
      </c>
      <c r="H15" s="321">
        <v>1.50163</v>
      </c>
      <c r="I15" s="318">
        <v>1.50163</v>
      </c>
      <c r="J15" s="319">
        <v>1.50163</v>
      </c>
      <c r="K15" s="324" t="s">
        <v>224</v>
      </c>
    </row>
    <row r="16" spans="1:11" ht="14.4" customHeight="1" thickBot="1" x14ac:dyDescent="0.35">
      <c r="A16" s="335" t="s">
        <v>230</v>
      </c>
      <c r="B16" s="313">
        <v>0.62523201882000001</v>
      </c>
      <c r="C16" s="313">
        <v>0</v>
      </c>
      <c r="D16" s="314">
        <v>-0.62523201882000001</v>
      </c>
      <c r="E16" s="315">
        <v>0</v>
      </c>
      <c r="F16" s="313">
        <v>0</v>
      </c>
      <c r="G16" s="314">
        <v>0</v>
      </c>
      <c r="H16" s="316">
        <v>1.50163</v>
      </c>
      <c r="I16" s="313">
        <v>1.50163</v>
      </c>
      <c r="J16" s="314">
        <v>1.50163</v>
      </c>
      <c r="K16" s="325" t="s">
        <v>224</v>
      </c>
    </row>
    <row r="17" spans="1:11" ht="14.4" customHeight="1" thickBot="1" x14ac:dyDescent="0.35">
      <c r="A17" s="336" t="s">
        <v>231</v>
      </c>
      <c r="B17" s="318">
        <v>-5.3815686699999997E-3</v>
      </c>
      <c r="C17" s="318">
        <v>6.1199999999999996E-3</v>
      </c>
      <c r="D17" s="319">
        <v>1.150156867E-2</v>
      </c>
      <c r="E17" s="320">
        <v>-1.137214885581</v>
      </c>
      <c r="F17" s="318">
        <v>6.8329062649999999E-3</v>
      </c>
      <c r="G17" s="319">
        <v>5.1246796979999999E-3</v>
      </c>
      <c r="H17" s="321">
        <v>0</v>
      </c>
      <c r="I17" s="318">
        <v>0</v>
      </c>
      <c r="J17" s="319">
        <v>-5.1246796979999999E-3</v>
      </c>
      <c r="K17" s="322">
        <v>0</v>
      </c>
    </row>
    <row r="18" spans="1:11" ht="14.4" customHeight="1" thickBot="1" x14ac:dyDescent="0.35">
      <c r="A18" s="333" t="s">
        <v>23</v>
      </c>
      <c r="B18" s="313">
        <v>-5.3815686699999997E-3</v>
      </c>
      <c r="C18" s="313">
        <v>6.1199999999999996E-3</v>
      </c>
      <c r="D18" s="314">
        <v>1.150156867E-2</v>
      </c>
      <c r="E18" s="315">
        <v>-1.137214885581</v>
      </c>
      <c r="F18" s="313">
        <v>6.8329062649999999E-3</v>
      </c>
      <c r="G18" s="314">
        <v>5.1246796979999999E-3</v>
      </c>
      <c r="H18" s="316">
        <v>0</v>
      </c>
      <c r="I18" s="313">
        <v>0</v>
      </c>
      <c r="J18" s="314">
        <v>-5.1246796979999999E-3</v>
      </c>
      <c r="K18" s="317">
        <v>0</v>
      </c>
    </row>
    <row r="19" spans="1:11" ht="14.4" customHeight="1" thickBot="1" x14ac:dyDescent="0.35">
      <c r="A19" s="334" t="s">
        <v>232</v>
      </c>
      <c r="B19" s="318">
        <v>-5.3815686699999997E-3</v>
      </c>
      <c r="C19" s="318">
        <v>6.1199999999999996E-3</v>
      </c>
      <c r="D19" s="319">
        <v>1.150156867E-2</v>
      </c>
      <c r="E19" s="320">
        <v>-1.137214885581</v>
      </c>
      <c r="F19" s="318">
        <v>6.8329062649999999E-3</v>
      </c>
      <c r="G19" s="319">
        <v>5.1246796979999999E-3</v>
      </c>
      <c r="H19" s="321">
        <v>0</v>
      </c>
      <c r="I19" s="318">
        <v>0</v>
      </c>
      <c r="J19" s="319">
        <v>-5.1246796979999999E-3</v>
      </c>
      <c r="K19" s="322">
        <v>0</v>
      </c>
    </row>
    <row r="20" spans="1:11" ht="14.4" customHeight="1" thickBot="1" x14ac:dyDescent="0.35">
      <c r="A20" s="335" t="s">
        <v>233</v>
      </c>
      <c r="B20" s="313">
        <v>-5.3815686699999997E-3</v>
      </c>
      <c r="C20" s="313">
        <v>6.1199999999999996E-3</v>
      </c>
      <c r="D20" s="314">
        <v>1.150156867E-2</v>
      </c>
      <c r="E20" s="315">
        <v>-1.137214885581</v>
      </c>
      <c r="F20" s="313">
        <v>6.8329062649999999E-3</v>
      </c>
      <c r="G20" s="314">
        <v>5.1246796979999999E-3</v>
      </c>
      <c r="H20" s="316">
        <v>0</v>
      </c>
      <c r="I20" s="313">
        <v>0</v>
      </c>
      <c r="J20" s="314">
        <v>-5.1246796979999999E-3</v>
      </c>
      <c r="K20" s="317">
        <v>0</v>
      </c>
    </row>
    <row r="21" spans="1:11" ht="14.4" customHeight="1" thickBot="1" x14ac:dyDescent="0.35">
      <c r="A21" s="332" t="s">
        <v>24</v>
      </c>
      <c r="B21" s="313">
        <v>1732.0086277426201</v>
      </c>
      <c r="C21" s="313">
        <v>1535.1072300000001</v>
      </c>
      <c r="D21" s="314">
        <v>-196.901397742623</v>
      </c>
      <c r="E21" s="315">
        <v>0.88631615651899998</v>
      </c>
      <c r="F21" s="313">
        <v>1693.5435198791599</v>
      </c>
      <c r="G21" s="314">
        <v>1270.1576399093699</v>
      </c>
      <c r="H21" s="316">
        <v>143.41065</v>
      </c>
      <c r="I21" s="313">
        <v>1208.2963199999999</v>
      </c>
      <c r="J21" s="314">
        <v>-61.861319909373002</v>
      </c>
      <c r="K21" s="317">
        <v>0.71347225850200002</v>
      </c>
    </row>
    <row r="22" spans="1:11" ht="14.4" customHeight="1" thickBot="1" x14ac:dyDescent="0.35">
      <c r="A22" s="337" t="s">
        <v>234</v>
      </c>
      <c r="B22" s="318">
        <v>1282.99999999998</v>
      </c>
      <c r="C22" s="318">
        <v>1144.5319999999999</v>
      </c>
      <c r="D22" s="319">
        <v>-138.467999999976</v>
      </c>
      <c r="E22" s="320">
        <v>0.89207482462900001</v>
      </c>
      <c r="F22" s="318">
        <v>1254.12876931146</v>
      </c>
      <c r="G22" s="319">
        <v>940.59657698359797</v>
      </c>
      <c r="H22" s="321">
        <v>106.946</v>
      </c>
      <c r="I22" s="318">
        <v>899.93499999999995</v>
      </c>
      <c r="J22" s="319">
        <v>-40.661576983598003</v>
      </c>
      <c r="K22" s="322">
        <v>0.71757782934299996</v>
      </c>
    </row>
    <row r="23" spans="1:11" ht="14.4" customHeight="1" thickBot="1" x14ac:dyDescent="0.35">
      <c r="A23" s="334" t="s">
        <v>235</v>
      </c>
      <c r="B23" s="318">
        <v>1277.99999999998</v>
      </c>
      <c r="C23" s="318">
        <v>1144.5319999999999</v>
      </c>
      <c r="D23" s="319">
        <v>-133.467999999976</v>
      </c>
      <c r="E23" s="320">
        <v>0.89556494522600005</v>
      </c>
      <c r="F23" s="318">
        <v>1249.9999606280301</v>
      </c>
      <c r="G23" s="319">
        <v>937.49997047102204</v>
      </c>
      <c r="H23" s="321">
        <v>106.946</v>
      </c>
      <c r="I23" s="318">
        <v>899.55399999999997</v>
      </c>
      <c r="J23" s="319">
        <v>-37.945970471020999</v>
      </c>
      <c r="K23" s="322">
        <v>0.71964322266699998</v>
      </c>
    </row>
    <row r="24" spans="1:11" ht="14.4" customHeight="1" thickBot="1" x14ac:dyDescent="0.35">
      <c r="A24" s="335" t="s">
        <v>236</v>
      </c>
      <c r="B24" s="313">
        <v>1277.99999999998</v>
      </c>
      <c r="C24" s="313">
        <v>1144.5319999999999</v>
      </c>
      <c r="D24" s="314">
        <v>-133.467999999976</v>
      </c>
      <c r="E24" s="315">
        <v>0.89556494522600005</v>
      </c>
      <c r="F24" s="313">
        <v>1249.9999606280301</v>
      </c>
      <c r="G24" s="314">
        <v>937.49997047102204</v>
      </c>
      <c r="H24" s="316">
        <v>106.946</v>
      </c>
      <c r="I24" s="313">
        <v>899.55399999999997</v>
      </c>
      <c r="J24" s="314">
        <v>-37.945970471020999</v>
      </c>
      <c r="K24" s="317">
        <v>0.71964322266699998</v>
      </c>
    </row>
    <row r="25" spans="1:11" ht="14.4" customHeight="1" thickBot="1" x14ac:dyDescent="0.35">
      <c r="A25" s="334" t="s">
        <v>237</v>
      </c>
      <c r="B25" s="318">
        <v>4.9999999999989999</v>
      </c>
      <c r="C25" s="318">
        <v>0</v>
      </c>
      <c r="D25" s="319">
        <v>-4.9999999999989999</v>
      </c>
      <c r="E25" s="320">
        <v>0</v>
      </c>
      <c r="F25" s="318">
        <v>4.1288086834350004</v>
      </c>
      <c r="G25" s="319">
        <v>3.0966065125759998</v>
      </c>
      <c r="H25" s="321">
        <v>0</v>
      </c>
      <c r="I25" s="318">
        <v>0.38100000000000001</v>
      </c>
      <c r="J25" s="319">
        <v>-2.7156065125760001</v>
      </c>
      <c r="K25" s="322">
        <v>9.2278434098000003E-2</v>
      </c>
    </row>
    <row r="26" spans="1:11" ht="14.4" customHeight="1" thickBot="1" x14ac:dyDescent="0.35">
      <c r="A26" s="335" t="s">
        <v>238</v>
      </c>
      <c r="B26" s="313">
        <v>4.9999999999989999</v>
      </c>
      <c r="C26" s="313">
        <v>0</v>
      </c>
      <c r="D26" s="314">
        <v>-4.9999999999989999</v>
      </c>
      <c r="E26" s="315">
        <v>0</v>
      </c>
      <c r="F26" s="313">
        <v>4.1288086834350004</v>
      </c>
      <c r="G26" s="314">
        <v>3.0966065125759998</v>
      </c>
      <c r="H26" s="316">
        <v>0</v>
      </c>
      <c r="I26" s="313">
        <v>0.38100000000000001</v>
      </c>
      <c r="J26" s="314">
        <v>-2.7156065125760001</v>
      </c>
      <c r="K26" s="317">
        <v>9.2278434098000003E-2</v>
      </c>
    </row>
    <row r="27" spans="1:11" ht="14.4" customHeight="1" thickBot="1" x14ac:dyDescent="0.35">
      <c r="A27" s="333" t="s">
        <v>239</v>
      </c>
      <c r="B27" s="313">
        <v>436.00862774264698</v>
      </c>
      <c r="C27" s="313">
        <v>379.08800000000002</v>
      </c>
      <c r="D27" s="314">
        <v>-56.920627742645998</v>
      </c>
      <c r="E27" s="315">
        <v>0.86945068486900001</v>
      </c>
      <c r="F27" s="313">
        <v>425.99998658203202</v>
      </c>
      <c r="G27" s="314">
        <v>319.499989936524</v>
      </c>
      <c r="H27" s="316">
        <v>35.39575</v>
      </c>
      <c r="I27" s="313">
        <v>299.36275000000001</v>
      </c>
      <c r="J27" s="314">
        <v>-20.137239936524001</v>
      </c>
      <c r="K27" s="317">
        <v>0.70272948222800002</v>
      </c>
    </row>
    <row r="28" spans="1:11" ht="14.4" customHeight="1" thickBot="1" x14ac:dyDescent="0.35">
      <c r="A28" s="334" t="s">
        <v>240</v>
      </c>
      <c r="B28" s="318">
        <v>116.008627742653</v>
      </c>
      <c r="C28" s="318">
        <v>103.002</v>
      </c>
      <c r="D28" s="319">
        <v>-13.006627742653</v>
      </c>
      <c r="E28" s="320">
        <v>0.88788223776300002</v>
      </c>
      <c r="F28" s="318">
        <v>112.999996440774</v>
      </c>
      <c r="G28" s="319">
        <v>84.749997330580001</v>
      </c>
      <c r="H28" s="321">
        <v>9.625</v>
      </c>
      <c r="I28" s="318">
        <v>80.959000000000003</v>
      </c>
      <c r="J28" s="319">
        <v>-3.7909973305800002</v>
      </c>
      <c r="K28" s="322">
        <v>0.71645135000000004</v>
      </c>
    </row>
    <row r="29" spans="1:11" ht="14.4" customHeight="1" thickBot="1" x14ac:dyDescent="0.35">
      <c r="A29" s="335" t="s">
        <v>241</v>
      </c>
      <c r="B29" s="313">
        <v>116.008627742653</v>
      </c>
      <c r="C29" s="313">
        <v>103.002</v>
      </c>
      <c r="D29" s="314">
        <v>-13.006627742653</v>
      </c>
      <c r="E29" s="315">
        <v>0.88788223776300002</v>
      </c>
      <c r="F29" s="313">
        <v>112.999996440774</v>
      </c>
      <c r="G29" s="314">
        <v>84.749997330580001</v>
      </c>
      <c r="H29" s="316">
        <v>9.625</v>
      </c>
      <c r="I29" s="313">
        <v>80.959000000000003</v>
      </c>
      <c r="J29" s="314">
        <v>-3.7909973305800002</v>
      </c>
      <c r="K29" s="317">
        <v>0.71645135000000004</v>
      </c>
    </row>
    <row r="30" spans="1:11" ht="14.4" customHeight="1" thickBot="1" x14ac:dyDescent="0.35">
      <c r="A30" s="334" t="s">
        <v>242</v>
      </c>
      <c r="B30" s="318">
        <v>319.99999999999301</v>
      </c>
      <c r="C30" s="318">
        <v>276.08600000000001</v>
      </c>
      <c r="D30" s="319">
        <v>-43.913999999993003</v>
      </c>
      <c r="E30" s="320">
        <v>0.86276874999999997</v>
      </c>
      <c r="F30" s="318">
        <v>312.99999014125899</v>
      </c>
      <c r="G30" s="319">
        <v>234.74999260594399</v>
      </c>
      <c r="H30" s="321">
        <v>25.77075</v>
      </c>
      <c r="I30" s="318">
        <v>218.40375</v>
      </c>
      <c r="J30" s="319">
        <v>-16.346242605943001</v>
      </c>
      <c r="K30" s="322">
        <v>0.69777558108299997</v>
      </c>
    </row>
    <row r="31" spans="1:11" ht="14.4" customHeight="1" thickBot="1" x14ac:dyDescent="0.35">
      <c r="A31" s="335" t="s">
        <v>243</v>
      </c>
      <c r="B31" s="313">
        <v>319.99999999999301</v>
      </c>
      <c r="C31" s="313">
        <v>276.08600000000001</v>
      </c>
      <c r="D31" s="314">
        <v>-43.913999999993003</v>
      </c>
      <c r="E31" s="315">
        <v>0.86276874999999997</v>
      </c>
      <c r="F31" s="313">
        <v>312.99999014125899</v>
      </c>
      <c r="G31" s="314">
        <v>234.74999260594399</v>
      </c>
      <c r="H31" s="316">
        <v>25.77075</v>
      </c>
      <c r="I31" s="313">
        <v>218.40375</v>
      </c>
      <c r="J31" s="314">
        <v>-16.346242605943001</v>
      </c>
      <c r="K31" s="317">
        <v>0.69777558108299997</v>
      </c>
    </row>
    <row r="32" spans="1:11" ht="14.4" customHeight="1" thickBot="1" x14ac:dyDescent="0.35">
      <c r="A32" s="333" t="s">
        <v>244</v>
      </c>
      <c r="B32" s="313">
        <v>12.999999999999</v>
      </c>
      <c r="C32" s="313">
        <v>11.48723</v>
      </c>
      <c r="D32" s="314">
        <v>-1.5127699999990001</v>
      </c>
      <c r="E32" s="315">
        <v>0.88363307692299997</v>
      </c>
      <c r="F32" s="313">
        <v>13.414763985666999</v>
      </c>
      <c r="G32" s="314">
        <v>10.06107298925</v>
      </c>
      <c r="H32" s="316">
        <v>1.0689</v>
      </c>
      <c r="I32" s="313">
        <v>8.9985700000000008</v>
      </c>
      <c r="J32" s="314">
        <v>-1.06250298925</v>
      </c>
      <c r="K32" s="317">
        <v>0.67079599832000003</v>
      </c>
    </row>
    <row r="33" spans="1:11" ht="14.4" customHeight="1" thickBot="1" x14ac:dyDescent="0.35">
      <c r="A33" s="334" t="s">
        <v>245</v>
      </c>
      <c r="B33" s="318">
        <v>12.999999999999</v>
      </c>
      <c r="C33" s="318">
        <v>11.48723</v>
      </c>
      <c r="D33" s="319">
        <v>-1.5127699999990001</v>
      </c>
      <c r="E33" s="320">
        <v>0.88363307692299997</v>
      </c>
      <c r="F33" s="318">
        <v>13.414763985666999</v>
      </c>
      <c r="G33" s="319">
        <v>10.06107298925</v>
      </c>
      <c r="H33" s="321">
        <v>1.0689</v>
      </c>
      <c r="I33" s="318">
        <v>8.9985700000000008</v>
      </c>
      <c r="J33" s="319">
        <v>-1.06250298925</v>
      </c>
      <c r="K33" s="322">
        <v>0.67079599832000003</v>
      </c>
    </row>
    <row r="34" spans="1:11" ht="14.4" customHeight="1" thickBot="1" x14ac:dyDescent="0.35">
      <c r="A34" s="335" t="s">
        <v>246</v>
      </c>
      <c r="B34" s="313">
        <v>12.999999999999</v>
      </c>
      <c r="C34" s="313">
        <v>11.48723</v>
      </c>
      <c r="D34" s="314">
        <v>-1.5127699999990001</v>
      </c>
      <c r="E34" s="315">
        <v>0.88363307692299997</v>
      </c>
      <c r="F34" s="313">
        <v>13.414763985666999</v>
      </c>
      <c r="G34" s="314">
        <v>10.06107298925</v>
      </c>
      <c r="H34" s="316">
        <v>1.0689</v>
      </c>
      <c r="I34" s="313">
        <v>8.9985700000000008</v>
      </c>
      <c r="J34" s="314">
        <v>-1.06250298925</v>
      </c>
      <c r="K34" s="317">
        <v>0.67079599832000003</v>
      </c>
    </row>
    <row r="35" spans="1:11" ht="14.4" customHeight="1" thickBot="1" x14ac:dyDescent="0.35">
      <c r="A35" s="332" t="s">
        <v>247</v>
      </c>
      <c r="B35" s="313">
        <v>0</v>
      </c>
      <c r="C35" s="313">
        <v>3.5</v>
      </c>
      <c r="D35" s="314">
        <v>3.5</v>
      </c>
      <c r="E35" s="323" t="s">
        <v>217</v>
      </c>
      <c r="F35" s="313">
        <v>0</v>
      </c>
      <c r="G35" s="314">
        <v>0</v>
      </c>
      <c r="H35" s="316">
        <v>0</v>
      </c>
      <c r="I35" s="313">
        <v>0</v>
      </c>
      <c r="J35" s="314">
        <v>0</v>
      </c>
      <c r="K35" s="325" t="s">
        <v>217</v>
      </c>
    </row>
    <row r="36" spans="1:11" ht="14.4" customHeight="1" thickBot="1" x14ac:dyDescent="0.35">
      <c r="A36" s="333" t="s">
        <v>248</v>
      </c>
      <c r="B36" s="313">
        <v>0</v>
      </c>
      <c r="C36" s="313">
        <v>3.5</v>
      </c>
      <c r="D36" s="314">
        <v>3.5</v>
      </c>
      <c r="E36" s="323" t="s">
        <v>217</v>
      </c>
      <c r="F36" s="313">
        <v>0</v>
      </c>
      <c r="G36" s="314">
        <v>0</v>
      </c>
      <c r="H36" s="316">
        <v>0</v>
      </c>
      <c r="I36" s="313">
        <v>0</v>
      </c>
      <c r="J36" s="314">
        <v>0</v>
      </c>
      <c r="K36" s="325" t="s">
        <v>217</v>
      </c>
    </row>
    <row r="37" spans="1:11" ht="14.4" customHeight="1" thickBot="1" x14ac:dyDescent="0.35">
      <c r="A37" s="334" t="s">
        <v>249</v>
      </c>
      <c r="B37" s="318">
        <v>0</v>
      </c>
      <c r="C37" s="318">
        <v>3.5</v>
      </c>
      <c r="D37" s="319">
        <v>3.5</v>
      </c>
      <c r="E37" s="326" t="s">
        <v>217</v>
      </c>
      <c r="F37" s="318">
        <v>0</v>
      </c>
      <c r="G37" s="319">
        <v>0</v>
      </c>
      <c r="H37" s="321">
        <v>0</v>
      </c>
      <c r="I37" s="318">
        <v>0</v>
      </c>
      <c r="J37" s="319">
        <v>0</v>
      </c>
      <c r="K37" s="324" t="s">
        <v>217</v>
      </c>
    </row>
    <row r="38" spans="1:11" ht="14.4" customHeight="1" thickBot="1" x14ac:dyDescent="0.35">
      <c r="A38" s="335" t="s">
        <v>250</v>
      </c>
      <c r="B38" s="313">
        <v>0</v>
      </c>
      <c r="C38" s="313">
        <v>3.5</v>
      </c>
      <c r="D38" s="314">
        <v>3.5</v>
      </c>
      <c r="E38" s="323" t="s">
        <v>217</v>
      </c>
      <c r="F38" s="313">
        <v>0</v>
      </c>
      <c r="G38" s="314">
        <v>0</v>
      </c>
      <c r="H38" s="316">
        <v>0</v>
      </c>
      <c r="I38" s="313">
        <v>0</v>
      </c>
      <c r="J38" s="314">
        <v>0</v>
      </c>
      <c r="K38" s="325" t="s">
        <v>217</v>
      </c>
    </row>
    <row r="39" spans="1:11" ht="14.4" customHeight="1" thickBot="1" x14ac:dyDescent="0.35">
      <c r="A39" s="331" t="s">
        <v>251</v>
      </c>
      <c r="B39" s="313">
        <v>66.057504682323</v>
      </c>
      <c r="C39" s="313">
        <v>90.79177</v>
      </c>
      <c r="D39" s="314">
        <v>24.734265317676002</v>
      </c>
      <c r="E39" s="315">
        <v>1.374435356537</v>
      </c>
      <c r="F39" s="313">
        <v>44.000000000010999</v>
      </c>
      <c r="G39" s="314">
        <v>33.000000000008001</v>
      </c>
      <c r="H39" s="316">
        <v>4.8673299999999999</v>
      </c>
      <c r="I39" s="313">
        <v>35.509030000000003</v>
      </c>
      <c r="J39" s="314">
        <v>2.5090299999910002</v>
      </c>
      <c r="K39" s="317">
        <v>0.80702340909000003</v>
      </c>
    </row>
    <row r="40" spans="1:11" ht="14.4" customHeight="1" thickBot="1" x14ac:dyDescent="0.35">
      <c r="A40" s="332" t="s">
        <v>252</v>
      </c>
      <c r="B40" s="313">
        <v>63</v>
      </c>
      <c r="C40" s="313">
        <v>44.062980000000003</v>
      </c>
      <c r="D40" s="314">
        <v>-18.93702</v>
      </c>
      <c r="E40" s="315">
        <v>0.69941238095199998</v>
      </c>
      <c r="F40" s="313">
        <v>44.000000000010999</v>
      </c>
      <c r="G40" s="314">
        <v>33.000000000008001</v>
      </c>
      <c r="H40" s="316">
        <v>3.4210500000000001</v>
      </c>
      <c r="I40" s="313">
        <v>34.062750000000001</v>
      </c>
      <c r="J40" s="314">
        <v>1.0627499999909999</v>
      </c>
      <c r="K40" s="317">
        <v>0.77415340908999997</v>
      </c>
    </row>
    <row r="41" spans="1:11" ht="14.4" customHeight="1" thickBot="1" x14ac:dyDescent="0.35">
      <c r="A41" s="333" t="s">
        <v>253</v>
      </c>
      <c r="B41" s="313">
        <v>63</v>
      </c>
      <c r="C41" s="313">
        <v>44.062980000000003</v>
      </c>
      <c r="D41" s="314">
        <v>-18.93702</v>
      </c>
      <c r="E41" s="315">
        <v>0.69941238095199998</v>
      </c>
      <c r="F41" s="313">
        <v>44.000000000010999</v>
      </c>
      <c r="G41" s="314">
        <v>33.000000000008001</v>
      </c>
      <c r="H41" s="316">
        <v>3.4210500000000001</v>
      </c>
      <c r="I41" s="313">
        <v>34.062750000000001</v>
      </c>
      <c r="J41" s="314">
        <v>1.0627499999909999</v>
      </c>
      <c r="K41" s="317">
        <v>0.77415340908999997</v>
      </c>
    </row>
    <row r="42" spans="1:11" ht="14.4" customHeight="1" thickBot="1" x14ac:dyDescent="0.35">
      <c r="A42" s="334" t="s">
        <v>254</v>
      </c>
      <c r="B42" s="318">
        <v>63</v>
      </c>
      <c r="C42" s="318">
        <v>39.99259</v>
      </c>
      <c r="D42" s="319">
        <v>-23.00741</v>
      </c>
      <c r="E42" s="320">
        <v>0.63480301587300003</v>
      </c>
      <c r="F42" s="318">
        <v>44.000000000010999</v>
      </c>
      <c r="G42" s="319">
        <v>33.000000000008001</v>
      </c>
      <c r="H42" s="321">
        <v>3.7737799999999999</v>
      </c>
      <c r="I42" s="318">
        <v>32.449779999999997</v>
      </c>
      <c r="J42" s="319">
        <v>-0.55022000000799998</v>
      </c>
      <c r="K42" s="322">
        <v>0.73749499999900003</v>
      </c>
    </row>
    <row r="43" spans="1:11" ht="14.4" customHeight="1" thickBot="1" x14ac:dyDescent="0.35">
      <c r="A43" s="335" t="s">
        <v>255</v>
      </c>
      <c r="B43" s="313">
        <v>31</v>
      </c>
      <c r="C43" s="313">
        <v>19.9404</v>
      </c>
      <c r="D43" s="314">
        <v>-11.0596</v>
      </c>
      <c r="E43" s="315">
        <v>0.64323870967700003</v>
      </c>
      <c r="F43" s="313">
        <v>23.000000000006001</v>
      </c>
      <c r="G43" s="314">
        <v>17.250000000004</v>
      </c>
      <c r="H43" s="316">
        <v>1.61612</v>
      </c>
      <c r="I43" s="313">
        <v>14.066140000000001</v>
      </c>
      <c r="J43" s="314">
        <v>-3.183860000004</v>
      </c>
      <c r="K43" s="317">
        <v>0.61157130434700002</v>
      </c>
    </row>
    <row r="44" spans="1:11" ht="14.4" customHeight="1" thickBot="1" x14ac:dyDescent="0.35">
      <c r="A44" s="335" t="s">
        <v>256</v>
      </c>
      <c r="B44" s="313">
        <v>32</v>
      </c>
      <c r="C44" s="313">
        <v>20.05219</v>
      </c>
      <c r="D44" s="314">
        <v>-11.94781</v>
      </c>
      <c r="E44" s="315">
        <v>0.62663093749999998</v>
      </c>
      <c r="F44" s="313">
        <v>21.000000000004999</v>
      </c>
      <c r="G44" s="314">
        <v>15.750000000004</v>
      </c>
      <c r="H44" s="316">
        <v>2.1576599999999999</v>
      </c>
      <c r="I44" s="313">
        <v>18.38364</v>
      </c>
      <c r="J44" s="314">
        <v>2.6336399999950002</v>
      </c>
      <c r="K44" s="317">
        <v>0.87541142857099996</v>
      </c>
    </row>
    <row r="45" spans="1:11" ht="14.4" customHeight="1" thickBot="1" x14ac:dyDescent="0.35">
      <c r="A45" s="334" t="s">
        <v>257</v>
      </c>
      <c r="B45" s="318">
        <v>0</v>
      </c>
      <c r="C45" s="318">
        <v>4.0703899999999997</v>
      </c>
      <c r="D45" s="319">
        <v>4.0703899999999997</v>
      </c>
      <c r="E45" s="326" t="s">
        <v>217</v>
      </c>
      <c r="F45" s="318">
        <v>0</v>
      </c>
      <c r="G45" s="319">
        <v>0</v>
      </c>
      <c r="H45" s="321">
        <v>-0.35272999999999999</v>
      </c>
      <c r="I45" s="318">
        <v>1.61297</v>
      </c>
      <c r="J45" s="319">
        <v>1.61297</v>
      </c>
      <c r="K45" s="324" t="s">
        <v>217</v>
      </c>
    </row>
    <row r="46" spans="1:11" ht="14.4" customHeight="1" thickBot="1" x14ac:dyDescent="0.35">
      <c r="A46" s="335" t="s">
        <v>258</v>
      </c>
      <c r="B46" s="313">
        <v>0</v>
      </c>
      <c r="C46" s="313">
        <v>0.19932</v>
      </c>
      <c r="D46" s="314">
        <v>0.19932</v>
      </c>
      <c r="E46" s="323" t="s">
        <v>217</v>
      </c>
      <c r="F46" s="313">
        <v>0</v>
      </c>
      <c r="G46" s="314">
        <v>0</v>
      </c>
      <c r="H46" s="316">
        <v>0</v>
      </c>
      <c r="I46" s="313">
        <v>0.50183999999999995</v>
      </c>
      <c r="J46" s="314">
        <v>0.50183999999999995</v>
      </c>
      <c r="K46" s="325" t="s">
        <v>217</v>
      </c>
    </row>
    <row r="47" spans="1:11" ht="14.4" customHeight="1" thickBot="1" x14ac:dyDescent="0.35">
      <c r="A47" s="335" t="s">
        <v>259</v>
      </c>
      <c r="B47" s="313">
        <v>0</v>
      </c>
      <c r="C47" s="313">
        <v>3.87107</v>
      </c>
      <c r="D47" s="314">
        <v>3.87107</v>
      </c>
      <c r="E47" s="323" t="s">
        <v>217</v>
      </c>
      <c r="F47" s="313">
        <v>0</v>
      </c>
      <c r="G47" s="314">
        <v>0</v>
      </c>
      <c r="H47" s="316">
        <v>-0.35272999999999999</v>
      </c>
      <c r="I47" s="313">
        <v>1.11113</v>
      </c>
      <c r="J47" s="314">
        <v>1.11113</v>
      </c>
      <c r="K47" s="325" t="s">
        <v>217</v>
      </c>
    </row>
    <row r="48" spans="1:11" ht="14.4" customHeight="1" thickBot="1" x14ac:dyDescent="0.35">
      <c r="A48" s="332" t="s">
        <v>260</v>
      </c>
      <c r="B48" s="313">
        <v>3.0575046823230001</v>
      </c>
      <c r="C48" s="313">
        <v>0</v>
      </c>
      <c r="D48" s="314">
        <v>-3.0575046823230001</v>
      </c>
      <c r="E48" s="315">
        <v>0</v>
      </c>
      <c r="F48" s="313">
        <v>0</v>
      </c>
      <c r="G48" s="314">
        <v>0</v>
      </c>
      <c r="H48" s="316">
        <v>1.44628</v>
      </c>
      <c r="I48" s="313">
        <v>1.44628</v>
      </c>
      <c r="J48" s="314">
        <v>1.44628</v>
      </c>
      <c r="K48" s="325" t="s">
        <v>217</v>
      </c>
    </row>
    <row r="49" spans="1:11" ht="14.4" customHeight="1" thickBot="1" x14ac:dyDescent="0.35">
      <c r="A49" s="337" t="s">
        <v>261</v>
      </c>
      <c r="B49" s="318">
        <v>3.0575046823230001</v>
      </c>
      <c r="C49" s="318">
        <v>0</v>
      </c>
      <c r="D49" s="319">
        <v>-3.0575046823230001</v>
      </c>
      <c r="E49" s="320">
        <v>0</v>
      </c>
      <c r="F49" s="318">
        <v>0</v>
      </c>
      <c r="G49" s="319">
        <v>0</v>
      </c>
      <c r="H49" s="321">
        <v>1.44628</v>
      </c>
      <c r="I49" s="318">
        <v>1.44628</v>
      </c>
      <c r="J49" s="319">
        <v>1.44628</v>
      </c>
      <c r="K49" s="324" t="s">
        <v>217</v>
      </c>
    </row>
    <row r="50" spans="1:11" ht="14.4" customHeight="1" thickBot="1" x14ac:dyDescent="0.35">
      <c r="A50" s="334" t="s">
        <v>262</v>
      </c>
      <c r="B50" s="318">
        <v>0</v>
      </c>
      <c r="C50" s="318">
        <v>0</v>
      </c>
      <c r="D50" s="319">
        <v>0</v>
      </c>
      <c r="E50" s="320">
        <v>1</v>
      </c>
      <c r="F50" s="318">
        <v>0</v>
      </c>
      <c r="G50" s="319">
        <v>0</v>
      </c>
      <c r="H50" s="321">
        <v>-2.0000000000000002E-5</v>
      </c>
      <c r="I50" s="318">
        <v>-2.0000000000000002E-5</v>
      </c>
      <c r="J50" s="319">
        <v>-2.0000000000000002E-5</v>
      </c>
      <c r="K50" s="324" t="s">
        <v>217</v>
      </c>
    </row>
    <row r="51" spans="1:11" ht="14.4" customHeight="1" thickBot="1" x14ac:dyDescent="0.35">
      <c r="A51" s="335" t="s">
        <v>263</v>
      </c>
      <c r="B51" s="313">
        <v>0</v>
      </c>
      <c r="C51" s="313">
        <v>0</v>
      </c>
      <c r="D51" s="314">
        <v>0</v>
      </c>
      <c r="E51" s="315">
        <v>1</v>
      </c>
      <c r="F51" s="313">
        <v>0</v>
      </c>
      <c r="G51" s="314">
        <v>0</v>
      </c>
      <c r="H51" s="316">
        <v>-2.0000000000000002E-5</v>
      </c>
      <c r="I51" s="313">
        <v>-2.0000000000000002E-5</v>
      </c>
      <c r="J51" s="314">
        <v>-2.0000000000000002E-5</v>
      </c>
      <c r="K51" s="325" t="s">
        <v>224</v>
      </c>
    </row>
    <row r="52" spans="1:11" ht="14.4" customHeight="1" thickBot="1" x14ac:dyDescent="0.35">
      <c r="A52" s="334" t="s">
        <v>264</v>
      </c>
      <c r="B52" s="318">
        <v>3.0575046823230001</v>
      </c>
      <c r="C52" s="318">
        <v>0</v>
      </c>
      <c r="D52" s="319">
        <v>-3.0575046823230001</v>
      </c>
      <c r="E52" s="320">
        <v>0</v>
      </c>
      <c r="F52" s="318">
        <v>0</v>
      </c>
      <c r="G52" s="319">
        <v>0</v>
      </c>
      <c r="H52" s="321">
        <v>1.4462999999999999</v>
      </c>
      <c r="I52" s="318">
        <v>1.4462999999999999</v>
      </c>
      <c r="J52" s="319">
        <v>1.4462999999999999</v>
      </c>
      <c r="K52" s="324" t="s">
        <v>224</v>
      </c>
    </row>
    <row r="53" spans="1:11" ht="14.4" customHeight="1" thickBot="1" x14ac:dyDescent="0.35">
      <c r="A53" s="335" t="s">
        <v>265</v>
      </c>
      <c r="B53" s="313">
        <v>3.0575046823230001</v>
      </c>
      <c r="C53" s="313">
        <v>0</v>
      </c>
      <c r="D53" s="314">
        <v>-3.0575046823230001</v>
      </c>
      <c r="E53" s="315">
        <v>0</v>
      </c>
      <c r="F53" s="313">
        <v>0</v>
      </c>
      <c r="G53" s="314">
        <v>0</v>
      </c>
      <c r="H53" s="316">
        <v>1.4462999999999999</v>
      </c>
      <c r="I53" s="313">
        <v>1.4462999999999999</v>
      </c>
      <c r="J53" s="314">
        <v>1.4462999999999999</v>
      </c>
      <c r="K53" s="325" t="s">
        <v>224</v>
      </c>
    </row>
    <row r="54" spans="1:11" ht="14.4" customHeight="1" thickBot="1" x14ac:dyDescent="0.35">
      <c r="A54" s="332" t="s">
        <v>266</v>
      </c>
      <c r="B54" s="313">
        <v>0</v>
      </c>
      <c r="C54" s="313">
        <v>46.728789999999996</v>
      </c>
      <c r="D54" s="314">
        <v>46.728789999999996</v>
      </c>
      <c r="E54" s="323" t="s">
        <v>224</v>
      </c>
      <c r="F54" s="313">
        <v>0</v>
      </c>
      <c r="G54" s="314">
        <v>0</v>
      </c>
      <c r="H54" s="316">
        <v>0</v>
      </c>
      <c r="I54" s="313">
        <v>0</v>
      </c>
      <c r="J54" s="314">
        <v>0</v>
      </c>
      <c r="K54" s="317">
        <v>0</v>
      </c>
    </row>
    <row r="55" spans="1:11" ht="14.4" customHeight="1" thickBot="1" x14ac:dyDescent="0.35">
      <c r="A55" s="337" t="s">
        <v>267</v>
      </c>
      <c r="B55" s="318">
        <v>0</v>
      </c>
      <c r="C55" s="318">
        <v>46.728789999999996</v>
      </c>
      <c r="D55" s="319">
        <v>46.728789999999996</v>
      </c>
      <c r="E55" s="326" t="s">
        <v>224</v>
      </c>
      <c r="F55" s="318">
        <v>0</v>
      </c>
      <c r="G55" s="319">
        <v>0</v>
      </c>
      <c r="H55" s="321">
        <v>0</v>
      </c>
      <c r="I55" s="318">
        <v>0</v>
      </c>
      <c r="J55" s="319">
        <v>0</v>
      </c>
      <c r="K55" s="322">
        <v>0</v>
      </c>
    </row>
    <row r="56" spans="1:11" ht="14.4" customHeight="1" thickBot="1" x14ac:dyDescent="0.35">
      <c r="A56" s="334" t="s">
        <v>268</v>
      </c>
      <c r="B56" s="318">
        <v>0</v>
      </c>
      <c r="C56" s="318">
        <v>46.728789999999996</v>
      </c>
      <c r="D56" s="319">
        <v>46.728789999999996</v>
      </c>
      <c r="E56" s="326" t="s">
        <v>224</v>
      </c>
      <c r="F56" s="318">
        <v>0</v>
      </c>
      <c r="G56" s="319">
        <v>0</v>
      </c>
      <c r="H56" s="321">
        <v>0</v>
      </c>
      <c r="I56" s="318">
        <v>0</v>
      </c>
      <c r="J56" s="319">
        <v>0</v>
      </c>
      <c r="K56" s="322">
        <v>0</v>
      </c>
    </row>
    <row r="57" spans="1:11" ht="14.4" customHeight="1" thickBot="1" x14ac:dyDescent="0.35">
      <c r="A57" s="335" t="s">
        <v>269</v>
      </c>
      <c r="B57" s="313">
        <v>0</v>
      </c>
      <c r="C57" s="313">
        <v>46.728789999999996</v>
      </c>
      <c r="D57" s="314">
        <v>46.728789999999996</v>
      </c>
      <c r="E57" s="323" t="s">
        <v>224</v>
      </c>
      <c r="F57" s="313">
        <v>0</v>
      </c>
      <c r="G57" s="314">
        <v>0</v>
      </c>
      <c r="H57" s="316">
        <v>0</v>
      </c>
      <c r="I57" s="313">
        <v>0</v>
      </c>
      <c r="J57" s="314">
        <v>0</v>
      </c>
      <c r="K57" s="317">
        <v>0</v>
      </c>
    </row>
    <row r="58" spans="1:11" ht="14.4" customHeight="1" thickBot="1" x14ac:dyDescent="0.35">
      <c r="A58" s="331" t="s">
        <v>270</v>
      </c>
      <c r="B58" s="313">
        <v>367</v>
      </c>
      <c r="C58" s="313">
        <v>328.03831000000002</v>
      </c>
      <c r="D58" s="314">
        <v>-38.961689999999997</v>
      </c>
      <c r="E58" s="315">
        <v>0.89383735694800004</v>
      </c>
      <c r="F58" s="313">
        <v>290.77654384974602</v>
      </c>
      <c r="G58" s="314">
        <v>218.08240788731001</v>
      </c>
      <c r="H58" s="316">
        <v>25.26332</v>
      </c>
      <c r="I58" s="313">
        <v>206.38670999999999</v>
      </c>
      <c r="J58" s="314">
        <v>-11.695697887309001</v>
      </c>
      <c r="K58" s="317">
        <v>0.70977771200999995</v>
      </c>
    </row>
    <row r="59" spans="1:11" ht="14.4" customHeight="1" thickBot="1" x14ac:dyDescent="0.35">
      <c r="A59" s="336" t="s">
        <v>271</v>
      </c>
      <c r="B59" s="318">
        <v>367</v>
      </c>
      <c r="C59" s="318">
        <v>328.03831000000002</v>
      </c>
      <c r="D59" s="319">
        <v>-38.961689999999997</v>
      </c>
      <c r="E59" s="320">
        <v>0.89383735694800004</v>
      </c>
      <c r="F59" s="318">
        <v>290.77654384974602</v>
      </c>
      <c r="G59" s="319">
        <v>218.08240788731001</v>
      </c>
      <c r="H59" s="321">
        <v>25.26332</v>
      </c>
      <c r="I59" s="318">
        <v>206.38670999999999</v>
      </c>
      <c r="J59" s="319">
        <v>-11.695697887309001</v>
      </c>
      <c r="K59" s="322">
        <v>0.70977771200999995</v>
      </c>
    </row>
    <row r="60" spans="1:11" ht="14.4" customHeight="1" thickBot="1" x14ac:dyDescent="0.35">
      <c r="A60" s="337" t="s">
        <v>30</v>
      </c>
      <c r="B60" s="318">
        <v>367</v>
      </c>
      <c r="C60" s="318">
        <v>328.03831000000002</v>
      </c>
      <c r="D60" s="319">
        <v>-38.961689999999997</v>
      </c>
      <c r="E60" s="320">
        <v>0.89383735694800004</v>
      </c>
      <c r="F60" s="318">
        <v>290.77654384974602</v>
      </c>
      <c r="G60" s="319">
        <v>218.08240788731001</v>
      </c>
      <c r="H60" s="321">
        <v>25.26332</v>
      </c>
      <c r="I60" s="318">
        <v>206.38670999999999</v>
      </c>
      <c r="J60" s="319">
        <v>-11.695697887309001</v>
      </c>
      <c r="K60" s="322">
        <v>0.70977771200999995</v>
      </c>
    </row>
    <row r="61" spans="1:11" ht="14.4" customHeight="1" thickBot="1" x14ac:dyDescent="0.35">
      <c r="A61" s="334" t="s">
        <v>272</v>
      </c>
      <c r="B61" s="318">
        <v>179</v>
      </c>
      <c r="C61" s="318">
        <v>157.04347999999999</v>
      </c>
      <c r="D61" s="319">
        <v>-21.956520000000001</v>
      </c>
      <c r="E61" s="320">
        <v>0.87733787709400002</v>
      </c>
      <c r="F61" s="318">
        <v>125</v>
      </c>
      <c r="G61" s="319">
        <v>93.75</v>
      </c>
      <c r="H61" s="321">
        <v>9.2926900000000003</v>
      </c>
      <c r="I61" s="318">
        <v>79.530919999999995</v>
      </c>
      <c r="J61" s="319">
        <v>-14.219079999999</v>
      </c>
      <c r="K61" s="322">
        <v>0.63624736000000004</v>
      </c>
    </row>
    <row r="62" spans="1:11" ht="14.4" customHeight="1" thickBot="1" x14ac:dyDescent="0.35">
      <c r="A62" s="335" t="s">
        <v>273</v>
      </c>
      <c r="B62" s="313">
        <v>178</v>
      </c>
      <c r="C62" s="313">
        <v>155.70818</v>
      </c>
      <c r="D62" s="314">
        <v>-22.291820000000001</v>
      </c>
      <c r="E62" s="315">
        <v>0.87476505617900002</v>
      </c>
      <c r="F62" s="313">
        <v>125</v>
      </c>
      <c r="G62" s="314">
        <v>93.75</v>
      </c>
      <c r="H62" s="316">
        <v>9.2926900000000003</v>
      </c>
      <c r="I62" s="313">
        <v>79.530919999999995</v>
      </c>
      <c r="J62" s="314">
        <v>-14.219079999999</v>
      </c>
      <c r="K62" s="317">
        <v>0.63624736000000004</v>
      </c>
    </row>
    <row r="63" spans="1:11" ht="14.4" customHeight="1" thickBot="1" x14ac:dyDescent="0.35">
      <c r="A63" s="335" t="s">
        <v>274</v>
      </c>
      <c r="B63" s="313">
        <v>1</v>
      </c>
      <c r="C63" s="313">
        <v>1.3352999999999999</v>
      </c>
      <c r="D63" s="314">
        <v>0.33529999999900001</v>
      </c>
      <c r="E63" s="315">
        <v>1.3352999999999999</v>
      </c>
      <c r="F63" s="313">
        <v>0</v>
      </c>
      <c r="G63" s="314">
        <v>0</v>
      </c>
      <c r="H63" s="316">
        <v>0</v>
      </c>
      <c r="I63" s="313">
        <v>0</v>
      </c>
      <c r="J63" s="314">
        <v>0</v>
      </c>
      <c r="K63" s="325" t="s">
        <v>217</v>
      </c>
    </row>
    <row r="64" spans="1:11" ht="14.4" customHeight="1" thickBot="1" x14ac:dyDescent="0.35">
      <c r="A64" s="334" t="s">
        <v>275</v>
      </c>
      <c r="B64" s="318">
        <v>188</v>
      </c>
      <c r="C64" s="318">
        <v>170.99483000000001</v>
      </c>
      <c r="D64" s="319">
        <v>-17.00517</v>
      </c>
      <c r="E64" s="320">
        <v>0.90954696808500002</v>
      </c>
      <c r="F64" s="318">
        <v>165.77654384974599</v>
      </c>
      <c r="G64" s="319">
        <v>124.33240788731</v>
      </c>
      <c r="H64" s="321">
        <v>15.97063</v>
      </c>
      <c r="I64" s="318">
        <v>126.85579</v>
      </c>
      <c r="J64" s="319">
        <v>2.5233821126899998</v>
      </c>
      <c r="K64" s="322">
        <v>0.76522158716800004</v>
      </c>
    </row>
    <row r="65" spans="1:11" ht="14.4" customHeight="1" thickBot="1" x14ac:dyDescent="0.35">
      <c r="A65" s="335" t="s">
        <v>276</v>
      </c>
      <c r="B65" s="313">
        <v>188</v>
      </c>
      <c r="C65" s="313">
        <v>170.99483000000001</v>
      </c>
      <c r="D65" s="314">
        <v>-17.00517</v>
      </c>
      <c r="E65" s="315">
        <v>0.90954696808500002</v>
      </c>
      <c r="F65" s="313">
        <v>165.77654384974599</v>
      </c>
      <c r="G65" s="314">
        <v>124.33240788731</v>
      </c>
      <c r="H65" s="316">
        <v>15.97063</v>
      </c>
      <c r="I65" s="313">
        <v>126.85579</v>
      </c>
      <c r="J65" s="314">
        <v>2.5233821126899998</v>
      </c>
      <c r="K65" s="317">
        <v>0.76522158716800004</v>
      </c>
    </row>
    <row r="66" spans="1:11" ht="14.4" customHeight="1" thickBot="1" x14ac:dyDescent="0.35">
      <c r="A66" s="338"/>
      <c r="B66" s="313">
        <v>-2033.9042921950099</v>
      </c>
      <c r="C66" s="313">
        <v>-1777.4667300000001</v>
      </c>
      <c r="D66" s="314">
        <v>256.43756219501199</v>
      </c>
      <c r="E66" s="315">
        <v>0.87391856972799997</v>
      </c>
      <c r="F66" s="313">
        <v>-1944.63318608945</v>
      </c>
      <c r="G66" s="314">
        <v>-1458.47488956709</v>
      </c>
      <c r="H66" s="316">
        <v>-165.60676000000001</v>
      </c>
      <c r="I66" s="313">
        <v>-1382.9110900000001</v>
      </c>
      <c r="J66" s="314">
        <v>75.563799567087003</v>
      </c>
      <c r="K66" s="317">
        <v>0.71114238916200001</v>
      </c>
    </row>
    <row r="67" spans="1:11" ht="14.4" customHeight="1" thickBot="1" x14ac:dyDescent="0.35">
      <c r="A67" s="339" t="s">
        <v>42</v>
      </c>
      <c r="B67" s="327">
        <v>-2033.9042921950099</v>
      </c>
      <c r="C67" s="327">
        <v>-1777.4667300000001</v>
      </c>
      <c r="D67" s="328">
        <v>256.43756219501199</v>
      </c>
      <c r="E67" s="329">
        <v>-0.40818107954299998</v>
      </c>
      <c r="F67" s="327">
        <v>-1944.63318608945</v>
      </c>
      <c r="G67" s="328">
        <v>-1458.47488956709</v>
      </c>
      <c r="H67" s="327">
        <v>-165.60676000000001</v>
      </c>
      <c r="I67" s="327">
        <v>-1382.9110900000001</v>
      </c>
      <c r="J67" s="328">
        <v>75.563799567087003</v>
      </c>
      <c r="K67" s="330">
        <v>0.71114238916200001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1" width="13.109375" hidden="1" customWidth="1"/>
    <col min="22" max="22" width="13.109375" customWidth="1"/>
    <col min="23" max="33" width="13.109375" hidden="1" customWidth="1"/>
    <col min="34" max="34" width="13.109375" customWidth="1"/>
  </cols>
  <sheetData>
    <row r="1" spans="1:35" ht="18.600000000000001" thickBot="1" x14ac:dyDescent="0.4">
      <c r="A1" s="289" t="s">
        <v>82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</row>
    <row r="2" spans="1:35" ht="15" thickBot="1" x14ac:dyDescent="0.35">
      <c r="A2" s="191" t="s">
        <v>216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</row>
    <row r="3" spans="1:35" x14ac:dyDescent="0.3">
      <c r="A3" s="210" t="s">
        <v>151</v>
      </c>
      <c r="B3" s="290" t="s">
        <v>132</v>
      </c>
      <c r="C3" s="193">
        <v>0</v>
      </c>
      <c r="D3" s="194">
        <v>101</v>
      </c>
      <c r="E3" s="194">
        <v>102</v>
      </c>
      <c r="F3" s="213">
        <v>305</v>
      </c>
      <c r="G3" s="213">
        <v>306</v>
      </c>
      <c r="H3" s="213">
        <v>407</v>
      </c>
      <c r="I3" s="213">
        <v>408</v>
      </c>
      <c r="J3" s="213">
        <v>409</v>
      </c>
      <c r="K3" s="213">
        <v>410</v>
      </c>
      <c r="L3" s="213">
        <v>415</v>
      </c>
      <c r="M3" s="213">
        <v>416</v>
      </c>
      <c r="N3" s="213">
        <v>418</v>
      </c>
      <c r="O3" s="213">
        <v>419</v>
      </c>
      <c r="P3" s="213">
        <v>420</v>
      </c>
      <c r="Q3" s="213">
        <v>421</v>
      </c>
      <c r="R3" s="213">
        <v>522</v>
      </c>
      <c r="S3" s="213">
        <v>523</v>
      </c>
      <c r="T3" s="213">
        <v>524</v>
      </c>
      <c r="U3" s="213">
        <v>525</v>
      </c>
      <c r="V3" s="213">
        <v>526</v>
      </c>
      <c r="W3" s="213">
        <v>527</v>
      </c>
      <c r="X3" s="213">
        <v>528</v>
      </c>
      <c r="Y3" s="213">
        <v>629</v>
      </c>
      <c r="Z3" s="213">
        <v>630</v>
      </c>
      <c r="AA3" s="213">
        <v>636</v>
      </c>
      <c r="AB3" s="213">
        <v>637</v>
      </c>
      <c r="AC3" s="213">
        <v>640</v>
      </c>
      <c r="AD3" s="213">
        <v>642</v>
      </c>
      <c r="AE3" s="213">
        <v>743</v>
      </c>
      <c r="AF3" s="194">
        <v>745</v>
      </c>
      <c r="AG3" s="194">
        <v>746</v>
      </c>
      <c r="AH3" s="349">
        <v>930</v>
      </c>
      <c r="AI3" s="365"/>
    </row>
    <row r="4" spans="1:35" ht="36.6" outlineLevel="1" thickBot="1" x14ac:dyDescent="0.35">
      <c r="A4" s="211">
        <v>2015</v>
      </c>
      <c r="B4" s="291"/>
      <c r="C4" s="195" t="s">
        <v>133</v>
      </c>
      <c r="D4" s="196" t="s">
        <v>134</v>
      </c>
      <c r="E4" s="196" t="s">
        <v>135</v>
      </c>
      <c r="F4" s="214" t="s">
        <v>163</v>
      </c>
      <c r="G4" s="214" t="s">
        <v>164</v>
      </c>
      <c r="H4" s="214" t="s">
        <v>214</v>
      </c>
      <c r="I4" s="214" t="s">
        <v>165</v>
      </c>
      <c r="J4" s="214" t="s">
        <v>166</v>
      </c>
      <c r="K4" s="214" t="s">
        <v>167</v>
      </c>
      <c r="L4" s="214" t="s">
        <v>168</v>
      </c>
      <c r="M4" s="214" t="s">
        <v>169</v>
      </c>
      <c r="N4" s="214" t="s">
        <v>170</v>
      </c>
      <c r="O4" s="214" t="s">
        <v>171</v>
      </c>
      <c r="P4" s="214" t="s">
        <v>172</v>
      </c>
      <c r="Q4" s="214" t="s">
        <v>173</v>
      </c>
      <c r="R4" s="214" t="s">
        <v>174</v>
      </c>
      <c r="S4" s="214" t="s">
        <v>175</v>
      </c>
      <c r="T4" s="214" t="s">
        <v>176</v>
      </c>
      <c r="U4" s="214" t="s">
        <v>177</v>
      </c>
      <c r="V4" s="214" t="s">
        <v>178</v>
      </c>
      <c r="W4" s="214" t="s">
        <v>179</v>
      </c>
      <c r="X4" s="214" t="s">
        <v>188</v>
      </c>
      <c r="Y4" s="214" t="s">
        <v>180</v>
      </c>
      <c r="Z4" s="214" t="s">
        <v>189</v>
      </c>
      <c r="AA4" s="214" t="s">
        <v>181</v>
      </c>
      <c r="AB4" s="214" t="s">
        <v>182</v>
      </c>
      <c r="AC4" s="214" t="s">
        <v>183</v>
      </c>
      <c r="AD4" s="214" t="s">
        <v>184</v>
      </c>
      <c r="AE4" s="214" t="s">
        <v>185</v>
      </c>
      <c r="AF4" s="196" t="s">
        <v>186</v>
      </c>
      <c r="AG4" s="196" t="s">
        <v>187</v>
      </c>
      <c r="AH4" s="350" t="s">
        <v>153</v>
      </c>
      <c r="AI4" s="365"/>
    </row>
    <row r="5" spans="1:35" x14ac:dyDescent="0.3">
      <c r="A5" s="197" t="s">
        <v>136</v>
      </c>
      <c r="B5" s="233"/>
      <c r="C5" s="234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351"/>
      <c r="AI5" s="365"/>
    </row>
    <row r="6" spans="1:35" ht="15" collapsed="1" thickBot="1" x14ac:dyDescent="0.35">
      <c r="A6" s="198" t="s">
        <v>49</v>
      </c>
      <c r="B6" s="236">
        <f xml:space="preserve">
TRUNC(IF($A$4&lt;=12,SUMIFS('ON Data'!F:F,'ON Data'!$D:$D,$A$4,'ON Data'!$E:$E,1),SUMIFS('ON Data'!F:F,'ON Data'!$E:$E,1)/'ON Data'!$D$3),1)</f>
        <v>2.7</v>
      </c>
      <c r="C6" s="237">
        <f xml:space="preserve">
TRUNC(IF($A$4&lt;=12,SUMIFS('ON Data'!G:G,'ON Data'!$D:$D,$A$4,'ON Data'!$E:$E,1),SUMIFS('ON Data'!G:G,'ON Data'!$E:$E,1)/'ON Data'!$D$3),1)</f>
        <v>0</v>
      </c>
      <c r="D6" s="238">
        <f xml:space="preserve">
TRUNC(IF($A$4&lt;=12,SUMIFS('ON Data'!H:H,'ON Data'!$D:$D,$A$4,'ON Data'!$E:$E,1),SUMIFS('ON Data'!H:H,'ON Data'!$E:$E,1)/'ON Data'!$D$3),1)</f>
        <v>2</v>
      </c>
      <c r="E6" s="238">
        <f xml:space="preserve">
TRUNC(IF($A$4&lt;=12,SUMIFS('ON Data'!I:I,'ON Data'!$D:$D,$A$4,'ON Data'!$E:$E,1),SUMIFS('ON Data'!I:I,'ON Data'!$E:$E,1)/'ON Data'!$D$3),1)</f>
        <v>0</v>
      </c>
      <c r="F6" s="238">
        <f xml:space="preserve">
TRUNC(IF($A$4&lt;=12,SUMIFS('ON Data'!K:K,'ON Data'!$D:$D,$A$4,'ON Data'!$E:$E,1),SUMIFS('ON Data'!K:K,'ON Data'!$E:$E,1)/'ON Data'!$D$3),1)</f>
        <v>0</v>
      </c>
      <c r="G6" s="238">
        <f xml:space="preserve">
TRUNC(IF($A$4&lt;=12,SUMIFS('ON Data'!L:L,'ON Data'!$D:$D,$A$4,'ON Data'!$E:$E,1),SUMIFS('ON Data'!L:L,'ON Data'!$E:$E,1)/'ON Data'!$D$3),1)</f>
        <v>0</v>
      </c>
      <c r="H6" s="238">
        <f xml:space="preserve">
TRUNC(IF($A$4&lt;=12,SUMIFS('ON Data'!M:M,'ON Data'!$D:$D,$A$4,'ON Data'!$E:$E,1),SUMIFS('ON Data'!M:M,'ON Data'!$E:$E,1)/'ON Data'!$D$3),1)</f>
        <v>0</v>
      </c>
      <c r="I6" s="238">
        <f xml:space="preserve">
TRUNC(IF($A$4&lt;=12,SUMIFS('ON Data'!N:N,'ON Data'!$D:$D,$A$4,'ON Data'!$E:$E,1),SUMIFS('ON Data'!N:N,'ON Data'!$E:$E,1)/'ON Data'!$D$3),1)</f>
        <v>0</v>
      </c>
      <c r="J6" s="238">
        <f xml:space="preserve">
TRUNC(IF($A$4&lt;=12,SUMIFS('ON Data'!O:O,'ON Data'!$D:$D,$A$4,'ON Data'!$E:$E,1),SUMIFS('ON Data'!O:O,'ON Data'!$E:$E,1)/'ON Data'!$D$3),1)</f>
        <v>0</v>
      </c>
      <c r="K6" s="238">
        <f xml:space="preserve">
TRUNC(IF($A$4&lt;=12,SUMIFS('ON Data'!P:P,'ON Data'!$D:$D,$A$4,'ON Data'!$E:$E,1),SUMIFS('ON Data'!P:P,'ON Data'!$E:$E,1)/'ON Data'!$D$3),1)</f>
        <v>0</v>
      </c>
      <c r="L6" s="238">
        <f xml:space="preserve">
TRUNC(IF($A$4&lt;=12,SUMIFS('ON Data'!Q:Q,'ON Data'!$D:$D,$A$4,'ON Data'!$E:$E,1),SUMIFS('ON Data'!Q:Q,'ON Data'!$E:$E,1)/'ON Data'!$D$3),1)</f>
        <v>0</v>
      </c>
      <c r="M6" s="238">
        <f xml:space="preserve">
TRUNC(IF($A$4&lt;=12,SUMIFS('ON Data'!R:R,'ON Data'!$D:$D,$A$4,'ON Data'!$E:$E,1),SUMIFS('ON Data'!R:R,'ON Data'!$E:$E,1)/'ON Data'!$D$3),1)</f>
        <v>0</v>
      </c>
      <c r="N6" s="238">
        <f xml:space="preserve">
TRUNC(IF($A$4&lt;=12,SUMIFS('ON Data'!S:S,'ON Data'!$D:$D,$A$4,'ON Data'!$E:$E,1),SUMIFS('ON Data'!S:S,'ON Data'!$E:$E,1)/'ON Data'!$D$3),1)</f>
        <v>0</v>
      </c>
      <c r="O6" s="238">
        <f xml:space="preserve">
TRUNC(IF($A$4&lt;=12,SUMIFS('ON Data'!T:T,'ON Data'!$D:$D,$A$4,'ON Data'!$E:$E,1),SUMIFS('ON Data'!T:T,'ON Data'!$E:$E,1)/'ON Data'!$D$3),1)</f>
        <v>0</v>
      </c>
      <c r="P6" s="238">
        <f xml:space="preserve">
TRUNC(IF($A$4&lt;=12,SUMIFS('ON Data'!U:U,'ON Data'!$D:$D,$A$4,'ON Data'!$E:$E,1),SUMIFS('ON Data'!U:U,'ON Data'!$E:$E,1)/'ON Data'!$D$3),1)</f>
        <v>0</v>
      </c>
      <c r="Q6" s="238">
        <f xml:space="preserve">
TRUNC(IF($A$4&lt;=12,SUMIFS('ON Data'!V:V,'ON Data'!$D:$D,$A$4,'ON Data'!$E:$E,1),SUMIFS('ON Data'!V:V,'ON Data'!$E:$E,1)/'ON Data'!$D$3),1)</f>
        <v>0</v>
      </c>
      <c r="R6" s="238">
        <f xml:space="preserve">
TRUNC(IF($A$4&lt;=12,SUMIFS('ON Data'!W:W,'ON Data'!$D:$D,$A$4,'ON Data'!$E:$E,1),SUMIFS('ON Data'!W:W,'ON Data'!$E:$E,1)/'ON Data'!$D$3),1)</f>
        <v>0</v>
      </c>
      <c r="S6" s="238">
        <f xml:space="preserve">
TRUNC(IF($A$4&lt;=12,SUMIFS('ON Data'!X:X,'ON Data'!$D:$D,$A$4,'ON Data'!$E:$E,1),SUMIFS('ON Data'!X:X,'ON Data'!$E:$E,1)/'ON Data'!$D$3),1)</f>
        <v>0</v>
      </c>
      <c r="T6" s="238">
        <f xml:space="preserve">
TRUNC(IF($A$4&lt;=12,SUMIFS('ON Data'!Y:Y,'ON Data'!$D:$D,$A$4,'ON Data'!$E:$E,1),SUMIFS('ON Data'!Y:Y,'ON Data'!$E:$E,1)/'ON Data'!$D$3),1)</f>
        <v>0</v>
      </c>
      <c r="U6" s="238">
        <f xml:space="preserve">
TRUNC(IF($A$4&lt;=12,SUMIFS('ON Data'!Z:Z,'ON Data'!$D:$D,$A$4,'ON Data'!$E:$E,1),SUMIFS('ON Data'!Z:Z,'ON Data'!$E:$E,1)/'ON Data'!$D$3),1)</f>
        <v>0</v>
      </c>
      <c r="V6" s="238">
        <f xml:space="preserve">
TRUNC(IF($A$4&lt;=12,SUMIFS('ON Data'!AA:AA,'ON Data'!$D:$D,$A$4,'ON Data'!$E:$E,1),SUMIFS('ON Data'!AA:AA,'ON Data'!$E:$E,1)/'ON Data'!$D$3),1)</f>
        <v>0</v>
      </c>
      <c r="W6" s="238">
        <f xml:space="preserve">
TRUNC(IF($A$4&lt;=12,SUMIFS('ON Data'!AB:AB,'ON Data'!$D:$D,$A$4,'ON Data'!$E:$E,1),SUMIFS('ON Data'!AB:AB,'ON Data'!$E:$E,1)/'ON Data'!$D$3),1)</f>
        <v>0</v>
      </c>
      <c r="X6" s="238">
        <f xml:space="preserve">
TRUNC(IF($A$4&lt;=12,SUMIFS('ON Data'!AC:AC,'ON Data'!$D:$D,$A$4,'ON Data'!$E:$E,1),SUMIFS('ON Data'!AC:AC,'ON Data'!$E:$E,1)/'ON Data'!$D$3),1)</f>
        <v>0</v>
      </c>
      <c r="Y6" s="238">
        <f xml:space="preserve">
TRUNC(IF($A$4&lt;=12,SUMIFS('ON Data'!AD:AD,'ON Data'!$D:$D,$A$4,'ON Data'!$E:$E,1),SUMIFS('ON Data'!AD:AD,'ON Data'!$E:$E,1)/'ON Data'!$D$3),1)</f>
        <v>0</v>
      </c>
      <c r="Z6" s="238">
        <f xml:space="preserve">
TRUNC(IF($A$4&lt;=12,SUMIFS('ON Data'!AE:AE,'ON Data'!$D:$D,$A$4,'ON Data'!$E:$E,1),SUMIFS('ON Data'!AE:AE,'ON Data'!$E:$E,1)/'ON Data'!$D$3),1)</f>
        <v>0</v>
      </c>
      <c r="AA6" s="238">
        <f xml:space="preserve">
TRUNC(IF($A$4&lt;=12,SUMIFS('ON Data'!AF:AF,'ON Data'!$D:$D,$A$4,'ON Data'!$E:$E,1),SUMIFS('ON Data'!AF:AF,'ON Data'!$E:$E,1)/'ON Data'!$D$3),1)</f>
        <v>0</v>
      </c>
      <c r="AB6" s="238">
        <f xml:space="preserve">
TRUNC(IF($A$4&lt;=12,SUMIFS('ON Data'!AG:AG,'ON Data'!$D:$D,$A$4,'ON Data'!$E:$E,1),SUMIFS('ON Data'!AG:AG,'ON Data'!$E:$E,1)/'ON Data'!$D$3),1)</f>
        <v>0</v>
      </c>
      <c r="AC6" s="238">
        <f xml:space="preserve">
TRUNC(IF($A$4&lt;=12,SUMIFS('ON Data'!AH:AH,'ON Data'!$D:$D,$A$4,'ON Data'!$E:$E,1),SUMIFS('ON Data'!AH:AH,'ON Data'!$E:$E,1)/'ON Data'!$D$3),1)</f>
        <v>0</v>
      </c>
      <c r="AD6" s="238">
        <f xml:space="preserve">
TRUNC(IF($A$4&lt;=12,SUMIFS('ON Data'!AI:AI,'ON Data'!$D:$D,$A$4,'ON Data'!$E:$E,1),SUMIFS('ON Data'!AI:AI,'ON Data'!$E:$E,1)/'ON Data'!$D$3),1)</f>
        <v>0</v>
      </c>
      <c r="AE6" s="238">
        <f xml:space="preserve">
TRUNC(IF($A$4&lt;=12,SUMIFS('ON Data'!AJ:AJ,'ON Data'!$D:$D,$A$4,'ON Data'!$E:$E,1),SUMIFS('ON Data'!AJ:AJ,'ON Data'!$E:$E,1)/'ON Data'!$D$3),1)</f>
        <v>0</v>
      </c>
      <c r="AF6" s="238">
        <f xml:space="preserve">
TRUNC(IF($A$4&lt;=12,SUMIFS('ON Data'!AK:AK,'ON Data'!$D:$D,$A$4,'ON Data'!$E:$E,1),SUMIFS('ON Data'!AK:AK,'ON Data'!$E:$E,1)/'ON Data'!$D$3),1)</f>
        <v>0</v>
      </c>
      <c r="AG6" s="238">
        <f xml:space="preserve">
TRUNC(IF($A$4&lt;=12,SUMIFS('ON Data'!AL:AL,'ON Data'!$D:$D,$A$4,'ON Data'!$E:$E,1),SUMIFS('ON Data'!AL:AL,'ON Data'!$E:$E,1)/'ON Data'!$D$3),1)</f>
        <v>0</v>
      </c>
      <c r="AH6" s="352">
        <f xml:space="preserve">
TRUNC(IF($A$4&lt;=12,SUMIFS('ON Data'!AN:AN,'ON Data'!$D:$D,$A$4,'ON Data'!$E:$E,1),SUMIFS('ON Data'!AN:AN,'ON Data'!$E:$E,1)/'ON Data'!$D$3),1)</f>
        <v>0.6</v>
      </c>
      <c r="AI6" s="365"/>
    </row>
    <row r="7" spans="1:35" ht="15" hidden="1" outlineLevel="1" thickBot="1" x14ac:dyDescent="0.35">
      <c r="A7" s="198" t="s">
        <v>83</v>
      </c>
      <c r="B7" s="236"/>
      <c r="C7" s="239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352"/>
      <c r="AI7" s="365"/>
    </row>
    <row r="8" spans="1:35" ht="15" hidden="1" outlineLevel="1" thickBot="1" x14ac:dyDescent="0.35">
      <c r="A8" s="198" t="s">
        <v>51</v>
      </c>
      <c r="B8" s="236"/>
      <c r="C8" s="239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352"/>
      <c r="AI8" s="365"/>
    </row>
    <row r="9" spans="1:35" ht="15" hidden="1" outlineLevel="1" thickBot="1" x14ac:dyDescent="0.35">
      <c r="A9" s="199" t="s">
        <v>44</v>
      </c>
      <c r="B9" s="240"/>
      <c r="C9" s="241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353"/>
      <c r="AI9" s="365"/>
    </row>
    <row r="10" spans="1:35" x14ac:dyDescent="0.3">
      <c r="A10" s="200" t="s">
        <v>137</v>
      </c>
      <c r="B10" s="215"/>
      <c r="C10" s="216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354"/>
      <c r="AI10" s="365"/>
    </row>
    <row r="11" spans="1:35" x14ac:dyDescent="0.3">
      <c r="A11" s="201" t="s">
        <v>138</v>
      </c>
      <c r="B11" s="218">
        <f xml:space="preserve">
IF($A$4&lt;=12,SUMIFS('ON Data'!F:F,'ON Data'!$D:$D,$A$4,'ON Data'!$E:$E,2),SUMIFS('ON Data'!F:F,'ON Data'!$E:$E,2))</f>
        <v>3853.6</v>
      </c>
      <c r="C11" s="219">
        <f xml:space="preserve">
IF($A$4&lt;=12,SUMIFS('ON Data'!G:G,'ON Data'!$D:$D,$A$4,'ON Data'!$E:$E,2),SUMIFS('ON Data'!G:G,'ON Data'!$E:$E,2))</f>
        <v>0</v>
      </c>
      <c r="D11" s="220">
        <f xml:space="preserve">
IF($A$4&lt;=12,SUMIFS('ON Data'!H:H,'ON Data'!$D:$D,$A$4,'ON Data'!$E:$E,2),SUMIFS('ON Data'!H:H,'ON Data'!$E:$E,2))</f>
        <v>2940.8</v>
      </c>
      <c r="E11" s="220">
        <f xml:space="preserve">
IF($A$4&lt;=12,SUMIFS('ON Data'!I:I,'ON Data'!$D:$D,$A$4,'ON Data'!$E:$E,2),SUMIFS('ON Data'!I:I,'ON Data'!$E:$E,2))</f>
        <v>0</v>
      </c>
      <c r="F11" s="220">
        <f xml:space="preserve">
IF($A$4&lt;=12,SUMIFS('ON Data'!K:K,'ON Data'!$D:$D,$A$4,'ON Data'!$E:$E,2),SUMIFS('ON Data'!K:K,'ON Data'!$E:$E,2))</f>
        <v>0</v>
      </c>
      <c r="G11" s="220">
        <f xml:space="preserve">
IF($A$4&lt;=12,SUMIFS('ON Data'!L:L,'ON Data'!$D:$D,$A$4,'ON Data'!$E:$E,2),SUMIFS('ON Data'!L:L,'ON Data'!$E:$E,2))</f>
        <v>0</v>
      </c>
      <c r="H11" s="220">
        <f xml:space="preserve">
IF($A$4&lt;=12,SUMIFS('ON Data'!M:M,'ON Data'!$D:$D,$A$4,'ON Data'!$E:$E,2),SUMIFS('ON Data'!M:M,'ON Data'!$E:$E,2))</f>
        <v>0</v>
      </c>
      <c r="I11" s="220">
        <f xml:space="preserve">
IF($A$4&lt;=12,SUMIFS('ON Data'!N:N,'ON Data'!$D:$D,$A$4,'ON Data'!$E:$E,2),SUMIFS('ON Data'!N:N,'ON Data'!$E:$E,2))</f>
        <v>0</v>
      </c>
      <c r="J11" s="220">
        <f xml:space="preserve">
IF($A$4&lt;=12,SUMIFS('ON Data'!O:O,'ON Data'!$D:$D,$A$4,'ON Data'!$E:$E,2),SUMIFS('ON Data'!O:O,'ON Data'!$E:$E,2))</f>
        <v>0</v>
      </c>
      <c r="K11" s="220">
        <f xml:space="preserve">
IF($A$4&lt;=12,SUMIFS('ON Data'!P:P,'ON Data'!$D:$D,$A$4,'ON Data'!$E:$E,2),SUMIFS('ON Data'!P:P,'ON Data'!$E:$E,2))</f>
        <v>0</v>
      </c>
      <c r="L11" s="220">
        <f xml:space="preserve">
IF($A$4&lt;=12,SUMIFS('ON Data'!Q:Q,'ON Data'!$D:$D,$A$4,'ON Data'!$E:$E,2),SUMIFS('ON Data'!Q:Q,'ON Data'!$E:$E,2))</f>
        <v>0</v>
      </c>
      <c r="M11" s="220">
        <f xml:space="preserve">
IF($A$4&lt;=12,SUMIFS('ON Data'!R:R,'ON Data'!$D:$D,$A$4,'ON Data'!$E:$E,2),SUMIFS('ON Data'!R:R,'ON Data'!$E:$E,2))</f>
        <v>0</v>
      </c>
      <c r="N11" s="220">
        <f xml:space="preserve">
IF($A$4&lt;=12,SUMIFS('ON Data'!S:S,'ON Data'!$D:$D,$A$4,'ON Data'!$E:$E,2),SUMIFS('ON Data'!S:S,'ON Data'!$E:$E,2))</f>
        <v>0</v>
      </c>
      <c r="O11" s="220">
        <f xml:space="preserve">
IF($A$4&lt;=12,SUMIFS('ON Data'!T:T,'ON Data'!$D:$D,$A$4,'ON Data'!$E:$E,2),SUMIFS('ON Data'!T:T,'ON Data'!$E:$E,2))</f>
        <v>0</v>
      </c>
      <c r="P11" s="220">
        <f xml:space="preserve">
IF($A$4&lt;=12,SUMIFS('ON Data'!U:U,'ON Data'!$D:$D,$A$4,'ON Data'!$E:$E,2),SUMIFS('ON Data'!U:U,'ON Data'!$E:$E,2))</f>
        <v>0</v>
      </c>
      <c r="Q11" s="220">
        <f xml:space="preserve">
IF($A$4&lt;=12,SUMIFS('ON Data'!V:V,'ON Data'!$D:$D,$A$4,'ON Data'!$E:$E,2),SUMIFS('ON Data'!V:V,'ON Data'!$E:$E,2))</f>
        <v>0</v>
      </c>
      <c r="R11" s="220">
        <f xml:space="preserve">
IF($A$4&lt;=12,SUMIFS('ON Data'!W:W,'ON Data'!$D:$D,$A$4,'ON Data'!$E:$E,2),SUMIFS('ON Data'!W:W,'ON Data'!$E:$E,2))</f>
        <v>0</v>
      </c>
      <c r="S11" s="220">
        <f xml:space="preserve">
IF($A$4&lt;=12,SUMIFS('ON Data'!X:X,'ON Data'!$D:$D,$A$4,'ON Data'!$E:$E,2),SUMIFS('ON Data'!X:X,'ON Data'!$E:$E,2))</f>
        <v>0</v>
      </c>
      <c r="T11" s="220">
        <f xml:space="preserve">
IF($A$4&lt;=12,SUMIFS('ON Data'!Y:Y,'ON Data'!$D:$D,$A$4,'ON Data'!$E:$E,2),SUMIFS('ON Data'!Y:Y,'ON Data'!$E:$E,2))</f>
        <v>0</v>
      </c>
      <c r="U11" s="220">
        <f xml:space="preserve">
IF($A$4&lt;=12,SUMIFS('ON Data'!Z:Z,'ON Data'!$D:$D,$A$4,'ON Data'!$E:$E,2),SUMIFS('ON Data'!Z:Z,'ON Data'!$E:$E,2))</f>
        <v>0</v>
      </c>
      <c r="V11" s="220">
        <f xml:space="preserve">
IF($A$4&lt;=12,SUMIFS('ON Data'!AA:AA,'ON Data'!$D:$D,$A$4,'ON Data'!$E:$E,2),SUMIFS('ON Data'!AA:AA,'ON Data'!$E:$E,2))</f>
        <v>56</v>
      </c>
      <c r="W11" s="220">
        <f xml:space="preserve">
IF($A$4&lt;=12,SUMIFS('ON Data'!AB:AB,'ON Data'!$D:$D,$A$4,'ON Data'!$E:$E,2),SUMIFS('ON Data'!AB:AB,'ON Data'!$E:$E,2))</f>
        <v>0</v>
      </c>
      <c r="X11" s="220">
        <f xml:space="preserve">
IF($A$4&lt;=12,SUMIFS('ON Data'!AC:AC,'ON Data'!$D:$D,$A$4,'ON Data'!$E:$E,2),SUMIFS('ON Data'!AC:AC,'ON Data'!$E:$E,2))</f>
        <v>0</v>
      </c>
      <c r="Y11" s="220">
        <f xml:space="preserve">
IF($A$4&lt;=12,SUMIFS('ON Data'!AD:AD,'ON Data'!$D:$D,$A$4,'ON Data'!$E:$E,2),SUMIFS('ON Data'!AD:AD,'ON Data'!$E:$E,2))</f>
        <v>0</v>
      </c>
      <c r="Z11" s="220">
        <f xml:space="preserve">
IF($A$4&lt;=12,SUMIFS('ON Data'!AE:AE,'ON Data'!$D:$D,$A$4,'ON Data'!$E:$E,2),SUMIFS('ON Data'!AE:AE,'ON Data'!$E:$E,2))</f>
        <v>0</v>
      </c>
      <c r="AA11" s="220">
        <f xml:space="preserve">
IF($A$4&lt;=12,SUMIFS('ON Data'!AF:AF,'ON Data'!$D:$D,$A$4,'ON Data'!$E:$E,2),SUMIFS('ON Data'!AF:AF,'ON Data'!$E:$E,2))</f>
        <v>0</v>
      </c>
      <c r="AB11" s="220">
        <f xml:space="preserve">
IF($A$4&lt;=12,SUMIFS('ON Data'!AG:AG,'ON Data'!$D:$D,$A$4,'ON Data'!$E:$E,2),SUMIFS('ON Data'!AG:AG,'ON Data'!$E:$E,2))</f>
        <v>0</v>
      </c>
      <c r="AC11" s="220">
        <f xml:space="preserve">
IF($A$4&lt;=12,SUMIFS('ON Data'!AH:AH,'ON Data'!$D:$D,$A$4,'ON Data'!$E:$E,2),SUMIFS('ON Data'!AH:AH,'ON Data'!$E:$E,2))</f>
        <v>0</v>
      </c>
      <c r="AD11" s="220">
        <f xml:space="preserve">
IF($A$4&lt;=12,SUMIFS('ON Data'!AI:AI,'ON Data'!$D:$D,$A$4,'ON Data'!$E:$E,2),SUMIFS('ON Data'!AI:AI,'ON Data'!$E:$E,2))</f>
        <v>0</v>
      </c>
      <c r="AE11" s="220">
        <f xml:space="preserve">
IF($A$4&lt;=12,SUMIFS('ON Data'!AJ:AJ,'ON Data'!$D:$D,$A$4,'ON Data'!$E:$E,2),SUMIFS('ON Data'!AJ:AJ,'ON Data'!$E:$E,2))</f>
        <v>0</v>
      </c>
      <c r="AF11" s="220">
        <f xml:space="preserve">
IF($A$4&lt;=12,SUMIFS('ON Data'!AK:AK,'ON Data'!$D:$D,$A$4,'ON Data'!$E:$E,2),SUMIFS('ON Data'!AK:AK,'ON Data'!$E:$E,2))</f>
        <v>0</v>
      </c>
      <c r="AG11" s="220">
        <f xml:space="preserve">
IF($A$4&lt;=12,SUMIFS('ON Data'!AL:AL,'ON Data'!$D:$D,$A$4,'ON Data'!$E:$E,2),SUMIFS('ON Data'!AL:AL,'ON Data'!$E:$E,2))</f>
        <v>0</v>
      </c>
      <c r="AH11" s="355">
        <f xml:space="preserve">
IF($A$4&lt;=12,SUMIFS('ON Data'!AN:AN,'ON Data'!$D:$D,$A$4,'ON Data'!$E:$E,2),SUMIFS('ON Data'!AN:AN,'ON Data'!$E:$E,2))</f>
        <v>856.8</v>
      </c>
      <c r="AI11" s="365"/>
    </row>
    <row r="12" spans="1:35" x14ac:dyDescent="0.3">
      <c r="A12" s="201" t="s">
        <v>139</v>
      </c>
      <c r="B12" s="218">
        <f xml:space="preserve">
IF($A$4&lt;=12,SUMIFS('ON Data'!F:F,'ON Data'!$D:$D,$A$4,'ON Data'!$E:$E,3),SUMIFS('ON Data'!F:F,'ON Data'!$E:$E,3))</f>
        <v>0</v>
      </c>
      <c r="C12" s="219">
        <f xml:space="preserve">
IF($A$4&lt;=12,SUMIFS('ON Data'!G:G,'ON Data'!$D:$D,$A$4,'ON Data'!$E:$E,3),SUMIFS('ON Data'!G:G,'ON Data'!$E:$E,3))</f>
        <v>0</v>
      </c>
      <c r="D12" s="220">
        <f xml:space="preserve">
IF($A$4&lt;=12,SUMIFS('ON Data'!H:H,'ON Data'!$D:$D,$A$4,'ON Data'!$E:$E,3),SUMIFS('ON Data'!H:H,'ON Data'!$E:$E,3))</f>
        <v>0</v>
      </c>
      <c r="E12" s="220">
        <f xml:space="preserve">
IF($A$4&lt;=12,SUMIFS('ON Data'!I:I,'ON Data'!$D:$D,$A$4,'ON Data'!$E:$E,3),SUMIFS('ON Data'!I:I,'ON Data'!$E:$E,3))</f>
        <v>0</v>
      </c>
      <c r="F12" s="220">
        <f xml:space="preserve">
IF($A$4&lt;=12,SUMIFS('ON Data'!K:K,'ON Data'!$D:$D,$A$4,'ON Data'!$E:$E,3),SUMIFS('ON Data'!K:K,'ON Data'!$E:$E,3))</f>
        <v>0</v>
      </c>
      <c r="G12" s="220">
        <f xml:space="preserve">
IF($A$4&lt;=12,SUMIFS('ON Data'!L:L,'ON Data'!$D:$D,$A$4,'ON Data'!$E:$E,3),SUMIFS('ON Data'!L:L,'ON Data'!$E:$E,3))</f>
        <v>0</v>
      </c>
      <c r="H12" s="220">
        <f xml:space="preserve">
IF($A$4&lt;=12,SUMIFS('ON Data'!M:M,'ON Data'!$D:$D,$A$4,'ON Data'!$E:$E,3),SUMIFS('ON Data'!M:M,'ON Data'!$E:$E,3))</f>
        <v>0</v>
      </c>
      <c r="I12" s="220">
        <f xml:space="preserve">
IF($A$4&lt;=12,SUMIFS('ON Data'!N:N,'ON Data'!$D:$D,$A$4,'ON Data'!$E:$E,3),SUMIFS('ON Data'!N:N,'ON Data'!$E:$E,3))</f>
        <v>0</v>
      </c>
      <c r="J12" s="220">
        <f xml:space="preserve">
IF($A$4&lt;=12,SUMIFS('ON Data'!O:O,'ON Data'!$D:$D,$A$4,'ON Data'!$E:$E,3),SUMIFS('ON Data'!O:O,'ON Data'!$E:$E,3))</f>
        <v>0</v>
      </c>
      <c r="K12" s="220">
        <f xml:space="preserve">
IF($A$4&lt;=12,SUMIFS('ON Data'!P:P,'ON Data'!$D:$D,$A$4,'ON Data'!$E:$E,3),SUMIFS('ON Data'!P:P,'ON Data'!$E:$E,3))</f>
        <v>0</v>
      </c>
      <c r="L12" s="220">
        <f xml:space="preserve">
IF($A$4&lt;=12,SUMIFS('ON Data'!Q:Q,'ON Data'!$D:$D,$A$4,'ON Data'!$E:$E,3),SUMIFS('ON Data'!Q:Q,'ON Data'!$E:$E,3))</f>
        <v>0</v>
      </c>
      <c r="M12" s="220">
        <f xml:space="preserve">
IF($A$4&lt;=12,SUMIFS('ON Data'!R:R,'ON Data'!$D:$D,$A$4,'ON Data'!$E:$E,3),SUMIFS('ON Data'!R:R,'ON Data'!$E:$E,3))</f>
        <v>0</v>
      </c>
      <c r="N12" s="220">
        <f xml:space="preserve">
IF($A$4&lt;=12,SUMIFS('ON Data'!S:S,'ON Data'!$D:$D,$A$4,'ON Data'!$E:$E,3),SUMIFS('ON Data'!S:S,'ON Data'!$E:$E,3))</f>
        <v>0</v>
      </c>
      <c r="O12" s="220">
        <f xml:space="preserve">
IF($A$4&lt;=12,SUMIFS('ON Data'!T:T,'ON Data'!$D:$D,$A$4,'ON Data'!$E:$E,3),SUMIFS('ON Data'!T:T,'ON Data'!$E:$E,3))</f>
        <v>0</v>
      </c>
      <c r="P12" s="220">
        <f xml:space="preserve">
IF($A$4&lt;=12,SUMIFS('ON Data'!U:U,'ON Data'!$D:$D,$A$4,'ON Data'!$E:$E,3),SUMIFS('ON Data'!U:U,'ON Data'!$E:$E,3))</f>
        <v>0</v>
      </c>
      <c r="Q12" s="220">
        <f xml:space="preserve">
IF($A$4&lt;=12,SUMIFS('ON Data'!V:V,'ON Data'!$D:$D,$A$4,'ON Data'!$E:$E,3),SUMIFS('ON Data'!V:V,'ON Data'!$E:$E,3))</f>
        <v>0</v>
      </c>
      <c r="R12" s="220">
        <f xml:space="preserve">
IF($A$4&lt;=12,SUMIFS('ON Data'!W:W,'ON Data'!$D:$D,$A$4,'ON Data'!$E:$E,3),SUMIFS('ON Data'!W:W,'ON Data'!$E:$E,3))</f>
        <v>0</v>
      </c>
      <c r="S12" s="220">
        <f xml:space="preserve">
IF($A$4&lt;=12,SUMIFS('ON Data'!X:X,'ON Data'!$D:$D,$A$4,'ON Data'!$E:$E,3),SUMIFS('ON Data'!X:X,'ON Data'!$E:$E,3))</f>
        <v>0</v>
      </c>
      <c r="T12" s="220">
        <f xml:space="preserve">
IF($A$4&lt;=12,SUMIFS('ON Data'!Y:Y,'ON Data'!$D:$D,$A$4,'ON Data'!$E:$E,3),SUMIFS('ON Data'!Y:Y,'ON Data'!$E:$E,3))</f>
        <v>0</v>
      </c>
      <c r="U12" s="220">
        <f xml:space="preserve">
IF($A$4&lt;=12,SUMIFS('ON Data'!Z:Z,'ON Data'!$D:$D,$A$4,'ON Data'!$E:$E,3),SUMIFS('ON Data'!Z:Z,'ON Data'!$E:$E,3))</f>
        <v>0</v>
      </c>
      <c r="V12" s="220">
        <f xml:space="preserve">
IF($A$4&lt;=12,SUMIFS('ON Data'!AA:AA,'ON Data'!$D:$D,$A$4,'ON Data'!$E:$E,3),SUMIFS('ON Data'!AA:AA,'ON Data'!$E:$E,3))</f>
        <v>0</v>
      </c>
      <c r="W12" s="220">
        <f xml:space="preserve">
IF($A$4&lt;=12,SUMIFS('ON Data'!AB:AB,'ON Data'!$D:$D,$A$4,'ON Data'!$E:$E,3),SUMIFS('ON Data'!AB:AB,'ON Data'!$E:$E,3))</f>
        <v>0</v>
      </c>
      <c r="X12" s="220">
        <f xml:space="preserve">
IF($A$4&lt;=12,SUMIFS('ON Data'!AC:AC,'ON Data'!$D:$D,$A$4,'ON Data'!$E:$E,3),SUMIFS('ON Data'!AC:AC,'ON Data'!$E:$E,3))</f>
        <v>0</v>
      </c>
      <c r="Y12" s="220">
        <f xml:space="preserve">
IF($A$4&lt;=12,SUMIFS('ON Data'!AD:AD,'ON Data'!$D:$D,$A$4,'ON Data'!$E:$E,3),SUMIFS('ON Data'!AD:AD,'ON Data'!$E:$E,3))</f>
        <v>0</v>
      </c>
      <c r="Z12" s="220">
        <f xml:space="preserve">
IF($A$4&lt;=12,SUMIFS('ON Data'!AE:AE,'ON Data'!$D:$D,$A$4,'ON Data'!$E:$E,3),SUMIFS('ON Data'!AE:AE,'ON Data'!$E:$E,3))</f>
        <v>0</v>
      </c>
      <c r="AA12" s="220">
        <f xml:space="preserve">
IF($A$4&lt;=12,SUMIFS('ON Data'!AF:AF,'ON Data'!$D:$D,$A$4,'ON Data'!$E:$E,3),SUMIFS('ON Data'!AF:AF,'ON Data'!$E:$E,3))</f>
        <v>0</v>
      </c>
      <c r="AB12" s="220">
        <f xml:space="preserve">
IF($A$4&lt;=12,SUMIFS('ON Data'!AG:AG,'ON Data'!$D:$D,$A$4,'ON Data'!$E:$E,3),SUMIFS('ON Data'!AG:AG,'ON Data'!$E:$E,3))</f>
        <v>0</v>
      </c>
      <c r="AC12" s="220">
        <f xml:space="preserve">
IF($A$4&lt;=12,SUMIFS('ON Data'!AH:AH,'ON Data'!$D:$D,$A$4,'ON Data'!$E:$E,3),SUMIFS('ON Data'!AH:AH,'ON Data'!$E:$E,3))</f>
        <v>0</v>
      </c>
      <c r="AD12" s="220">
        <f xml:space="preserve">
IF($A$4&lt;=12,SUMIFS('ON Data'!AI:AI,'ON Data'!$D:$D,$A$4,'ON Data'!$E:$E,3),SUMIFS('ON Data'!AI:AI,'ON Data'!$E:$E,3))</f>
        <v>0</v>
      </c>
      <c r="AE12" s="220">
        <f xml:space="preserve">
IF($A$4&lt;=12,SUMIFS('ON Data'!AJ:AJ,'ON Data'!$D:$D,$A$4,'ON Data'!$E:$E,3),SUMIFS('ON Data'!AJ:AJ,'ON Data'!$E:$E,3))</f>
        <v>0</v>
      </c>
      <c r="AF12" s="220">
        <f xml:space="preserve">
IF($A$4&lt;=12,SUMIFS('ON Data'!AK:AK,'ON Data'!$D:$D,$A$4,'ON Data'!$E:$E,3),SUMIFS('ON Data'!AK:AK,'ON Data'!$E:$E,3))</f>
        <v>0</v>
      </c>
      <c r="AG12" s="220">
        <f xml:space="preserve">
IF($A$4&lt;=12,SUMIFS('ON Data'!AL:AL,'ON Data'!$D:$D,$A$4,'ON Data'!$E:$E,3),SUMIFS('ON Data'!AL:AL,'ON Data'!$E:$E,3))</f>
        <v>0</v>
      </c>
      <c r="AH12" s="355">
        <f xml:space="preserve">
IF($A$4&lt;=12,SUMIFS('ON Data'!AN:AN,'ON Data'!$D:$D,$A$4,'ON Data'!$E:$E,3),SUMIFS('ON Data'!AN:AN,'ON Data'!$E:$E,3))</f>
        <v>0</v>
      </c>
      <c r="AI12" s="365"/>
    </row>
    <row r="13" spans="1:35" x14ac:dyDescent="0.3">
      <c r="A13" s="201" t="s">
        <v>146</v>
      </c>
      <c r="B13" s="218">
        <f xml:space="preserve">
IF($A$4&lt;=12,SUMIFS('ON Data'!F:F,'ON Data'!$D:$D,$A$4,'ON Data'!$E:$E,4),SUMIFS('ON Data'!F:F,'ON Data'!$E:$E,4))</f>
        <v>0</v>
      </c>
      <c r="C13" s="219">
        <f xml:space="preserve">
IF($A$4&lt;=12,SUMIFS('ON Data'!G:G,'ON Data'!$D:$D,$A$4,'ON Data'!$E:$E,4),SUMIFS('ON Data'!G:G,'ON Data'!$E:$E,4))</f>
        <v>0</v>
      </c>
      <c r="D13" s="220">
        <f xml:space="preserve">
IF($A$4&lt;=12,SUMIFS('ON Data'!H:H,'ON Data'!$D:$D,$A$4,'ON Data'!$E:$E,4),SUMIFS('ON Data'!H:H,'ON Data'!$E:$E,4))</f>
        <v>0</v>
      </c>
      <c r="E13" s="220">
        <f xml:space="preserve">
IF($A$4&lt;=12,SUMIFS('ON Data'!I:I,'ON Data'!$D:$D,$A$4,'ON Data'!$E:$E,4),SUMIFS('ON Data'!I:I,'ON Data'!$E:$E,4))</f>
        <v>0</v>
      </c>
      <c r="F13" s="220">
        <f xml:space="preserve">
IF($A$4&lt;=12,SUMIFS('ON Data'!K:K,'ON Data'!$D:$D,$A$4,'ON Data'!$E:$E,4),SUMIFS('ON Data'!K:K,'ON Data'!$E:$E,4))</f>
        <v>0</v>
      </c>
      <c r="G13" s="220">
        <f xml:space="preserve">
IF($A$4&lt;=12,SUMIFS('ON Data'!L:L,'ON Data'!$D:$D,$A$4,'ON Data'!$E:$E,4),SUMIFS('ON Data'!L:L,'ON Data'!$E:$E,4))</f>
        <v>0</v>
      </c>
      <c r="H13" s="220">
        <f xml:space="preserve">
IF($A$4&lt;=12,SUMIFS('ON Data'!M:M,'ON Data'!$D:$D,$A$4,'ON Data'!$E:$E,4),SUMIFS('ON Data'!M:M,'ON Data'!$E:$E,4))</f>
        <v>0</v>
      </c>
      <c r="I13" s="220">
        <f xml:space="preserve">
IF($A$4&lt;=12,SUMIFS('ON Data'!N:N,'ON Data'!$D:$D,$A$4,'ON Data'!$E:$E,4),SUMIFS('ON Data'!N:N,'ON Data'!$E:$E,4))</f>
        <v>0</v>
      </c>
      <c r="J13" s="220">
        <f xml:space="preserve">
IF($A$4&lt;=12,SUMIFS('ON Data'!O:O,'ON Data'!$D:$D,$A$4,'ON Data'!$E:$E,4),SUMIFS('ON Data'!O:O,'ON Data'!$E:$E,4))</f>
        <v>0</v>
      </c>
      <c r="K13" s="220">
        <f xml:space="preserve">
IF($A$4&lt;=12,SUMIFS('ON Data'!P:P,'ON Data'!$D:$D,$A$4,'ON Data'!$E:$E,4),SUMIFS('ON Data'!P:P,'ON Data'!$E:$E,4))</f>
        <v>0</v>
      </c>
      <c r="L13" s="220">
        <f xml:space="preserve">
IF($A$4&lt;=12,SUMIFS('ON Data'!Q:Q,'ON Data'!$D:$D,$A$4,'ON Data'!$E:$E,4),SUMIFS('ON Data'!Q:Q,'ON Data'!$E:$E,4))</f>
        <v>0</v>
      </c>
      <c r="M13" s="220">
        <f xml:space="preserve">
IF($A$4&lt;=12,SUMIFS('ON Data'!R:R,'ON Data'!$D:$D,$A$4,'ON Data'!$E:$E,4),SUMIFS('ON Data'!R:R,'ON Data'!$E:$E,4))</f>
        <v>0</v>
      </c>
      <c r="N13" s="220">
        <f xml:space="preserve">
IF($A$4&lt;=12,SUMIFS('ON Data'!S:S,'ON Data'!$D:$D,$A$4,'ON Data'!$E:$E,4),SUMIFS('ON Data'!S:S,'ON Data'!$E:$E,4))</f>
        <v>0</v>
      </c>
      <c r="O13" s="220">
        <f xml:space="preserve">
IF($A$4&lt;=12,SUMIFS('ON Data'!T:T,'ON Data'!$D:$D,$A$4,'ON Data'!$E:$E,4),SUMIFS('ON Data'!T:T,'ON Data'!$E:$E,4))</f>
        <v>0</v>
      </c>
      <c r="P13" s="220">
        <f xml:space="preserve">
IF($A$4&lt;=12,SUMIFS('ON Data'!U:U,'ON Data'!$D:$D,$A$4,'ON Data'!$E:$E,4),SUMIFS('ON Data'!U:U,'ON Data'!$E:$E,4))</f>
        <v>0</v>
      </c>
      <c r="Q13" s="220">
        <f xml:space="preserve">
IF($A$4&lt;=12,SUMIFS('ON Data'!V:V,'ON Data'!$D:$D,$A$4,'ON Data'!$E:$E,4),SUMIFS('ON Data'!V:V,'ON Data'!$E:$E,4))</f>
        <v>0</v>
      </c>
      <c r="R13" s="220">
        <f xml:space="preserve">
IF($A$4&lt;=12,SUMIFS('ON Data'!W:W,'ON Data'!$D:$D,$A$4,'ON Data'!$E:$E,4),SUMIFS('ON Data'!W:W,'ON Data'!$E:$E,4))</f>
        <v>0</v>
      </c>
      <c r="S13" s="220">
        <f xml:space="preserve">
IF($A$4&lt;=12,SUMIFS('ON Data'!X:X,'ON Data'!$D:$D,$A$4,'ON Data'!$E:$E,4),SUMIFS('ON Data'!X:X,'ON Data'!$E:$E,4))</f>
        <v>0</v>
      </c>
      <c r="T13" s="220">
        <f xml:space="preserve">
IF($A$4&lt;=12,SUMIFS('ON Data'!Y:Y,'ON Data'!$D:$D,$A$4,'ON Data'!$E:$E,4),SUMIFS('ON Data'!Y:Y,'ON Data'!$E:$E,4))</f>
        <v>0</v>
      </c>
      <c r="U13" s="220">
        <f xml:space="preserve">
IF($A$4&lt;=12,SUMIFS('ON Data'!Z:Z,'ON Data'!$D:$D,$A$4,'ON Data'!$E:$E,4),SUMIFS('ON Data'!Z:Z,'ON Data'!$E:$E,4))</f>
        <v>0</v>
      </c>
      <c r="V13" s="220">
        <f xml:space="preserve">
IF($A$4&lt;=12,SUMIFS('ON Data'!AA:AA,'ON Data'!$D:$D,$A$4,'ON Data'!$E:$E,4),SUMIFS('ON Data'!AA:AA,'ON Data'!$E:$E,4))</f>
        <v>0</v>
      </c>
      <c r="W13" s="220">
        <f xml:space="preserve">
IF($A$4&lt;=12,SUMIFS('ON Data'!AB:AB,'ON Data'!$D:$D,$A$4,'ON Data'!$E:$E,4),SUMIFS('ON Data'!AB:AB,'ON Data'!$E:$E,4))</f>
        <v>0</v>
      </c>
      <c r="X13" s="220">
        <f xml:space="preserve">
IF($A$4&lt;=12,SUMIFS('ON Data'!AC:AC,'ON Data'!$D:$D,$A$4,'ON Data'!$E:$E,4),SUMIFS('ON Data'!AC:AC,'ON Data'!$E:$E,4))</f>
        <v>0</v>
      </c>
      <c r="Y13" s="220">
        <f xml:space="preserve">
IF($A$4&lt;=12,SUMIFS('ON Data'!AD:AD,'ON Data'!$D:$D,$A$4,'ON Data'!$E:$E,4),SUMIFS('ON Data'!AD:AD,'ON Data'!$E:$E,4))</f>
        <v>0</v>
      </c>
      <c r="Z13" s="220">
        <f xml:space="preserve">
IF($A$4&lt;=12,SUMIFS('ON Data'!AE:AE,'ON Data'!$D:$D,$A$4,'ON Data'!$E:$E,4),SUMIFS('ON Data'!AE:AE,'ON Data'!$E:$E,4))</f>
        <v>0</v>
      </c>
      <c r="AA13" s="220">
        <f xml:space="preserve">
IF($A$4&lt;=12,SUMIFS('ON Data'!AF:AF,'ON Data'!$D:$D,$A$4,'ON Data'!$E:$E,4),SUMIFS('ON Data'!AF:AF,'ON Data'!$E:$E,4))</f>
        <v>0</v>
      </c>
      <c r="AB13" s="220">
        <f xml:space="preserve">
IF($A$4&lt;=12,SUMIFS('ON Data'!AG:AG,'ON Data'!$D:$D,$A$4,'ON Data'!$E:$E,4),SUMIFS('ON Data'!AG:AG,'ON Data'!$E:$E,4))</f>
        <v>0</v>
      </c>
      <c r="AC13" s="220">
        <f xml:space="preserve">
IF($A$4&lt;=12,SUMIFS('ON Data'!AH:AH,'ON Data'!$D:$D,$A$4,'ON Data'!$E:$E,4),SUMIFS('ON Data'!AH:AH,'ON Data'!$E:$E,4))</f>
        <v>0</v>
      </c>
      <c r="AD13" s="220">
        <f xml:space="preserve">
IF($A$4&lt;=12,SUMIFS('ON Data'!AI:AI,'ON Data'!$D:$D,$A$4,'ON Data'!$E:$E,4),SUMIFS('ON Data'!AI:AI,'ON Data'!$E:$E,4))</f>
        <v>0</v>
      </c>
      <c r="AE13" s="220">
        <f xml:space="preserve">
IF($A$4&lt;=12,SUMIFS('ON Data'!AJ:AJ,'ON Data'!$D:$D,$A$4,'ON Data'!$E:$E,4),SUMIFS('ON Data'!AJ:AJ,'ON Data'!$E:$E,4))</f>
        <v>0</v>
      </c>
      <c r="AF13" s="220">
        <f xml:space="preserve">
IF($A$4&lt;=12,SUMIFS('ON Data'!AK:AK,'ON Data'!$D:$D,$A$4,'ON Data'!$E:$E,4),SUMIFS('ON Data'!AK:AK,'ON Data'!$E:$E,4))</f>
        <v>0</v>
      </c>
      <c r="AG13" s="220">
        <f xml:space="preserve">
IF($A$4&lt;=12,SUMIFS('ON Data'!AL:AL,'ON Data'!$D:$D,$A$4,'ON Data'!$E:$E,4),SUMIFS('ON Data'!AL:AL,'ON Data'!$E:$E,4))</f>
        <v>0</v>
      </c>
      <c r="AH13" s="355">
        <f xml:space="preserve">
IF($A$4&lt;=12,SUMIFS('ON Data'!AN:AN,'ON Data'!$D:$D,$A$4,'ON Data'!$E:$E,4),SUMIFS('ON Data'!AN:AN,'ON Data'!$E:$E,4))</f>
        <v>0</v>
      </c>
      <c r="AI13" s="365"/>
    </row>
    <row r="14" spans="1:35" ht="15" thickBot="1" x14ac:dyDescent="0.35">
      <c r="A14" s="202" t="s">
        <v>140</v>
      </c>
      <c r="B14" s="221">
        <f xml:space="preserve">
IF($A$4&lt;=12,SUMIFS('ON Data'!F:F,'ON Data'!$D:$D,$A$4,'ON Data'!$E:$E,5),SUMIFS('ON Data'!F:F,'ON Data'!$E:$E,5))</f>
        <v>0</v>
      </c>
      <c r="C14" s="222">
        <f xml:space="preserve">
IF($A$4&lt;=12,SUMIFS('ON Data'!G:G,'ON Data'!$D:$D,$A$4,'ON Data'!$E:$E,5),SUMIFS('ON Data'!G:G,'ON Data'!$E:$E,5))</f>
        <v>0</v>
      </c>
      <c r="D14" s="223">
        <f xml:space="preserve">
IF($A$4&lt;=12,SUMIFS('ON Data'!H:H,'ON Data'!$D:$D,$A$4,'ON Data'!$E:$E,5),SUMIFS('ON Data'!H:H,'ON Data'!$E:$E,5))</f>
        <v>0</v>
      </c>
      <c r="E14" s="223">
        <f xml:space="preserve">
IF($A$4&lt;=12,SUMIFS('ON Data'!I:I,'ON Data'!$D:$D,$A$4,'ON Data'!$E:$E,5),SUMIFS('ON Data'!I:I,'ON Data'!$E:$E,5))</f>
        <v>0</v>
      </c>
      <c r="F14" s="223">
        <f xml:space="preserve">
IF($A$4&lt;=12,SUMIFS('ON Data'!K:K,'ON Data'!$D:$D,$A$4,'ON Data'!$E:$E,5),SUMIFS('ON Data'!K:K,'ON Data'!$E:$E,5))</f>
        <v>0</v>
      </c>
      <c r="G14" s="223">
        <f xml:space="preserve">
IF($A$4&lt;=12,SUMIFS('ON Data'!L:L,'ON Data'!$D:$D,$A$4,'ON Data'!$E:$E,5),SUMIFS('ON Data'!L:L,'ON Data'!$E:$E,5))</f>
        <v>0</v>
      </c>
      <c r="H14" s="223">
        <f xml:space="preserve">
IF($A$4&lt;=12,SUMIFS('ON Data'!M:M,'ON Data'!$D:$D,$A$4,'ON Data'!$E:$E,5),SUMIFS('ON Data'!M:M,'ON Data'!$E:$E,5))</f>
        <v>0</v>
      </c>
      <c r="I14" s="223">
        <f xml:space="preserve">
IF($A$4&lt;=12,SUMIFS('ON Data'!N:N,'ON Data'!$D:$D,$A$4,'ON Data'!$E:$E,5),SUMIFS('ON Data'!N:N,'ON Data'!$E:$E,5))</f>
        <v>0</v>
      </c>
      <c r="J14" s="223">
        <f xml:space="preserve">
IF($A$4&lt;=12,SUMIFS('ON Data'!O:O,'ON Data'!$D:$D,$A$4,'ON Data'!$E:$E,5),SUMIFS('ON Data'!O:O,'ON Data'!$E:$E,5))</f>
        <v>0</v>
      </c>
      <c r="K14" s="223">
        <f xml:space="preserve">
IF($A$4&lt;=12,SUMIFS('ON Data'!P:P,'ON Data'!$D:$D,$A$4,'ON Data'!$E:$E,5),SUMIFS('ON Data'!P:P,'ON Data'!$E:$E,5))</f>
        <v>0</v>
      </c>
      <c r="L14" s="223">
        <f xml:space="preserve">
IF($A$4&lt;=12,SUMIFS('ON Data'!Q:Q,'ON Data'!$D:$D,$A$4,'ON Data'!$E:$E,5),SUMIFS('ON Data'!Q:Q,'ON Data'!$E:$E,5))</f>
        <v>0</v>
      </c>
      <c r="M14" s="223">
        <f xml:space="preserve">
IF($A$4&lt;=12,SUMIFS('ON Data'!R:R,'ON Data'!$D:$D,$A$4,'ON Data'!$E:$E,5),SUMIFS('ON Data'!R:R,'ON Data'!$E:$E,5))</f>
        <v>0</v>
      </c>
      <c r="N14" s="223">
        <f xml:space="preserve">
IF($A$4&lt;=12,SUMIFS('ON Data'!S:S,'ON Data'!$D:$D,$A$4,'ON Data'!$E:$E,5),SUMIFS('ON Data'!S:S,'ON Data'!$E:$E,5))</f>
        <v>0</v>
      </c>
      <c r="O14" s="223">
        <f xml:space="preserve">
IF($A$4&lt;=12,SUMIFS('ON Data'!T:T,'ON Data'!$D:$D,$A$4,'ON Data'!$E:$E,5),SUMIFS('ON Data'!T:T,'ON Data'!$E:$E,5))</f>
        <v>0</v>
      </c>
      <c r="P14" s="223">
        <f xml:space="preserve">
IF($A$4&lt;=12,SUMIFS('ON Data'!U:U,'ON Data'!$D:$D,$A$4,'ON Data'!$E:$E,5),SUMIFS('ON Data'!U:U,'ON Data'!$E:$E,5))</f>
        <v>0</v>
      </c>
      <c r="Q14" s="223">
        <f xml:space="preserve">
IF($A$4&lt;=12,SUMIFS('ON Data'!V:V,'ON Data'!$D:$D,$A$4,'ON Data'!$E:$E,5),SUMIFS('ON Data'!V:V,'ON Data'!$E:$E,5))</f>
        <v>0</v>
      </c>
      <c r="R14" s="223">
        <f xml:space="preserve">
IF($A$4&lt;=12,SUMIFS('ON Data'!W:W,'ON Data'!$D:$D,$A$4,'ON Data'!$E:$E,5),SUMIFS('ON Data'!W:W,'ON Data'!$E:$E,5))</f>
        <v>0</v>
      </c>
      <c r="S14" s="223">
        <f xml:space="preserve">
IF($A$4&lt;=12,SUMIFS('ON Data'!X:X,'ON Data'!$D:$D,$A$4,'ON Data'!$E:$E,5),SUMIFS('ON Data'!X:X,'ON Data'!$E:$E,5))</f>
        <v>0</v>
      </c>
      <c r="T14" s="223">
        <f xml:space="preserve">
IF($A$4&lt;=12,SUMIFS('ON Data'!Y:Y,'ON Data'!$D:$D,$A$4,'ON Data'!$E:$E,5),SUMIFS('ON Data'!Y:Y,'ON Data'!$E:$E,5))</f>
        <v>0</v>
      </c>
      <c r="U14" s="223">
        <f xml:space="preserve">
IF($A$4&lt;=12,SUMIFS('ON Data'!Z:Z,'ON Data'!$D:$D,$A$4,'ON Data'!$E:$E,5),SUMIFS('ON Data'!Z:Z,'ON Data'!$E:$E,5))</f>
        <v>0</v>
      </c>
      <c r="V14" s="223">
        <f xml:space="preserve">
IF($A$4&lt;=12,SUMIFS('ON Data'!AA:AA,'ON Data'!$D:$D,$A$4,'ON Data'!$E:$E,5),SUMIFS('ON Data'!AA:AA,'ON Data'!$E:$E,5))</f>
        <v>0</v>
      </c>
      <c r="W14" s="223">
        <f xml:space="preserve">
IF($A$4&lt;=12,SUMIFS('ON Data'!AB:AB,'ON Data'!$D:$D,$A$4,'ON Data'!$E:$E,5),SUMIFS('ON Data'!AB:AB,'ON Data'!$E:$E,5))</f>
        <v>0</v>
      </c>
      <c r="X14" s="223">
        <f xml:space="preserve">
IF($A$4&lt;=12,SUMIFS('ON Data'!AC:AC,'ON Data'!$D:$D,$A$4,'ON Data'!$E:$E,5),SUMIFS('ON Data'!AC:AC,'ON Data'!$E:$E,5))</f>
        <v>0</v>
      </c>
      <c r="Y14" s="223">
        <f xml:space="preserve">
IF($A$4&lt;=12,SUMIFS('ON Data'!AD:AD,'ON Data'!$D:$D,$A$4,'ON Data'!$E:$E,5),SUMIFS('ON Data'!AD:AD,'ON Data'!$E:$E,5))</f>
        <v>0</v>
      </c>
      <c r="Z14" s="223">
        <f xml:space="preserve">
IF($A$4&lt;=12,SUMIFS('ON Data'!AE:AE,'ON Data'!$D:$D,$A$4,'ON Data'!$E:$E,5),SUMIFS('ON Data'!AE:AE,'ON Data'!$E:$E,5))</f>
        <v>0</v>
      </c>
      <c r="AA14" s="223">
        <f xml:space="preserve">
IF($A$4&lt;=12,SUMIFS('ON Data'!AF:AF,'ON Data'!$D:$D,$A$4,'ON Data'!$E:$E,5),SUMIFS('ON Data'!AF:AF,'ON Data'!$E:$E,5))</f>
        <v>0</v>
      </c>
      <c r="AB14" s="223">
        <f xml:space="preserve">
IF($A$4&lt;=12,SUMIFS('ON Data'!AG:AG,'ON Data'!$D:$D,$A$4,'ON Data'!$E:$E,5),SUMIFS('ON Data'!AG:AG,'ON Data'!$E:$E,5))</f>
        <v>0</v>
      </c>
      <c r="AC14" s="223">
        <f xml:space="preserve">
IF($A$4&lt;=12,SUMIFS('ON Data'!AH:AH,'ON Data'!$D:$D,$A$4,'ON Data'!$E:$E,5),SUMIFS('ON Data'!AH:AH,'ON Data'!$E:$E,5))</f>
        <v>0</v>
      </c>
      <c r="AD14" s="223">
        <f xml:space="preserve">
IF($A$4&lt;=12,SUMIFS('ON Data'!AI:AI,'ON Data'!$D:$D,$A$4,'ON Data'!$E:$E,5),SUMIFS('ON Data'!AI:AI,'ON Data'!$E:$E,5))</f>
        <v>0</v>
      </c>
      <c r="AE14" s="223">
        <f xml:space="preserve">
IF($A$4&lt;=12,SUMIFS('ON Data'!AJ:AJ,'ON Data'!$D:$D,$A$4,'ON Data'!$E:$E,5),SUMIFS('ON Data'!AJ:AJ,'ON Data'!$E:$E,5))</f>
        <v>0</v>
      </c>
      <c r="AF14" s="223">
        <f xml:space="preserve">
IF($A$4&lt;=12,SUMIFS('ON Data'!AK:AK,'ON Data'!$D:$D,$A$4,'ON Data'!$E:$E,5),SUMIFS('ON Data'!AK:AK,'ON Data'!$E:$E,5))</f>
        <v>0</v>
      </c>
      <c r="AG14" s="223">
        <f xml:space="preserve">
IF($A$4&lt;=12,SUMIFS('ON Data'!AL:AL,'ON Data'!$D:$D,$A$4,'ON Data'!$E:$E,5),SUMIFS('ON Data'!AL:AL,'ON Data'!$E:$E,5))</f>
        <v>0</v>
      </c>
      <c r="AH14" s="356">
        <f xml:space="preserve">
IF($A$4&lt;=12,SUMIFS('ON Data'!AN:AN,'ON Data'!$D:$D,$A$4,'ON Data'!$E:$E,5),SUMIFS('ON Data'!AN:AN,'ON Data'!$E:$E,5))</f>
        <v>0</v>
      </c>
      <c r="AI14" s="365"/>
    </row>
    <row r="15" spans="1:35" x14ac:dyDescent="0.3">
      <c r="A15" s="132" t="s">
        <v>150</v>
      </c>
      <c r="B15" s="224"/>
      <c r="C15" s="225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357"/>
      <c r="AI15" s="365"/>
    </row>
    <row r="16" spans="1:35" x14ac:dyDescent="0.3">
      <c r="A16" s="203" t="s">
        <v>141</v>
      </c>
      <c r="B16" s="218">
        <f xml:space="preserve">
IF($A$4&lt;=12,SUMIFS('ON Data'!F:F,'ON Data'!$D:$D,$A$4,'ON Data'!$E:$E,7),SUMIFS('ON Data'!F:F,'ON Data'!$E:$E,7))</f>
        <v>0</v>
      </c>
      <c r="C16" s="219">
        <f xml:space="preserve">
IF($A$4&lt;=12,SUMIFS('ON Data'!G:G,'ON Data'!$D:$D,$A$4,'ON Data'!$E:$E,7),SUMIFS('ON Data'!G:G,'ON Data'!$E:$E,7))</f>
        <v>0</v>
      </c>
      <c r="D16" s="220">
        <f xml:space="preserve">
IF($A$4&lt;=12,SUMIFS('ON Data'!H:H,'ON Data'!$D:$D,$A$4,'ON Data'!$E:$E,7),SUMIFS('ON Data'!H:H,'ON Data'!$E:$E,7))</f>
        <v>0</v>
      </c>
      <c r="E16" s="220">
        <f xml:space="preserve">
IF($A$4&lt;=12,SUMIFS('ON Data'!I:I,'ON Data'!$D:$D,$A$4,'ON Data'!$E:$E,7),SUMIFS('ON Data'!I:I,'ON Data'!$E:$E,7))</f>
        <v>0</v>
      </c>
      <c r="F16" s="220">
        <f xml:space="preserve">
IF($A$4&lt;=12,SUMIFS('ON Data'!K:K,'ON Data'!$D:$D,$A$4,'ON Data'!$E:$E,7),SUMIFS('ON Data'!K:K,'ON Data'!$E:$E,7))</f>
        <v>0</v>
      </c>
      <c r="G16" s="220">
        <f xml:space="preserve">
IF($A$4&lt;=12,SUMIFS('ON Data'!L:L,'ON Data'!$D:$D,$A$4,'ON Data'!$E:$E,7),SUMIFS('ON Data'!L:L,'ON Data'!$E:$E,7))</f>
        <v>0</v>
      </c>
      <c r="H16" s="220">
        <f xml:space="preserve">
IF($A$4&lt;=12,SUMIFS('ON Data'!M:M,'ON Data'!$D:$D,$A$4,'ON Data'!$E:$E,7),SUMIFS('ON Data'!M:M,'ON Data'!$E:$E,7))</f>
        <v>0</v>
      </c>
      <c r="I16" s="220">
        <f xml:space="preserve">
IF($A$4&lt;=12,SUMIFS('ON Data'!N:N,'ON Data'!$D:$D,$A$4,'ON Data'!$E:$E,7),SUMIFS('ON Data'!N:N,'ON Data'!$E:$E,7))</f>
        <v>0</v>
      </c>
      <c r="J16" s="220">
        <f xml:space="preserve">
IF($A$4&lt;=12,SUMIFS('ON Data'!O:O,'ON Data'!$D:$D,$A$4,'ON Data'!$E:$E,7),SUMIFS('ON Data'!O:O,'ON Data'!$E:$E,7))</f>
        <v>0</v>
      </c>
      <c r="K16" s="220">
        <f xml:space="preserve">
IF($A$4&lt;=12,SUMIFS('ON Data'!P:P,'ON Data'!$D:$D,$A$4,'ON Data'!$E:$E,7),SUMIFS('ON Data'!P:P,'ON Data'!$E:$E,7))</f>
        <v>0</v>
      </c>
      <c r="L16" s="220">
        <f xml:space="preserve">
IF($A$4&lt;=12,SUMIFS('ON Data'!Q:Q,'ON Data'!$D:$D,$A$4,'ON Data'!$E:$E,7),SUMIFS('ON Data'!Q:Q,'ON Data'!$E:$E,7))</f>
        <v>0</v>
      </c>
      <c r="M16" s="220">
        <f xml:space="preserve">
IF($A$4&lt;=12,SUMIFS('ON Data'!R:R,'ON Data'!$D:$D,$A$4,'ON Data'!$E:$E,7),SUMIFS('ON Data'!R:R,'ON Data'!$E:$E,7))</f>
        <v>0</v>
      </c>
      <c r="N16" s="220">
        <f xml:space="preserve">
IF($A$4&lt;=12,SUMIFS('ON Data'!S:S,'ON Data'!$D:$D,$A$4,'ON Data'!$E:$E,7),SUMIFS('ON Data'!S:S,'ON Data'!$E:$E,7))</f>
        <v>0</v>
      </c>
      <c r="O16" s="220">
        <f xml:space="preserve">
IF($A$4&lt;=12,SUMIFS('ON Data'!T:T,'ON Data'!$D:$D,$A$4,'ON Data'!$E:$E,7),SUMIFS('ON Data'!T:T,'ON Data'!$E:$E,7))</f>
        <v>0</v>
      </c>
      <c r="P16" s="220">
        <f xml:space="preserve">
IF($A$4&lt;=12,SUMIFS('ON Data'!U:U,'ON Data'!$D:$D,$A$4,'ON Data'!$E:$E,7),SUMIFS('ON Data'!U:U,'ON Data'!$E:$E,7))</f>
        <v>0</v>
      </c>
      <c r="Q16" s="220">
        <f xml:space="preserve">
IF($A$4&lt;=12,SUMIFS('ON Data'!V:V,'ON Data'!$D:$D,$A$4,'ON Data'!$E:$E,7),SUMIFS('ON Data'!V:V,'ON Data'!$E:$E,7))</f>
        <v>0</v>
      </c>
      <c r="R16" s="220">
        <f xml:space="preserve">
IF($A$4&lt;=12,SUMIFS('ON Data'!W:W,'ON Data'!$D:$D,$A$4,'ON Data'!$E:$E,7),SUMIFS('ON Data'!W:W,'ON Data'!$E:$E,7))</f>
        <v>0</v>
      </c>
      <c r="S16" s="220">
        <f xml:space="preserve">
IF($A$4&lt;=12,SUMIFS('ON Data'!X:X,'ON Data'!$D:$D,$A$4,'ON Data'!$E:$E,7),SUMIFS('ON Data'!X:X,'ON Data'!$E:$E,7))</f>
        <v>0</v>
      </c>
      <c r="T16" s="220">
        <f xml:space="preserve">
IF($A$4&lt;=12,SUMIFS('ON Data'!Y:Y,'ON Data'!$D:$D,$A$4,'ON Data'!$E:$E,7),SUMIFS('ON Data'!Y:Y,'ON Data'!$E:$E,7))</f>
        <v>0</v>
      </c>
      <c r="U16" s="220">
        <f xml:space="preserve">
IF($A$4&lt;=12,SUMIFS('ON Data'!Z:Z,'ON Data'!$D:$D,$A$4,'ON Data'!$E:$E,7),SUMIFS('ON Data'!Z:Z,'ON Data'!$E:$E,7))</f>
        <v>0</v>
      </c>
      <c r="V16" s="220">
        <f xml:space="preserve">
IF($A$4&lt;=12,SUMIFS('ON Data'!AA:AA,'ON Data'!$D:$D,$A$4,'ON Data'!$E:$E,7),SUMIFS('ON Data'!AA:AA,'ON Data'!$E:$E,7))</f>
        <v>0</v>
      </c>
      <c r="W16" s="220">
        <f xml:space="preserve">
IF($A$4&lt;=12,SUMIFS('ON Data'!AB:AB,'ON Data'!$D:$D,$A$4,'ON Data'!$E:$E,7),SUMIFS('ON Data'!AB:AB,'ON Data'!$E:$E,7))</f>
        <v>0</v>
      </c>
      <c r="X16" s="220">
        <f xml:space="preserve">
IF($A$4&lt;=12,SUMIFS('ON Data'!AC:AC,'ON Data'!$D:$D,$A$4,'ON Data'!$E:$E,7),SUMIFS('ON Data'!AC:AC,'ON Data'!$E:$E,7))</f>
        <v>0</v>
      </c>
      <c r="Y16" s="220">
        <f xml:space="preserve">
IF($A$4&lt;=12,SUMIFS('ON Data'!AD:AD,'ON Data'!$D:$D,$A$4,'ON Data'!$E:$E,7),SUMIFS('ON Data'!AD:AD,'ON Data'!$E:$E,7))</f>
        <v>0</v>
      </c>
      <c r="Z16" s="220">
        <f xml:space="preserve">
IF($A$4&lt;=12,SUMIFS('ON Data'!AE:AE,'ON Data'!$D:$D,$A$4,'ON Data'!$E:$E,7),SUMIFS('ON Data'!AE:AE,'ON Data'!$E:$E,7))</f>
        <v>0</v>
      </c>
      <c r="AA16" s="220">
        <f xml:space="preserve">
IF($A$4&lt;=12,SUMIFS('ON Data'!AF:AF,'ON Data'!$D:$D,$A$4,'ON Data'!$E:$E,7),SUMIFS('ON Data'!AF:AF,'ON Data'!$E:$E,7))</f>
        <v>0</v>
      </c>
      <c r="AB16" s="220">
        <f xml:space="preserve">
IF($A$4&lt;=12,SUMIFS('ON Data'!AG:AG,'ON Data'!$D:$D,$A$4,'ON Data'!$E:$E,7),SUMIFS('ON Data'!AG:AG,'ON Data'!$E:$E,7))</f>
        <v>0</v>
      </c>
      <c r="AC16" s="220">
        <f xml:space="preserve">
IF($A$4&lt;=12,SUMIFS('ON Data'!AH:AH,'ON Data'!$D:$D,$A$4,'ON Data'!$E:$E,7),SUMIFS('ON Data'!AH:AH,'ON Data'!$E:$E,7))</f>
        <v>0</v>
      </c>
      <c r="AD16" s="220">
        <f xml:space="preserve">
IF($A$4&lt;=12,SUMIFS('ON Data'!AI:AI,'ON Data'!$D:$D,$A$4,'ON Data'!$E:$E,7),SUMIFS('ON Data'!AI:AI,'ON Data'!$E:$E,7))</f>
        <v>0</v>
      </c>
      <c r="AE16" s="220">
        <f xml:space="preserve">
IF($A$4&lt;=12,SUMIFS('ON Data'!AJ:AJ,'ON Data'!$D:$D,$A$4,'ON Data'!$E:$E,7),SUMIFS('ON Data'!AJ:AJ,'ON Data'!$E:$E,7))</f>
        <v>0</v>
      </c>
      <c r="AF16" s="220">
        <f xml:space="preserve">
IF($A$4&lt;=12,SUMIFS('ON Data'!AK:AK,'ON Data'!$D:$D,$A$4,'ON Data'!$E:$E,7),SUMIFS('ON Data'!AK:AK,'ON Data'!$E:$E,7))</f>
        <v>0</v>
      </c>
      <c r="AG16" s="220">
        <f xml:space="preserve">
IF($A$4&lt;=12,SUMIFS('ON Data'!AL:AL,'ON Data'!$D:$D,$A$4,'ON Data'!$E:$E,7),SUMIFS('ON Data'!AL:AL,'ON Data'!$E:$E,7))</f>
        <v>0</v>
      </c>
      <c r="AH16" s="355">
        <f xml:space="preserve">
IF($A$4&lt;=12,SUMIFS('ON Data'!AN:AN,'ON Data'!$D:$D,$A$4,'ON Data'!$E:$E,7),SUMIFS('ON Data'!AN:AN,'ON Data'!$E:$E,7))</f>
        <v>0</v>
      </c>
      <c r="AI16" s="365"/>
    </row>
    <row r="17" spans="1:35" x14ac:dyDescent="0.3">
      <c r="A17" s="203" t="s">
        <v>142</v>
      </c>
      <c r="B17" s="218">
        <f xml:space="preserve">
IF($A$4&lt;=12,SUMIFS('ON Data'!F:F,'ON Data'!$D:$D,$A$4,'ON Data'!$E:$E,8),SUMIFS('ON Data'!F:F,'ON Data'!$E:$E,8))</f>
        <v>0</v>
      </c>
      <c r="C17" s="219">
        <f xml:space="preserve">
IF($A$4&lt;=12,SUMIFS('ON Data'!G:G,'ON Data'!$D:$D,$A$4,'ON Data'!$E:$E,8),SUMIFS('ON Data'!G:G,'ON Data'!$E:$E,8))</f>
        <v>0</v>
      </c>
      <c r="D17" s="220">
        <f xml:space="preserve">
IF($A$4&lt;=12,SUMIFS('ON Data'!H:H,'ON Data'!$D:$D,$A$4,'ON Data'!$E:$E,8),SUMIFS('ON Data'!H:H,'ON Data'!$E:$E,8))</f>
        <v>0</v>
      </c>
      <c r="E17" s="220">
        <f xml:space="preserve">
IF($A$4&lt;=12,SUMIFS('ON Data'!I:I,'ON Data'!$D:$D,$A$4,'ON Data'!$E:$E,8),SUMIFS('ON Data'!I:I,'ON Data'!$E:$E,8))</f>
        <v>0</v>
      </c>
      <c r="F17" s="220">
        <f xml:space="preserve">
IF($A$4&lt;=12,SUMIFS('ON Data'!K:K,'ON Data'!$D:$D,$A$4,'ON Data'!$E:$E,8),SUMIFS('ON Data'!K:K,'ON Data'!$E:$E,8))</f>
        <v>0</v>
      </c>
      <c r="G17" s="220">
        <f xml:space="preserve">
IF($A$4&lt;=12,SUMIFS('ON Data'!L:L,'ON Data'!$D:$D,$A$4,'ON Data'!$E:$E,8),SUMIFS('ON Data'!L:L,'ON Data'!$E:$E,8))</f>
        <v>0</v>
      </c>
      <c r="H17" s="220">
        <f xml:space="preserve">
IF($A$4&lt;=12,SUMIFS('ON Data'!M:M,'ON Data'!$D:$D,$A$4,'ON Data'!$E:$E,8),SUMIFS('ON Data'!M:M,'ON Data'!$E:$E,8))</f>
        <v>0</v>
      </c>
      <c r="I17" s="220">
        <f xml:space="preserve">
IF($A$4&lt;=12,SUMIFS('ON Data'!N:N,'ON Data'!$D:$D,$A$4,'ON Data'!$E:$E,8),SUMIFS('ON Data'!N:N,'ON Data'!$E:$E,8))</f>
        <v>0</v>
      </c>
      <c r="J17" s="220">
        <f xml:space="preserve">
IF($A$4&lt;=12,SUMIFS('ON Data'!O:O,'ON Data'!$D:$D,$A$4,'ON Data'!$E:$E,8),SUMIFS('ON Data'!O:O,'ON Data'!$E:$E,8))</f>
        <v>0</v>
      </c>
      <c r="K17" s="220">
        <f xml:space="preserve">
IF($A$4&lt;=12,SUMIFS('ON Data'!P:P,'ON Data'!$D:$D,$A$4,'ON Data'!$E:$E,8),SUMIFS('ON Data'!P:P,'ON Data'!$E:$E,8))</f>
        <v>0</v>
      </c>
      <c r="L17" s="220">
        <f xml:space="preserve">
IF($A$4&lt;=12,SUMIFS('ON Data'!Q:Q,'ON Data'!$D:$D,$A$4,'ON Data'!$E:$E,8),SUMIFS('ON Data'!Q:Q,'ON Data'!$E:$E,8))</f>
        <v>0</v>
      </c>
      <c r="M17" s="220">
        <f xml:space="preserve">
IF($A$4&lt;=12,SUMIFS('ON Data'!R:R,'ON Data'!$D:$D,$A$4,'ON Data'!$E:$E,8),SUMIFS('ON Data'!R:R,'ON Data'!$E:$E,8))</f>
        <v>0</v>
      </c>
      <c r="N17" s="220">
        <f xml:space="preserve">
IF($A$4&lt;=12,SUMIFS('ON Data'!S:S,'ON Data'!$D:$D,$A$4,'ON Data'!$E:$E,8),SUMIFS('ON Data'!S:S,'ON Data'!$E:$E,8))</f>
        <v>0</v>
      </c>
      <c r="O17" s="220">
        <f xml:space="preserve">
IF($A$4&lt;=12,SUMIFS('ON Data'!T:T,'ON Data'!$D:$D,$A$4,'ON Data'!$E:$E,8),SUMIFS('ON Data'!T:T,'ON Data'!$E:$E,8))</f>
        <v>0</v>
      </c>
      <c r="P17" s="220">
        <f xml:space="preserve">
IF($A$4&lt;=12,SUMIFS('ON Data'!U:U,'ON Data'!$D:$D,$A$4,'ON Data'!$E:$E,8),SUMIFS('ON Data'!U:U,'ON Data'!$E:$E,8))</f>
        <v>0</v>
      </c>
      <c r="Q17" s="220">
        <f xml:space="preserve">
IF($A$4&lt;=12,SUMIFS('ON Data'!V:V,'ON Data'!$D:$D,$A$4,'ON Data'!$E:$E,8),SUMIFS('ON Data'!V:V,'ON Data'!$E:$E,8))</f>
        <v>0</v>
      </c>
      <c r="R17" s="220">
        <f xml:space="preserve">
IF($A$4&lt;=12,SUMIFS('ON Data'!W:W,'ON Data'!$D:$D,$A$4,'ON Data'!$E:$E,8),SUMIFS('ON Data'!W:W,'ON Data'!$E:$E,8))</f>
        <v>0</v>
      </c>
      <c r="S17" s="220">
        <f xml:space="preserve">
IF($A$4&lt;=12,SUMIFS('ON Data'!X:X,'ON Data'!$D:$D,$A$4,'ON Data'!$E:$E,8),SUMIFS('ON Data'!X:X,'ON Data'!$E:$E,8))</f>
        <v>0</v>
      </c>
      <c r="T17" s="220">
        <f xml:space="preserve">
IF($A$4&lt;=12,SUMIFS('ON Data'!Y:Y,'ON Data'!$D:$D,$A$4,'ON Data'!$E:$E,8),SUMIFS('ON Data'!Y:Y,'ON Data'!$E:$E,8))</f>
        <v>0</v>
      </c>
      <c r="U17" s="220">
        <f xml:space="preserve">
IF($A$4&lt;=12,SUMIFS('ON Data'!Z:Z,'ON Data'!$D:$D,$A$4,'ON Data'!$E:$E,8),SUMIFS('ON Data'!Z:Z,'ON Data'!$E:$E,8))</f>
        <v>0</v>
      </c>
      <c r="V17" s="220">
        <f xml:space="preserve">
IF($A$4&lt;=12,SUMIFS('ON Data'!AA:AA,'ON Data'!$D:$D,$A$4,'ON Data'!$E:$E,8),SUMIFS('ON Data'!AA:AA,'ON Data'!$E:$E,8))</f>
        <v>0</v>
      </c>
      <c r="W17" s="220">
        <f xml:space="preserve">
IF($A$4&lt;=12,SUMIFS('ON Data'!AB:AB,'ON Data'!$D:$D,$A$4,'ON Data'!$E:$E,8),SUMIFS('ON Data'!AB:AB,'ON Data'!$E:$E,8))</f>
        <v>0</v>
      </c>
      <c r="X17" s="220">
        <f xml:space="preserve">
IF($A$4&lt;=12,SUMIFS('ON Data'!AC:AC,'ON Data'!$D:$D,$A$4,'ON Data'!$E:$E,8),SUMIFS('ON Data'!AC:AC,'ON Data'!$E:$E,8))</f>
        <v>0</v>
      </c>
      <c r="Y17" s="220">
        <f xml:space="preserve">
IF($A$4&lt;=12,SUMIFS('ON Data'!AD:AD,'ON Data'!$D:$D,$A$4,'ON Data'!$E:$E,8),SUMIFS('ON Data'!AD:AD,'ON Data'!$E:$E,8))</f>
        <v>0</v>
      </c>
      <c r="Z17" s="220">
        <f xml:space="preserve">
IF($A$4&lt;=12,SUMIFS('ON Data'!AE:AE,'ON Data'!$D:$D,$A$4,'ON Data'!$E:$E,8),SUMIFS('ON Data'!AE:AE,'ON Data'!$E:$E,8))</f>
        <v>0</v>
      </c>
      <c r="AA17" s="220">
        <f xml:space="preserve">
IF($A$4&lt;=12,SUMIFS('ON Data'!AF:AF,'ON Data'!$D:$D,$A$4,'ON Data'!$E:$E,8),SUMIFS('ON Data'!AF:AF,'ON Data'!$E:$E,8))</f>
        <v>0</v>
      </c>
      <c r="AB17" s="220">
        <f xml:space="preserve">
IF($A$4&lt;=12,SUMIFS('ON Data'!AG:AG,'ON Data'!$D:$D,$A$4,'ON Data'!$E:$E,8),SUMIFS('ON Data'!AG:AG,'ON Data'!$E:$E,8))</f>
        <v>0</v>
      </c>
      <c r="AC17" s="220">
        <f xml:space="preserve">
IF($A$4&lt;=12,SUMIFS('ON Data'!AH:AH,'ON Data'!$D:$D,$A$4,'ON Data'!$E:$E,8),SUMIFS('ON Data'!AH:AH,'ON Data'!$E:$E,8))</f>
        <v>0</v>
      </c>
      <c r="AD17" s="220">
        <f xml:space="preserve">
IF($A$4&lt;=12,SUMIFS('ON Data'!AI:AI,'ON Data'!$D:$D,$A$4,'ON Data'!$E:$E,8),SUMIFS('ON Data'!AI:AI,'ON Data'!$E:$E,8))</f>
        <v>0</v>
      </c>
      <c r="AE17" s="220">
        <f xml:space="preserve">
IF($A$4&lt;=12,SUMIFS('ON Data'!AJ:AJ,'ON Data'!$D:$D,$A$4,'ON Data'!$E:$E,8),SUMIFS('ON Data'!AJ:AJ,'ON Data'!$E:$E,8))</f>
        <v>0</v>
      </c>
      <c r="AF17" s="220">
        <f xml:space="preserve">
IF($A$4&lt;=12,SUMIFS('ON Data'!AK:AK,'ON Data'!$D:$D,$A$4,'ON Data'!$E:$E,8),SUMIFS('ON Data'!AK:AK,'ON Data'!$E:$E,8))</f>
        <v>0</v>
      </c>
      <c r="AG17" s="220">
        <f xml:space="preserve">
IF($A$4&lt;=12,SUMIFS('ON Data'!AL:AL,'ON Data'!$D:$D,$A$4,'ON Data'!$E:$E,8),SUMIFS('ON Data'!AL:AL,'ON Data'!$E:$E,8))</f>
        <v>0</v>
      </c>
      <c r="AH17" s="355">
        <f xml:space="preserve">
IF($A$4&lt;=12,SUMIFS('ON Data'!AN:AN,'ON Data'!$D:$D,$A$4,'ON Data'!$E:$E,8),SUMIFS('ON Data'!AN:AN,'ON Data'!$E:$E,8))</f>
        <v>0</v>
      </c>
      <c r="AI17" s="365"/>
    </row>
    <row r="18" spans="1:35" x14ac:dyDescent="0.3">
      <c r="A18" s="203" t="s">
        <v>143</v>
      </c>
      <c r="B18" s="218">
        <f xml:space="preserve">
B19-B16-B17</f>
        <v>90827</v>
      </c>
      <c r="C18" s="219">
        <f t="shared" ref="C18:G18" si="0" xml:space="preserve">
C19-C16-C17</f>
        <v>0</v>
      </c>
      <c r="D18" s="220">
        <f t="shared" si="0"/>
        <v>82920</v>
      </c>
      <c r="E18" s="220">
        <f t="shared" si="0"/>
        <v>0</v>
      </c>
      <c r="F18" s="220">
        <f t="shared" si="0"/>
        <v>0</v>
      </c>
      <c r="G18" s="220">
        <f t="shared" si="0"/>
        <v>0</v>
      </c>
      <c r="H18" s="220">
        <f t="shared" ref="H18:AH18" si="1" xml:space="preserve">
H19-H16-H17</f>
        <v>0</v>
      </c>
      <c r="I18" s="220">
        <f t="shared" si="1"/>
        <v>0</v>
      </c>
      <c r="J18" s="220">
        <f t="shared" si="1"/>
        <v>0</v>
      </c>
      <c r="K18" s="220">
        <f t="shared" si="1"/>
        <v>0</v>
      </c>
      <c r="L18" s="220">
        <f t="shared" si="1"/>
        <v>0</v>
      </c>
      <c r="M18" s="220">
        <f t="shared" si="1"/>
        <v>0</v>
      </c>
      <c r="N18" s="220">
        <f t="shared" si="1"/>
        <v>0</v>
      </c>
      <c r="O18" s="220">
        <f t="shared" si="1"/>
        <v>0</v>
      </c>
      <c r="P18" s="220">
        <f t="shared" si="1"/>
        <v>0</v>
      </c>
      <c r="Q18" s="220">
        <f t="shared" si="1"/>
        <v>0</v>
      </c>
      <c r="R18" s="220">
        <f t="shared" si="1"/>
        <v>0</v>
      </c>
      <c r="S18" s="220">
        <f t="shared" si="1"/>
        <v>0</v>
      </c>
      <c r="T18" s="220">
        <f t="shared" si="1"/>
        <v>0</v>
      </c>
      <c r="U18" s="220">
        <f t="shared" si="1"/>
        <v>0</v>
      </c>
      <c r="V18" s="220">
        <f t="shared" si="1"/>
        <v>837</v>
      </c>
      <c r="W18" s="220">
        <f t="shared" si="1"/>
        <v>0</v>
      </c>
      <c r="X18" s="220">
        <f t="shared" si="1"/>
        <v>0</v>
      </c>
      <c r="Y18" s="220">
        <f t="shared" si="1"/>
        <v>0</v>
      </c>
      <c r="Z18" s="220">
        <f t="shared" si="1"/>
        <v>0</v>
      </c>
      <c r="AA18" s="220">
        <f t="shared" si="1"/>
        <v>0</v>
      </c>
      <c r="AB18" s="220">
        <f t="shared" si="1"/>
        <v>0</v>
      </c>
      <c r="AC18" s="220">
        <f t="shared" si="1"/>
        <v>0</v>
      </c>
      <c r="AD18" s="220">
        <f t="shared" si="1"/>
        <v>0</v>
      </c>
      <c r="AE18" s="220">
        <f t="shared" si="1"/>
        <v>0</v>
      </c>
      <c r="AF18" s="220">
        <f t="shared" si="1"/>
        <v>0</v>
      </c>
      <c r="AG18" s="220">
        <f t="shared" si="1"/>
        <v>0</v>
      </c>
      <c r="AH18" s="355">
        <f t="shared" si="1"/>
        <v>7070</v>
      </c>
      <c r="AI18" s="365"/>
    </row>
    <row r="19" spans="1:35" ht="15" thickBot="1" x14ac:dyDescent="0.35">
      <c r="A19" s="204" t="s">
        <v>144</v>
      </c>
      <c r="B19" s="227">
        <f xml:space="preserve">
IF($A$4&lt;=12,SUMIFS('ON Data'!F:F,'ON Data'!$D:$D,$A$4,'ON Data'!$E:$E,9),SUMIFS('ON Data'!F:F,'ON Data'!$E:$E,9))</f>
        <v>90827</v>
      </c>
      <c r="C19" s="228">
        <f xml:space="preserve">
IF($A$4&lt;=12,SUMIFS('ON Data'!G:G,'ON Data'!$D:$D,$A$4,'ON Data'!$E:$E,9),SUMIFS('ON Data'!G:G,'ON Data'!$E:$E,9))</f>
        <v>0</v>
      </c>
      <c r="D19" s="229">
        <f xml:space="preserve">
IF($A$4&lt;=12,SUMIFS('ON Data'!H:H,'ON Data'!$D:$D,$A$4,'ON Data'!$E:$E,9),SUMIFS('ON Data'!H:H,'ON Data'!$E:$E,9))</f>
        <v>82920</v>
      </c>
      <c r="E19" s="229">
        <f xml:space="preserve">
IF($A$4&lt;=12,SUMIFS('ON Data'!I:I,'ON Data'!$D:$D,$A$4,'ON Data'!$E:$E,9),SUMIFS('ON Data'!I:I,'ON Data'!$E:$E,9))</f>
        <v>0</v>
      </c>
      <c r="F19" s="229">
        <f xml:space="preserve">
IF($A$4&lt;=12,SUMIFS('ON Data'!K:K,'ON Data'!$D:$D,$A$4,'ON Data'!$E:$E,9),SUMIFS('ON Data'!K:K,'ON Data'!$E:$E,9))</f>
        <v>0</v>
      </c>
      <c r="G19" s="229">
        <f xml:space="preserve">
IF($A$4&lt;=12,SUMIFS('ON Data'!L:L,'ON Data'!$D:$D,$A$4,'ON Data'!$E:$E,9),SUMIFS('ON Data'!L:L,'ON Data'!$E:$E,9))</f>
        <v>0</v>
      </c>
      <c r="H19" s="229">
        <f xml:space="preserve">
IF($A$4&lt;=12,SUMIFS('ON Data'!M:M,'ON Data'!$D:$D,$A$4,'ON Data'!$E:$E,9),SUMIFS('ON Data'!M:M,'ON Data'!$E:$E,9))</f>
        <v>0</v>
      </c>
      <c r="I19" s="229">
        <f xml:space="preserve">
IF($A$4&lt;=12,SUMIFS('ON Data'!N:N,'ON Data'!$D:$D,$A$4,'ON Data'!$E:$E,9),SUMIFS('ON Data'!N:N,'ON Data'!$E:$E,9))</f>
        <v>0</v>
      </c>
      <c r="J19" s="229">
        <f xml:space="preserve">
IF($A$4&lt;=12,SUMIFS('ON Data'!O:O,'ON Data'!$D:$D,$A$4,'ON Data'!$E:$E,9),SUMIFS('ON Data'!O:O,'ON Data'!$E:$E,9))</f>
        <v>0</v>
      </c>
      <c r="K19" s="229">
        <f xml:space="preserve">
IF($A$4&lt;=12,SUMIFS('ON Data'!P:P,'ON Data'!$D:$D,$A$4,'ON Data'!$E:$E,9),SUMIFS('ON Data'!P:P,'ON Data'!$E:$E,9))</f>
        <v>0</v>
      </c>
      <c r="L19" s="229">
        <f xml:space="preserve">
IF($A$4&lt;=12,SUMIFS('ON Data'!Q:Q,'ON Data'!$D:$D,$A$4,'ON Data'!$E:$E,9),SUMIFS('ON Data'!Q:Q,'ON Data'!$E:$E,9))</f>
        <v>0</v>
      </c>
      <c r="M19" s="229">
        <f xml:space="preserve">
IF($A$4&lt;=12,SUMIFS('ON Data'!R:R,'ON Data'!$D:$D,$A$4,'ON Data'!$E:$E,9),SUMIFS('ON Data'!R:R,'ON Data'!$E:$E,9))</f>
        <v>0</v>
      </c>
      <c r="N19" s="229">
        <f xml:space="preserve">
IF($A$4&lt;=12,SUMIFS('ON Data'!S:S,'ON Data'!$D:$D,$A$4,'ON Data'!$E:$E,9),SUMIFS('ON Data'!S:S,'ON Data'!$E:$E,9))</f>
        <v>0</v>
      </c>
      <c r="O19" s="229">
        <f xml:space="preserve">
IF($A$4&lt;=12,SUMIFS('ON Data'!T:T,'ON Data'!$D:$D,$A$4,'ON Data'!$E:$E,9),SUMIFS('ON Data'!T:T,'ON Data'!$E:$E,9))</f>
        <v>0</v>
      </c>
      <c r="P19" s="229">
        <f xml:space="preserve">
IF($A$4&lt;=12,SUMIFS('ON Data'!U:U,'ON Data'!$D:$D,$A$4,'ON Data'!$E:$E,9),SUMIFS('ON Data'!U:U,'ON Data'!$E:$E,9))</f>
        <v>0</v>
      </c>
      <c r="Q19" s="229">
        <f xml:space="preserve">
IF($A$4&lt;=12,SUMIFS('ON Data'!V:V,'ON Data'!$D:$D,$A$4,'ON Data'!$E:$E,9),SUMIFS('ON Data'!V:V,'ON Data'!$E:$E,9))</f>
        <v>0</v>
      </c>
      <c r="R19" s="229">
        <f xml:space="preserve">
IF($A$4&lt;=12,SUMIFS('ON Data'!W:W,'ON Data'!$D:$D,$A$4,'ON Data'!$E:$E,9),SUMIFS('ON Data'!W:W,'ON Data'!$E:$E,9))</f>
        <v>0</v>
      </c>
      <c r="S19" s="229">
        <f xml:space="preserve">
IF($A$4&lt;=12,SUMIFS('ON Data'!X:X,'ON Data'!$D:$D,$A$4,'ON Data'!$E:$E,9),SUMIFS('ON Data'!X:X,'ON Data'!$E:$E,9))</f>
        <v>0</v>
      </c>
      <c r="T19" s="229">
        <f xml:space="preserve">
IF($A$4&lt;=12,SUMIFS('ON Data'!Y:Y,'ON Data'!$D:$D,$A$4,'ON Data'!$E:$E,9),SUMIFS('ON Data'!Y:Y,'ON Data'!$E:$E,9))</f>
        <v>0</v>
      </c>
      <c r="U19" s="229">
        <f xml:space="preserve">
IF($A$4&lt;=12,SUMIFS('ON Data'!Z:Z,'ON Data'!$D:$D,$A$4,'ON Data'!$E:$E,9),SUMIFS('ON Data'!Z:Z,'ON Data'!$E:$E,9))</f>
        <v>0</v>
      </c>
      <c r="V19" s="229">
        <f xml:space="preserve">
IF($A$4&lt;=12,SUMIFS('ON Data'!AA:AA,'ON Data'!$D:$D,$A$4,'ON Data'!$E:$E,9),SUMIFS('ON Data'!AA:AA,'ON Data'!$E:$E,9))</f>
        <v>837</v>
      </c>
      <c r="W19" s="229">
        <f xml:space="preserve">
IF($A$4&lt;=12,SUMIFS('ON Data'!AB:AB,'ON Data'!$D:$D,$A$4,'ON Data'!$E:$E,9),SUMIFS('ON Data'!AB:AB,'ON Data'!$E:$E,9))</f>
        <v>0</v>
      </c>
      <c r="X19" s="229">
        <f xml:space="preserve">
IF($A$4&lt;=12,SUMIFS('ON Data'!AC:AC,'ON Data'!$D:$D,$A$4,'ON Data'!$E:$E,9),SUMIFS('ON Data'!AC:AC,'ON Data'!$E:$E,9))</f>
        <v>0</v>
      </c>
      <c r="Y19" s="229">
        <f xml:space="preserve">
IF($A$4&lt;=12,SUMIFS('ON Data'!AD:AD,'ON Data'!$D:$D,$A$4,'ON Data'!$E:$E,9),SUMIFS('ON Data'!AD:AD,'ON Data'!$E:$E,9))</f>
        <v>0</v>
      </c>
      <c r="Z19" s="229">
        <f xml:space="preserve">
IF($A$4&lt;=12,SUMIFS('ON Data'!AE:AE,'ON Data'!$D:$D,$A$4,'ON Data'!$E:$E,9),SUMIFS('ON Data'!AE:AE,'ON Data'!$E:$E,9))</f>
        <v>0</v>
      </c>
      <c r="AA19" s="229">
        <f xml:space="preserve">
IF($A$4&lt;=12,SUMIFS('ON Data'!AF:AF,'ON Data'!$D:$D,$A$4,'ON Data'!$E:$E,9),SUMIFS('ON Data'!AF:AF,'ON Data'!$E:$E,9))</f>
        <v>0</v>
      </c>
      <c r="AB19" s="229">
        <f xml:space="preserve">
IF($A$4&lt;=12,SUMIFS('ON Data'!AG:AG,'ON Data'!$D:$D,$A$4,'ON Data'!$E:$E,9),SUMIFS('ON Data'!AG:AG,'ON Data'!$E:$E,9))</f>
        <v>0</v>
      </c>
      <c r="AC19" s="229">
        <f xml:space="preserve">
IF($A$4&lt;=12,SUMIFS('ON Data'!AH:AH,'ON Data'!$D:$D,$A$4,'ON Data'!$E:$E,9),SUMIFS('ON Data'!AH:AH,'ON Data'!$E:$E,9))</f>
        <v>0</v>
      </c>
      <c r="AD19" s="229">
        <f xml:space="preserve">
IF($A$4&lt;=12,SUMIFS('ON Data'!AI:AI,'ON Data'!$D:$D,$A$4,'ON Data'!$E:$E,9),SUMIFS('ON Data'!AI:AI,'ON Data'!$E:$E,9))</f>
        <v>0</v>
      </c>
      <c r="AE19" s="229">
        <f xml:space="preserve">
IF($A$4&lt;=12,SUMIFS('ON Data'!AJ:AJ,'ON Data'!$D:$D,$A$4,'ON Data'!$E:$E,9),SUMIFS('ON Data'!AJ:AJ,'ON Data'!$E:$E,9))</f>
        <v>0</v>
      </c>
      <c r="AF19" s="229">
        <f xml:space="preserve">
IF($A$4&lt;=12,SUMIFS('ON Data'!AK:AK,'ON Data'!$D:$D,$A$4,'ON Data'!$E:$E,9),SUMIFS('ON Data'!AK:AK,'ON Data'!$E:$E,9))</f>
        <v>0</v>
      </c>
      <c r="AG19" s="229">
        <f xml:space="preserve">
IF($A$4&lt;=12,SUMIFS('ON Data'!AL:AL,'ON Data'!$D:$D,$A$4,'ON Data'!$E:$E,9),SUMIFS('ON Data'!AL:AL,'ON Data'!$E:$E,9))</f>
        <v>0</v>
      </c>
      <c r="AH19" s="358">
        <f xml:space="preserve">
IF($A$4&lt;=12,SUMIFS('ON Data'!AN:AN,'ON Data'!$D:$D,$A$4,'ON Data'!$E:$E,9),SUMIFS('ON Data'!AN:AN,'ON Data'!$E:$E,9))</f>
        <v>7070</v>
      </c>
      <c r="AI19" s="365"/>
    </row>
    <row r="20" spans="1:35" ht="15" collapsed="1" thickBot="1" x14ac:dyDescent="0.35">
      <c r="A20" s="205" t="s">
        <v>49</v>
      </c>
      <c r="B20" s="230">
        <f xml:space="preserve">
IF($A$4&lt;=12,SUMIFS('ON Data'!F:F,'ON Data'!$D:$D,$A$4,'ON Data'!$E:$E,6),SUMIFS('ON Data'!F:F,'ON Data'!$E:$E,6))</f>
        <v>899935</v>
      </c>
      <c r="C20" s="231">
        <f xml:space="preserve">
IF($A$4&lt;=12,SUMIFS('ON Data'!G:G,'ON Data'!$D:$D,$A$4,'ON Data'!$E:$E,6),SUMIFS('ON Data'!G:G,'ON Data'!$E:$E,6))</f>
        <v>0</v>
      </c>
      <c r="D20" s="232">
        <f xml:space="preserve">
IF($A$4&lt;=12,SUMIFS('ON Data'!H:H,'ON Data'!$D:$D,$A$4,'ON Data'!$E:$E,6),SUMIFS('ON Data'!H:H,'ON Data'!$E:$E,6))</f>
        <v>779780</v>
      </c>
      <c r="E20" s="232">
        <f xml:space="preserve">
IF($A$4&lt;=12,SUMIFS('ON Data'!I:I,'ON Data'!$D:$D,$A$4,'ON Data'!$E:$E,6),SUMIFS('ON Data'!I:I,'ON Data'!$E:$E,6))</f>
        <v>0</v>
      </c>
      <c r="F20" s="232">
        <f xml:space="preserve">
IF($A$4&lt;=12,SUMIFS('ON Data'!K:K,'ON Data'!$D:$D,$A$4,'ON Data'!$E:$E,6),SUMIFS('ON Data'!K:K,'ON Data'!$E:$E,6))</f>
        <v>0</v>
      </c>
      <c r="G20" s="232">
        <f xml:space="preserve">
IF($A$4&lt;=12,SUMIFS('ON Data'!L:L,'ON Data'!$D:$D,$A$4,'ON Data'!$E:$E,6),SUMIFS('ON Data'!L:L,'ON Data'!$E:$E,6))</f>
        <v>0</v>
      </c>
      <c r="H20" s="232">
        <f xml:space="preserve">
IF($A$4&lt;=12,SUMIFS('ON Data'!M:M,'ON Data'!$D:$D,$A$4,'ON Data'!$E:$E,6),SUMIFS('ON Data'!M:M,'ON Data'!$E:$E,6))</f>
        <v>0</v>
      </c>
      <c r="I20" s="232">
        <f xml:space="preserve">
IF($A$4&lt;=12,SUMIFS('ON Data'!N:N,'ON Data'!$D:$D,$A$4,'ON Data'!$E:$E,6),SUMIFS('ON Data'!N:N,'ON Data'!$E:$E,6))</f>
        <v>0</v>
      </c>
      <c r="J20" s="232">
        <f xml:space="preserve">
IF($A$4&lt;=12,SUMIFS('ON Data'!O:O,'ON Data'!$D:$D,$A$4,'ON Data'!$E:$E,6),SUMIFS('ON Data'!O:O,'ON Data'!$E:$E,6))</f>
        <v>0</v>
      </c>
      <c r="K20" s="232">
        <f xml:space="preserve">
IF($A$4&lt;=12,SUMIFS('ON Data'!P:P,'ON Data'!$D:$D,$A$4,'ON Data'!$E:$E,6),SUMIFS('ON Data'!P:P,'ON Data'!$E:$E,6))</f>
        <v>0</v>
      </c>
      <c r="L20" s="232">
        <f xml:space="preserve">
IF($A$4&lt;=12,SUMIFS('ON Data'!Q:Q,'ON Data'!$D:$D,$A$4,'ON Data'!$E:$E,6),SUMIFS('ON Data'!Q:Q,'ON Data'!$E:$E,6))</f>
        <v>0</v>
      </c>
      <c r="M20" s="232">
        <f xml:space="preserve">
IF($A$4&lt;=12,SUMIFS('ON Data'!R:R,'ON Data'!$D:$D,$A$4,'ON Data'!$E:$E,6),SUMIFS('ON Data'!R:R,'ON Data'!$E:$E,6))</f>
        <v>0</v>
      </c>
      <c r="N20" s="232">
        <f xml:space="preserve">
IF($A$4&lt;=12,SUMIFS('ON Data'!S:S,'ON Data'!$D:$D,$A$4,'ON Data'!$E:$E,6),SUMIFS('ON Data'!S:S,'ON Data'!$E:$E,6))</f>
        <v>0</v>
      </c>
      <c r="O20" s="232">
        <f xml:space="preserve">
IF($A$4&lt;=12,SUMIFS('ON Data'!T:T,'ON Data'!$D:$D,$A$4,'ON Data'!$E:$E,6),SUMIFS('ON Data'!T:T,'ON Data'!$E:$E,6))</f>
        <v>0</v>
      </c>
      <c r="P20" s="232">
        <f xml:space="preserve">
IF($A$4&lt;=12,SUMIFS('ON Data'!U:U,'ON Data'!$D:$D,$A$4,'ON Data'!$E:$E,6),SUMIFS('ON Data'!U:U,'ON Data'!$E:$E,6))</f>
        <v>0</v>
      </c>
      <c r="Q20" s="232">
        <f xml:space="preserve">
IF($A$4&lt;=12,SUMIFS('ON Data'!V:V,'ON Data'!$D:$D,$A$4,'ON Data'!$E:$E,6),SUMIFS('ON Data'!V:V,'ON Data'!$E:$E,6))</f>
        <v>0</v>
      </c>
      <c r="R20" s="232">
        <f xml:space="preserve">
IF($A$4&lt;=12,SUMIFS('ON Data'!W:W,'ON Data'!$D:$D,$A$4,'ON Data'!$E:$E,6),SUMIFS('ON Data'!W:W,'ON Data'!$E:$E,6))</f>
        <v>0</v>
      </c>
      <c r="S20" s="232">
        <f xml:space="preserve">
IF($A$4&lt;=12,SUMIFS('ON Data'!X:X,'ON Data'!$D:$D,$A$4,'ON Data'!$E:$E,6),SUMIFS('ON Data'!X:X,'ON Data'!$E:$E,6))</f>
        <v>0</v>
      </c>
      <c r="T20" s="232">
        <f xml:space="preserve">
IF($A$4&lt;=12,SUMIFS('ON Data'!Y:Y,'ON Data'!$D:$D,$A$4,'ON Data'!$E:$E,6),SUMIFS('ON Data'!Y:Y,'ON Data'!$E:$E,6))</f>
        <v>0</v>
      </c>
      <c r="U20" s="232">
        <f xml:space="preserve">
IF($A$4&lt;=12,SUMIFS('ON Data'!Z:Z,'ON Data'!$D:$D,$A$4,'ON Data'!$E:$E,6),SUMIFS('ON Data'!Z:Z,'ON Data'!$E:$E,6))</f>
        <v>0</v>
      </c>
      <c r="V20" s="232">
        <f xml:space="preserve">
IF($A$4&lt;=12,SUMIFS('ON Data'!AA:AA,'ON Data'!$D:$D,$A$4,'ON Data'!$E:$E,6),SUMIFS('ON Data'!AA:AA,'ON Data'!$E:$E,6))</f>
        <v>18616</v>
      </c>
      <c r="W20" s="232">
        <f xml:space="preserve">
IF($A$4&lt;=12,SUMIFS('ON Data'!AB:AB,'ON Data'!$D:$D,$A$4,'ON Data'!$E:$E,6),SUMIFS('ON Data'!AB:AB,'ON Data'!$E:$E,6))</f>
        <v>0</v>
      </c>
      <c r="X20" s="232">
        <f xml:space="preserve">
IF($A$4&lt;=12,SUMIFS('ON Data'!AC:AC,'ON Data'!$D:$D,$A$4,'ON Data'!$E:$E,6),SUMIFS('ON Data'!AC:AC,'ON Data'!$E:$E,6))</f>
        <v>0</v>
      </c>
      <c r="Y20" s="232">
        <f xml:space="preserve">
IF($A$4&lt;=12,SUMIFS('ON Data'!AD:AD,'ON Data'!$D:$D,$A$4,'ON Data'!$E:$E,6),SUMIFS('ON Data'!AD:AD,'ON Data'!$E:$E,6))</f>
        <v>0</v>
      </c>
      <c r="Z20" s="232">
        <f xml:space="preserve">
IF($A$4&lt;=12,SUMIFS('ON Data'!AE:AE,'ON Data'!$D:$D,$A$4,'ON Data'!$E:$E,6),SUMIFS('ON Data'!AE:AE,'ON Data'!$E:$E,6))</f>
        <v>0</v>
      </c>
      <c r="AA20" s="232">
        <f xml:space="preserve">
IF($A$4&lt;=12,SUMIFS('ON Data'!AF:AF,'ON Data'!$D:$D,$A$4,'ON Data'!$E:$E,6),SUMIFS('ON Data'!AF:AF,'ON Data'!$E:$E,6))</f>
        <v>0</v>
      </c>
      <c r="AB20" s="232">
        <f xml:space="preserve">
IF($A$4&lt;=12,SUMIFS('ON Data'!AG:AG,'ON Data'!$D:$D,$A$4,'ON Data'!$E:$E,6),SUMIFS('ON Data'!AG:AG,'ON Data'!$E:$E,6))</f>
        <v>0</v>
      </c>
      <c r="AC20" s="232">
        <f xml:space="preserve">
IF($A$4&lt;=12,SUMIFS('ON Data'!AH:AH,'ON Data'!$D:$D,$A$4,'ON Data'!$E:$E,6),SUMIFS('ON Data'!AH:AH,'ON Data'!$E:$E,6))</f>
        <v>0</v>
      </c>
      <c r="AD20" s="232">
        <f xml:space="preserve">
IF($A$4&lt;=12,SUMIFS('ON Data'!AI:AI,'ON Data'!$D:$D,$A$4,'ON Data'!$E:$E,6),SUMIFS('ON Data'!AI:AI,'ON Data'!$E:$E,6))</f>
        <v>0</v>
      </c>
      <c r="AE20" s="232">
        <f xml:space="preserve">
IF($A$4&lt;=12,SUMIFS('ON Data'!AJ:AJ,'ON Data'!$D:$D,$A$4,'ON Data'!$E:$E,6),SUMIFS('ON Data'!AJ:AJ,'ON Data'!$E:$E,6))</f>
        <v>0</v>
      </c>
      <c r="AF20" s="232">
        <f xml:space="preserve">
IF($A$4&lt;=12,SUMIFS('ON Data'!AK:AK,'ON Data'!$D:$D,$A$4,'ON Data'!$E:$E,6),SUMIFS('ON Data'!AK:AK,'ON Data'!$E:$E,6))</f>
        <v>0</v>
      </c>
      <c r="AG20" s="232">
        <f xml:space="preserve">
IF($A$4&lt;=12,SUMIFS('ON Data'!AL:AL,'ON Data'!$D:$D,$A$4,'ON Data'!$E:$E,6),SUMIFS('ON Data'!AL:AL,'ON Data'!$E:$E,6))</f>
        <v>0</v>
      </c>
      <c r="AH20" s="359">
        <f xml:space="preserve">
IF($A$4&lt;=12,SUMIFS('ON Data'!AN:AN,'ON Data'!$D:$D,$A$4,'ON Data'!$E:$E,6),SUMIFS('ON Data'!AN:AN,'ON Data'!$E:$E,6))</f>
        <v>101539</v>
      </c>
      <c r="AI20" s="365"/>
    </row>
    <row r="21" spans="1:35" ht="15" hidden="1" outlineLevel="1" thickBot="1" x14ac:dyDescent="0.35">
      <c r="A21" s="198" t="s">
        <v>83</v>
      </c>
      <c r="B21" s="218">
        <f xml:space="preserve">
IF($A$4&lt;=12,SUMIFS('ON Data'!F:F,'ON Data'!$D:$D,$A$4,'ON Data'!$E:$E,12),SUMIFS('ON Data'!F:F,'ON Data'!$E:$E,12))</f>
        <v>0</v>
      </c>
      <c r="C21" s="219">
        <f xml:space="preserve">
IF($A$4&lt;=12,SUMIFS('ON Data'!G:G,'ON Data'!$D:$D,$A$4,'ON Data'!$E:$E,12),SUMIFS('ON Data'!G:G,'ON Data'!$E:$E,12))</f>
        <v>0</v>
      </c>
      <c r="D21" s="220">
        <f xml:space="preserve">
IF($A$4&lt;=12,SUMIFS('ON Data'!H:H,'ON Data'!$D:$D,$A$4,'ON Data'!$E:$E,12),SUMIFS('ON Data'!H:H,'ON Data'!$E:$E,12))</f>
        <v>0</v>
      </c>
      <c r="E21" s="220">
        <f xml:space="preserve">
IF($A$4&lt;=12,SUMIFS('ON Data'!I:I,'ON Data'!$D:$D,$A$4,'ON Data'!$E:$E,12),SUMIFS('ON Data'!I:I,'ON Data'!$E:$E,12))</f>
        <v>0</v>
      </c>
      <c r="F21" s="220">
        <f xml:space="preserve">
IF($A$4&lt;=12,SUMIFS('ON Data'!K:K,'ON Data'!$D:$D,$A$4,'ON Data'!$E:$E,12),SUMIFS('ON Data'!K:K,'ON Data'!$E:$E,12))</f>
        <v>0</v>
      </c>
      <c r="G21" s="220">
        <f xml:space="preserve">
IF($A$4&lt;=12,SUMIFS('ON Data'!L:L,'ON Data'!$D:$D,$A$4,'ON Data'!$E:$E,12),SUMIFS('ON Data'!L:L,'ON Data'!$E:$E,12))</f>
        <v>0</v>
      </c>
      <c r="H21" s="220">
        <f xml:space="preserve">
IF($A$4&lt;=12,SUMIFS('ON Data'!M:M,'ON Data'!$D:$D,$A$4,'ON Data'!$E:$E,12),SUMIFS('ON Data'!M:M,'ON Data'!$E:$E,12))</f>
        <v>0</v>
      </c>
      <c r="I21" s="220">
        <f xml:space="preserve">
IF($A$4&lt;=12,SUMIFS('ON Data'!N:N,'ON Data'!$D:$D,$A$4,'ON Data'!$E:$E,12),SUMIFS('ON Data'!N:N,'ON Data'!$E:$E,12))</f>
        <v>0</v>
      </c>
      <c r="J21" s="220">
        <f xml:space="preserve">
IF($A$4&lt;=12,SUMIFS('ON Data'!O:O,'ON Data'!$D:$D,$A$4,'ON Data'!$E:$E,12),SUMIFS('ON Data'!O:O,'ON Data'!$E:$E,12))</f>
        <v>0</v>
      </c>
      <c r="K21" s="220">
        <f xml:space="preserve">
IF($A$4&lt;=12,SUMIFS('ON Data'!P:P,'ON Data'!$D:$D,$A$4,'ON Data'!$E:$E,12),SUMIFS('ON Data'!P:P,'ON Data'!$E:$E,12))</f>
        <v>0</v>
      </c>
      <c r="L21" s="220">
        <f xml:space="preserve">
IF($A$4&lt;=12,SUMIFS('ON Data'!Q:Q,'ON Data'!$D:$D,$A$4,'ON Data'!$E:$E,12),SUMIFS('ON Data'!Q:Q,'ON Data'!$E:$E,12))</f>
        <v>0</v>
      </c>
      <c r="M21" s="220">
        <f xml:space="preserve">
IF($A$4&lt;=12,SUMIFS('ON Data'!R:R,'ON Data'!$D:$D,$A$4,'ON Data'!$E:$E,12),SUMIFS('ON Data'!R:R,'ON Data'!$E:$E,12))</f>
        <v>0</v>
      </c>
      <c r="N21" s="220">
        <f xml:space="preserve">
IF($A$4&lt;=12,SUMIFS('ON Data'!S:S,'ON Data'!$D:$D,$A$4,'ON Data'!$E:$E,12),SUMIFS('ON Data'!S:S,'ON Data'!$E:$E,12))</f>
        <v>0</v>
      </c>
      <c r="O21" s="220">
        <f xml:space="preserve">
IF($A$4&lt;=12,SUMIFS('ON Data'!T:T,'ON Data'!$D:$D,$A$4,'ON Data'!$E:$E,12),SUMIFS('ON Data'!T:T,'ON Data'!$E:$E,12))</f>
        <v>0</v>
      </c>
      <c r="P21" s="220">
        <f xml:space="preserve">
IF($A$4&lt;=12,SUMIFS('ON Data'!U:U,'ON Data'!$D:$D,$A$4,'ON Data'!$E:$E,12),SUMIFS('ON Data'!U:U,'ON Data'!$E:$E,12))</f>
        <v>0</v>
      </c>
      <c r="Q21" s="220">
        <f xml:space="preserve">
IF($A$4&lt;=12,SUMIFS('ON Data'!V:V,'ON Data'!$D:$D,$A$4,'ON Data'!$E:$E,12),SUMIFS('ON Data'!V:V,'ON Data'!$E:$E,12))</f>
        <v>0</v>
      </c>
      <c r="R21" s="220">
        <f xml:space="preserve">
IF($A$4&lt;=12,SUMIFS('ON Data'!W:W,'ON Data'!$D:$D,$A$4,'ON Data'!$E:$E,12),SUMIFS('ON Data'!W:W,'ON Data'!$E:$E,12))</f>
        <v>0</v>
      </c>
      <c r="S21" s="220">
        <f xml:space="preserve">
IF($A$4&lt;=12,SUMIFS('ON Data'!X:X,'ON Data'!$D:$D,$A$4,'ON Data'!$E:$E,12),SUMIFS('ON Data'!X:X,'ON Data'!$E:$E,12))</f>
        <v>0</v>
      </c>
      <c r="T21" s="220">
        <f xml:space="preserve">
IF($A$4&lt;=12,SUMIFS('ON Data'!Y:Y,'ON Data'!$D:$D,$A$4,'ON Data'!$E:$E,12),SUMIFS('ON Data'!Y:Y,'ON Data'!$E:$E,12))</f>
        <v>0</v>
      </c>
      <c r="U21" s="220">
        <f xml:space="preserve">
IF($A$4&lt;=12,SUMIFS('ON Data'!Z:Z,'ON Data'!$D:$D,$A$4,'ON Data'!$E:$E,12),SUMIFS('ON Data'!Z:Z,'ON Data'!$E:$E,12))</f>
        <v>0</v>
      </c>
      <c r="V21" s="220">
        <f xml:space="preserve">
IF($A$4&lt;=12,SUMIFS('ON Data'!AA:AA,'ON Data'!$D:$D,$A$4,'ON Data'!$E:$E,12),SUMIFS('ON Data'!AA:AA,'ON Data'!$E:$E,12))</f>
        <v>0</v>
      </c>
      <c r="W21" s="220">
        <f xml:space="preserve">
IF($A$4&lt;=12,SUMIFS('ON Data'!AB:AB,'ON Data'!$D:$D,$A$4,'ON Data'!$E:$E,12),SUMIFS('ON Data'!AB:AB,'ON Data'!$E:$E,12))</f>
        <v>0</v>
      </c>
      <c r="X21" s="220">
        <f xml:space="preserve">
IF($A$4&lt;=12,SUMIFS('ON Data'!AC:AC,'ON Data'!$D:$D,$A$4,'ON Data'!$E:$E,12),SUMIFS('ON Data'!AC:AC,'ON Data'!$E:$E,12))</f>
        <v>0</v>
      </c>
      <c r="Y21" s="220">
        <f xml:space="preserve">
IF($A$4&lt;=12,SUMIFS('ON Data'!AD:AD,'ON Data'!$D:$D,$A$4,'ON Data'!$E:$E,12),SUMIFS('ON Data'!AD:AD,'ON Data'!$E:$E,12))</f>
        <v>0</v>
      </c>
      <c r="Z21" s="220">
        <f xml:space="preserve">
IF($A$4&lt;=12,SUMIFS('ON Data'!AE:AE,'ON Data'!$D:$D,$A$4,'ON Data'!$E:$E,12),SUMIFS('ON Data'!AE:AE,'ON Data'!$E:$E,12))</f>
        <v>0</v>
      </c>
      <c r="AA21" s="220">
        <f xml:space="preserve">
IF($A$4&lt;=12,SUMIFS('ON Data'!AF:AF,'ON Data'!$D:$D,$A$4,'ON Data'!$E:$E,12),SUMIFS('ON Data'!AF:AF,'ON Data'!$E:$E,12))</f>
        <v>0</v>
      </c>
      <c r="AB21" s="220">
        <f xml:space="preserve">
IF($A$4&lt;=12,SUMIFS('ON Data'!AG:AG,'ON Data'!$D:$D,$A$4,'ON Data'!$E:$E,12),SUMIFS('ON Data'!AG:AG,'ON Data'!$E:$E,12))</f>
        <v>0</v>
      </c>
      <c r="AC21" s="220">
        <f xml:space="preserve">
IF($A$4&lt;=12,SUMIFS('ON Data'!AH:AH,'ON Data'!$D:$D,$A$4,'ON Data'!$E:$E,12),SUMIFS('ON Data'!AH:AH,'ON Data'!$E:$E,12))</f>
        <v>0</v>
      </c>
      <c r="AD21" s="220">
        <f xml:space="preserve">
IF($A$4&lt;=12,SUMIFS('ON Data'!AI:AI,'ON Data'!$D:$D,$A$4,'ON Data'!$E:$E,12),SUMIFS('ON Data'!AI:AI,'ON Data'!$E:$E,12))</f>
        <v>0</v>
      </c>
      <c r="AE21" s="220">
        <f xml:space="preserve">
IF($A$4&lt;=12,SUMIFS('ON Data'!AJ:AJ,'ON Data'!$D:$D,$A$4,'ON Data'!$E:$E,12),SUMIFS('ON Data'!AJ:AJ,'ON Data'!$E:$E,12))</f>
        <v>0</v>
      </c>
      <c r="AF21" s="220">
        <f xml:space="preserve">
IF($A$4&lt;=12,SUMIFS('ON Data'!AK:AK,'ON Data'!$D:$D,$A$4,'ON Data'!$E:$E,12),SUMIFS('ON Data'!AK:AK,'ON Data'!$E:$E,12))</f>
        <v>0</v>
      </c>
      <c r="AG21" s="220">
        <f xml:space="preserve">
IF($A$4&lt;=12,SUMIFS('ON Data'!AL:AL,'ON Data'!$D:$D,$A$4,'ON Data'!$E:$E,12),SUMIFS('ON Data'!AL:AL,'ON Data'!$E:$E,12))</f>
        <v>0</v>
      </c>
      <c r="AH21" s="355">
        <f xml:space="preserve">
IF($A$4&lt;=12,SUMIFS('ON Data'!AN:AN,'ON Data'!$D:$D,$A$4,'ON Data'!$E:$E,12),SUMIFS('ON Data'!AN:AN,'ON Data'!$E:$E,12))</f>
        <v>0</v>
      </c>
      <c r="AI21" s="365"/>
    </row>
    <row r="22" spans="1:35" ht="15" hidden="1" outlineLevel="1" thickBot="1" x14ac:dyDescent="0.35">
      <c r="A22" s="198" t="s">
        <v>51</v>
      </c>
      <c r="B22" s="256" t="str">
        <f xml:space="preserve">
IF(OR(B21="",B21=0),"",B20/B21)</f>
        <v/>
      </c>
      <c r="C22" s="257" t="str">
        <f t="shared" ref="C22: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ref="H22:AH22" si="3" xml:space="preserve">
IF(OR(H21="",H21=0),"",H20/H21)</f>
        <v/>
      </c>
      <c r="I22" s="258" t="str">
        <f t="shared" si="3"/>
        <v/>
      </c>
      <c r="J22" s="258" t="str">
        <f t="shared" si="3"/>
        <v/>
      </c>
      <c r="K22" s="258" t="str">
        <f t="shared" si="3"/>
        <v/>
      </c>
      <c r="L22" s="258" t="str">
        <f t="shared" si="3"/>
        <v/>
      </c>
      <c r="M22" s="258" t="str">
        <f t="shared" si="3"/>
        <v/>
      </c>
      <c r="N22" s="258" t="str">
        <f t="shared" si="3"/>
        <v/>
      </c>
      <c r="O22" s="258" t="str">
        <f t="shared" si="3"/>
        <v/>
      </c>
      <c r="P22" s="258" t="str">
        <f t="shared" si="3"/>
        <v/>
      </c>
      <c r="Q22" s="258" t="str">
        <f t="shared" si="3"/>
        <v/>
      </c>
      <c r="R22" s="258" t="str">
        <f t="shared" si="3"/>
        <v/>
      </c>
      <c r="S22" s="258" t="str">
        <f t="shared" si="3"/>
        <v/>
      </c>
      <c r="T22" s="258" t="str">
        <f t="shared" si="3"/>
        <v/>
      </c>
      <c r="U22" s="258" t="str">
        <f t="shared" si="3"/>
        <v/>
      </c>
      <c r="V22" s="258" t="str">
        <f t="shared" si="3"/>
        <v/>
      </c>
      <c r="W22" s="258" t="str">
        <f t="shared" si="3"/>
        <v/>
      </c>
      <c r="X22" s="258" t="str">
        <f t="shared" si="3"/>
        <v/>
      </c>
      <c r="Y22" s="258" t="str">
        <f t="shared" si="3"/>
        <v/>
      </c>
      <c r="Z22" s="258" t="str">
        <f t="shared" si="3"/>
        <v/>
      </c>
      <c r="AA22" s="258" t="str">
        <f t="shared" si="3"/>
        <v/>
      </c>
      <c r="AB22" s="258" t="str">
        <f t="shared" si="3"/>
        <v/>
      </c>
      <c r="AC22" s="258" t="str">
        <f t="shared" si="3"/>
        <v/>
      </c>
      <c r="AD22" s="258" t="str">
        <f t="shared" si="3"/>
        <v/>
      </c>
      <c r="AE22" s="258" t="str">
        <f t="shared" si="3"/>
        <v/>
      </c>
      <c r="AF22" s="258" t="str">
        <f t="shared" si="3"/>
        <v/>
      </c>
      <c r="AG22" s="258" t="str">
        <f t="shared" si="3"/>
        <v/>
      </c>
      <c r="AH22" s="360" t="str">
        <f t="shared" si="3"/>
        <v/>
      </c>
      <c r="AI22" s="365"/>
    </row>
    <row r="23" spans="1:35" ht="15" hidden="1" outlineLevel="1" thickBot="1" x14ac:dyDescent="0.35">
      <c r="A23" s="206" t="s">
        <v>44</v>
      </c>
      <c r="B23" s="221">
        <f xml:space="preserve">
IF(B21="","",B20-B21)</f>
        <v>899935</v>
      </c>
      <c r="C23" s="222">
        <f t="shared" ref="C23:G23" si="4" xml:space="preserve">
IF(C21="","",C20-C21)</f>
        <v>0</v>
      </c>
      <c r="D23" s="223">
        <f t="shared" si="4"/>
        <v>779780</v>
      </c>
      <c r="E23" s="223">
        <f t="shared" si="4"/>
        <v>0</v>
      </c>
      <c r="F23" s="223">
        <f t="shared" si="4"/>
        <v>0</v>
      </c>
      <c r="G23" s="223">
        <f t="shared" si="4"/>
        <v>0</v>
      </c>
      <c r="H23" s="223">
        <f t="shared" ref="H23:AH23" si="5" xml:space="preserve">
IF(H21="","",H20-H21)</f>
        <v>0</v>
      </c>
      <c r="I23" s="223">
        <f t="shared" si="5"/>
        <v>0</v>
      </c>
      <c r="J23" s="223">
        <f t="shared" si="5"/>
        <v>0</v>
      </c>
      <c r="K23" s="223">
        <f t="shared" si="5"/>
        <v>0</v>
      </c>
      <c r="L23" s="223">
        <f t="shared" si="5"/>
        <v>0</v>
      </c>
      <c r="M23" s="223">
        <f t="shared" si="5"/>
        <v>0</v>
      </c>
      <c r="N23" s="223">
        <f t="shared" si="5"/>
        <v>0</v>
      </c>
      <c r="O23" s="223">
        <f t="shared" si="5"/>
        <v>0</v>
      </c>
      <c r="P23" s="223">
        <f t="shared" si="5"/>
        <v>0</v>
      </c>
      <c r="Q23" s="223">
        <f t="shared" si="5"/>
        <v>0</v>
      </c>
      <c r="R23" s="223">
        <f t="shared" si="5"/>
        <v>0</v>
      </c>
      <c r="S23" s="223">
        <f t="shared" si="5"/>
        <v>0</v>
      </c>
      <c r="T23" s="223">
        <f t="shared" si="5"/>
        <v>0</v>
      </c>
      <c r="U23" s="223">
        <f t="shared" si="5"/>
        <v>0</v>
      </c>
      <c r="V23" s="223">
        <f t="shared" si="5"/>
        <v>18616</v>
      </c>
      <c r="W23" s="223">
        <f t="shared" si="5"/>
        <v>0</v>
      </c>
      <c r="X23" s="223">
        <f t="shared" si="5"/>
        <v>0</v>
      </c>
      <c r="Y23" s="223">
        <f t="shared" si="5"/>
        <v>0</v>
      </c>
      <c r="Z23" s="223">
        <f t="shared" si="5"/>
        <v>0</v>
      </c>
      <c r="AA23" s="223">
        <f t="shared" si="5"/>
        <v>0</v>
      </c>
      <c r="AB23" s="223">
        <f t="shared" si="5"/>
        <v>0</v>
      </c>
      <c r="AC23" s="223">
        <f t="shared" si="5"/>
        <v>0</v>
      </c>
      <c r="AD23" s="223">
        <f t="shared" si="5"/>
        <v>0</v>
      </c>
      <c r="AE23" s="223">
        <f t="shared" si="5"/>
        <v>0</v>
      </c>
      <c r="AF23" s="223">
        <f t="shared" si="5"/>
        <v>0</v>
      </c>
      <c r="AG23" s="223">
        <f t="shared" si="5"/>
        <v>0</v>
      </c>
      <c r="AH23" s="356">
        <f t="shared" si="5"/>
        <v>101539</v>
      </c>
      <c r="AI23" s="365"/>
    </row>
    <row r="24" spans="1:35" x14ac:dyDescent="0.3">
      <c r="A24" s="200" t="s">
        <v>145</v>
      </c>
      <c r="B24" s="247" t="s">
        <v>2</v>
      </c>
      <c r="C24" s="366" t="s">
        <v>156</v>
      </c>
      <c r="D24" s="340"/>
      <c r="E24" s="341"/>
      <c r="F24" s="341" t="s">
        <v>157</v>
      </c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61" t="s">
        <v>158</v>
      </c>
      <c r="AI24" s="365"/>
    </row>
    <row r="25" spans="1:35" x14ac:dyDescent="0.3">
      <c r="A25" s="201" t="s">
        <v>49</v>
      </c>
      <c r="B25" s="218">
        <f xml:space="preserve">
SUM(C25:AH25)</f>
        <v>0</v>
      </c>
      <c r="C25" s="367">
        <f xml:space="preserve">
IF($A$4&lt;=12,SUMIFS('ON Data'!H:H,'ON Data'!$D:$D,$A$4,'ON Data'!$E:$E,10),SUMIFS('ON Data'!H:H,'ON Data'!$E:$E,10))</f>
        <v>0</v>
      </c>
      <c r="D25" s="342"/>
      <c r="E25" s="343"/>
      <c r="F25" s="343">
        <f xml:space="preserve">
IF($A$4&lt;=12,SUMIFS('ON Data'!K:K,'ON Data'!$D:$D,$A$4,'ON Data'!$E:$E,10),SUMIFS('ON Data'!K:K,'ON Data'!$E:$E,10))</f>
        <v>0</v>
      </c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62">
        <f xml:space="preserve">
IF($A$4&lt;=12,SUMIFS('ON Data'!AN:AN,'ON Data'!$D:$D,$A$4,'ON Data'!$E:$E,10),SUMIFS('ON Data'!AN:AN,'ON Data'!$E:$E,10))</f>
        <v>0</v>
      </c>
      <c r="AI25" s="365"/>
    </row>
    <row r="26" spans="1:35" x14ac:dyDescent="0.3">
      <c r="A26" s="207" t="s">
        <v>155</v>
      </c>
      <c r="B26" s="227">
        <f xml:space="preserve">
SUM(C26:AH26)</f>
        <v>7862.9913000555316</v>
      </c>
      <c r="C26" s="367">
        <f xml:space="preserve">
IF($A$4&lt;=12,SUMIFS('ON Data'!H:H,'ON Data'!$D:$D,$A$4,'ON Data'!$E:$E,11),SUMIFS('ON Data'!H:H,'ON Data'!$E:$E,11))</f>
        <v>6362.9913000555316</v>
      </c>
      <c r="D26" s="342"/>
      <c r="E26" s="343"/>
      <c r="F26" s="344">
        <f xml:space="preserve">
IF($A$4&lt;=12,SUMIFS('ON Data'!K:K,'ON Data'!$D:$D,$A$4,'ON Data'!$E:$E,11),SUMIFS('ON Data'!K:K,'ON Data'!$E:$E,11))</f>
        <v>1500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62">
        <f xml:space="preserve">
IF($A$4&lt;=12,SUMIFS('ON Data'!AN:AN,'ON Data'!$D:$D,$A$4,'ON Data'!$E:$E,11),SUMIFS('ON Data'!AN:AN,'ON Data'!$E:$E,11))</f>
        <v>0</v>
      </c>
      <c r="AI26" s="365"/>
    </row>
    <row r="27" spans="1:35" x14ac:dyDescent="0.3">
      <c r="A27" s="207" t="s">
        <v>51</v>
      </c>
      <c r="B27" s="248">
        <f xml:space="preserve">
IF(B26=0,0,B25/B26)</f>
        <v>0</v>
      </c>
      <c r="C27" s="368">
        <f xml:space="preserve">
IF(C26=0,0,C25/C26)</f>
        <v>0</v>
      </c>
      <c r="D27" s="345"/>
      <c r="E27" s="346"/>
      <c r="F27" s="346">
        <f xml:space="preserve">
IF(F26=0,0,F25/F26)</f>
        <v>0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63">
        <f xml:space="preserve">
IF(AH26=0,0,AH25/AH26)</f>
        <v>0</v>
      </c>
      <c r="AI27" s="365"/>
    </row>
    <row r="28" spans="1:35" ht="15" thickBot="1" x14ac:dyDescent="0.35">
      <c r="A28" s="207" t="s">
        <v>154</v>
      </c>
      <c r="B28" s="227">
        <f xml:space="preserve">
SUM(C28:AH28)</f>
        <v>7862.9913000555316</v>
      </c>
      <c r="C28" s="369">
        <f xml:space="preserve">
C26-C25</f>
        <v>6362.9913000555316</v>
      </c>
      <c r="D28" s="347"/>
      <c r="E28" s="348"/>
      <c r="F28" s="348">
        <f xml:space="preserve">
F26-F25</f>
        <v>1500</v>
      </c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64">
        <f xml:space="preserve">
AH26-AH25</f>
        <v>0</v>
      </c>
      <c r="AI28" s="365"/>
    </row>
    <row r="29" spans="1:35" x14ac:dyDescent="0.3">
      <c r="A29" s="208"/>
      <c r="B29" s="208"/>
      <c r="C29" s="209"/>
      <c r="D29" s="208"/>
      <c r="E29" s="208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8"/>
      <c r="AG29" s="208"/>
      <c r="AH29" s="208"/>
    </row>
    <row r="30" spans="1:35" x14ac:dyDescent="0.3">
      <c r="A30" s="85" t="s">
        <v>110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4" t="s">
        <v>149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</row>
    <row r="33" spans="1:1" x14ac:dyDescent="0.3">
      <c r="A33" s="246" t="s">
        <v>159</v>
      </c>
    </row>
    <row r="34" spans="1:1" x14ac:dyDescent="0.3">
      <c r="A34" s="246" t="s">
        <v>160</v>
      </c>
    </row>
    <row r="35" spans="1:1" x14ac:dyDescent="0.3">
      <c r="A35" s="246" t="s">
        <v>161</v>
      </c>
    </row>
    <row r="36" spans="1:1" x14ac:dyDescent="0.3">
      <c r="A36" s="246" t="s">
        <v>162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2"/>
  <sheetViews>
    <sheetView showGridLines="0" showRowColHeaders="0" workbookViewId="0"/>
  </sheetViews>
  <sheetFormatPr defaultRowHeight="14.4" x14ac:dyDescent="0.3"/>
  <cols>
    <col min="1" max="16384" width="8.88671875" style="187"/>
  </cols>
  <sheetData>
    <row r="1" spans="1:41" x14ac:dyDescent="0.3">
      <c r="A1" s="187" t="s">
        <v>277</v>
      </c>
    </row>
    <row r="2" spans="1:41" x14ac:dyDescent="0.3">
      <c r="A2" s="191" t="s">
        <v>216</v>
      </c>
    </row>
    <row r="3" spans="1:41" x14ac:dyDescent="0.3">
      <c r="A3" s="187" t="s">
        <v>119</v>
      </c>
      <c r="B3" s="212">
        <v>2015</v>
      </c>
      <c r="D3" s="188">
        <f>MAX(D5:D1048576)</f>
        <v>9</v>
      </c>
      <c r="F3" s="188">
        <f>SUMIF($E5:$E1048576,"&lt;10",F5:F1048576)</f>
        <v>994640.25</v>
      </c>
      <c r="G3" s="188">
        <f t="shared" ref="G3:AO3" si="0">SUMIF($E5:$E1048576,"&lt;10",G5:G1048576)</f>
        <v>0</v>
      </c>
      <c r="H3" s="188">
        <f t="shared" si="0"/>
        <v>865659.60000000009</v>
      </c>
      <c r="I3" s="188">
        <f t="shared" si="0"/>
        <v>0</v>
      </c>
      <c r="J3" s="188">
        <f t="shared" si="0"/>
        <v>0</v>
      </c>
      <c r="K3" s="188">
        <f t="shared" si="0"/>
        <v>0</v>
      </c>
      <c r="L3" s="188">
        <f t="shared" si="0"/>
        <v>0</v>
      </c>
      <c r="M3" s="188">
        <f t="shared" si="0"/>
        <v>0</v>
      </c>
      <c r="N3" s="188">
        <f t="shared" si="0"/>
        <v>0</v>
      </c>
      <c r="O3" s="188">
        <f t="shared" si="0"/>
        <v>0</v>
      </c>
      <c r="P3" s="188">
        <f t="shared" si="0"/>
        <v>0</v>
      </c>
      <c r="Q3" s="188">
        <f t="shared" si="0"/>
        <v>0</v>
      </c>
      <c r="R3" s="188">
        <f t="shared" si="0"/>
        <v>0</v>
      </c>
      <c r="S3" s="188">
        <f t="shared" si="0"/>
        <v>0</v>
      </c>
      <c r="T3" s="188">
        <f t="shared" si="0"/>
        <v>0</v>
      </c>
      <c r="U3" s="188">
        <f t="shared" si="0"/>
        <v>0</v>
      </c>
      <c r="V3" s="188">
        <f t="shared" si="0"/>
        <v>0</v>
      </c>
      <c r="W3" s="188">
        <f t="shared" si="0"/>
        <v>0</v>
      </c>
      <c r="X3" s="188">
        <f t="shared" si="0"/>
        <v>0</v>
      </c>
      <c r="Y3" s="188">
        <f t="shared" si="0"/>
        <v>0</v>
      </c>
      <c r="Z3" s="188">
        <f t="shared" si="0"/>
        <v>0</v>
      </c>
      <c r="AA3" s="188">
        <f t="shared" si="0"/>
        <v>19509.449999999997</v>
      </c>
      <c r="AB3" s="188">
        <f t="shared" si="0"/>
        <v>0</v>
      </c>
      <c r="AC3" s="188">
        <f t="shared" si="0"/>
        <v>0</v>
      </c>
      <c r="AD3" s="188">
        <f t="shared" si="0"/>
        <v>0</v>
      </c>
      <c r="AE3" s="188">
        <f t="shared" si="0"/>
        <v>0</v>
      </c>
      <c r="AF3" s="188">
        <f t="shared" si="0"/>
        <v>0</v>
      </c>
      <c r="AG3" s="188">
        <f t="shared" si="0"/>
        <v>0</v>
      </c>
      <c r="AH3" s="188">
        <f t="shared" si="0"/>
        <v>0</v>
      </c>
      <c r="AI3" s="188">
        <f t="shared" si="0"/>
        <v>0</v>
      </c>
      <c r="AJ3" s="188">
        <f t="shared" si="0"/>
        <v>0</v>
      </c>
      <c r="AK3" s="188">
        <f t="shared" si="0"/>
        <v>0</v>
      </c>
      <c r="AL3" s="188">
        <f t="shared" si="0"/>
        <v>0</v>
      </c>
      <c r="AM3" s="188">
        <f t="shared" si="0"/>
        <v>0</v>
      </c>
      <c r="AN3" s="188">
        <f t="shared" si="0"/>
        <v>109471.20000000001</v>
      </c>
      <c r="AO3" s="188">
        <f t="shared" si="0"/>
        <v>0</v>
      </c>
    </row>
    <row r="4" spans="1:41" x14ac:dyDescent="0.3">
      <c r="A4" s="187" t="s">
        <v>120</v>
      </c>
      <c r="B4" s="212">
        <v>1</v>
      </c>
      <c r="C4" s="189" t="s">
        <v>3</v>
      </c>
      <c r="D4" s="190" t="s">
        <v>43</v>
      </c>
      <c r="E4" s="190" t="s">
        <v>114</v>
      </c>
      <c r="F4" s="190" t="s">
        <v>2</v>
      </c>
      <c r="G4" s="190" t="s">
        <v>115</v>
      </c>
      <c r="H4" s="190" t="s">
        <v>116</v>
      </c>
      <c r="I4" s="190" t="s">
        <v>117</v>
      </c>
      <c r="J4" s="190" t="s">
        <v>118</v>
      </c>
      <c r="K4" s="190">
        <v>305</v>
      </c>
      <c r="L4" s="190">
        <v>306</v>
      </c>
      <c r="M4" s="190">
        <v>407</v>
      </c>
      <c r="N4" s="190">
        <v>408</v>
      </c>
      <c r="O4" s="190">
        <v>409</v>
      </c>
      <c r="P4" s="190">
        <v>410</v>
      </c>
      <c r="Q4" s="190">
        <v>415</v>
      </c>
      <c r="R4" s="190">
        <v>416</v>
      </c>
      <c r="S4" s="190">
        <v>418</v>
      </c>
      <c r="T4" s="190">
        <v>419</v>
      </c>
      <c r="U4" s="190">
        <v>420</v>
      </c>
      <c r="V4" s="190">
        <v>421</v>
      </c>
      <c r="W4" s="190">
        <v>522</v>
      </c>
      <c r="X4" s="190">
        <v>523</v>
      </c>
      <c r="Y4" s="190">
        <v>524</v>
      </c>
      <c r="Z4" s="190">
        <v>525</v>
      </c>
      <c r="AA4" s="190">
        <v>526</v>
      </c>
      <c r="AB4" s="190">
        <v>527</v>
      </c>
      <c r="AC4" s="190">
        <v>528</v>
      </c>
      <c r="AD4" s="190">
        <v>629</v>
      </c>
      <c r="AE4" s="190">
        <v>630</v>
      </c>
      <c r="AF4" s="190">
        <v>636</v>
      </c>
      <c r="AG4" s="190">
        <v>637</v>
      </c>
      <c r="AH4" s="190">
        <v>640</v>
      </c>
      <c r="AI4" s="190">
        <v>642</v>
      </c>
      <c r="AJ4" s="190">
        <v>743</v>
      </c>
      <c r="AK4" s="190">
        <v>745</v>
      </c>
      <c r="AL4" s="190">
        <v>746</v>
      </c>
      <c r="AM4" s="190">
        <v>747</v>
      </c>
      <c r="AN4" s="190">
        <v>930</v>
      </c>
      <c r="AO4" s="190">
        <v>940</v>
      </c>
    </row>
    <row r="5" spans="1:41" x14ac:dyDescent="0.3">
      <c r="A5" s="187" t="s">
        <v>121</v>
      </c>
      <c r="B5" s="212">
        <v>2</v>
      </c>
      <c r="C5" s="187">
        <v>43</v>
      </c>
      <c r="D5" s="187">
        <v>1</v>
      </c>
      <c r="E5" s="187">
        <v>1</v>
      </c>
      <c r="F5" s="187">
        <v>2.65</v>
      </c>
      <c r="G5" s="187">
        <v>0</v>
      </c>
      <c r="H5" s="187">
        <v>2</v>
      </c>
      <c r="I5" s="187">
        <v>0</v>
      </c>
      <c r="J5" s="187">
        <v>0</v>
      </c>
      <c r="K5" s="187">
        <v>0</v>
      </c>
      <c r="L5" s="187">
        <v>0</v>
      </c>
      <c r="M5" s="187">
        <v>0</v>
      </c>
      <c r="N5" s="187">
        <v>0</v>
      </c>
      <c r="O5" s="187">
        <v>0</v>
      </c>
      <c r="P5" s="187">
        <v>0</v>
      </c>
      <c r="Q5" s="187">
        <v>0</v>
      </c>
      <c r="R5" s="187">
        <v>0</v>
      </c>
      <c r="S5" s="187">
        <v>0</v>
      </c>
      <c r="T5" s="187">
        <v>0</v>
      </c>
      <c r="U5" s="187">
        <v>0</v>
      </c>
      <c r="V5" s="187">
        <v>0</v>
      </c>
      <c r="W5" s="187">
        <v>0</v>
      </c>
      <c r="X5" s="187">
        <v>0</v>
      </c>
      <c r="Y5" s="187">
        <v>0</v>
      </c>
      <c r="Z5" s="187">
        <v>0</v>
      </c>
      <c r="AA5" s="187">
        <v>0.05</v>
      </c>
      <c r="AB5" s="187">
        <v>0</v>
      </c>
      <c r="AC5" s="187">
        <v>0</v>
      </c>
      <c r="AD5" s="187">
        <v>0</v>
      </c>
      <c r="AE5" s="187">
        <v>0</v>
      </c>
      <c r="AF5" s="187">
        <v>0</v>
      </c>
      <c r="AG5" s="187">
        <v>0</v>
      </c>
      <c r="AH5" s="187">
        <v>0</v>
      </c>
      <c r="AI5" s="187">
        <v>0</v>
      </c>
      <c r="AJ5" s="187">
        <v>0</v>
      </c>
      <c r="AK5" s="187">
        <v>0</v>
      </c>
      <c r="AL5" s="187">
        <v>0</v>
      </c>
      <c r="AM5" s="187">
        <v>0</v>
      </c>
      <c r="AN5" s="187">
        <v>0.6</v>
      </c>
      <c r="AO5" s="187">
        <v>0</v>
      </c>
    </row>
    <row r="6" spans="1:41" x14ac:dyDescent="0.3">
      <c r="A6" s="187" t="s">
        <v>122</v>
      </c>
      <c r="B6" s="212">
        <v>3</v>
      </c>
      <c r="C6" s="187">
        <v>43</v>
      </c>
      <c r="D6" s="187">
        <v>1</v>
      </c>
      <c r="E6" s="187">
        <v>2</v>
      </c>
      <c r="F6" s="187">
        <v>438</v>
      </c>
      <c r="G6" s="187">
        <v>0</v>
      </c>
      <c r="H6" s="187">
        <v>340</v>
      </c>
      <c r="I6" s="187">
        <v>0</v>
      </c>
      <c r="J6" s="187">
        <v>0</v>
      </c>
      <c r="K6" s="187">
        <v>0</v>
      </c>
      <c r="L6" s="187">
        <v>0</v>
      </c>
      <c r="M6" s="187">
        <v>0</v>
      </c>
      <c r="N6" s="187">
        <v>0</v>
      </c>
      <c r="O6" s="187">
        <v>0</v>
      </c>
      <c r="P6" s="187">
        <v>0</v>
      </c>
      <c r="Q6" s="187">
        <v>0</v>
      </c>
      <c r="R6" s="187">
        <v>0</v>
      </c>
      <c r="S6" s="187">
        <v>0</v>
      </c>
      <c r="T6" s="187">
        <v>0</v>
      </c>
      <c r="U6" s="187">
        <v>0</v>
      </c>
      <c r="V6" s="187">
        <v>0</v>
      </c>
      <c r="W6" s="187">
        <v>0</v>
      </c>
      <c r="X6" s="187">
        <v>0</v>
      </c>
      <c r="Y6" s="187">
        <v>0</v>
      </c>
      <c r="Z6" s="187">
        <v>0</v>
      </c>
      <c r="AA6" s="187">
        <v>5.2</v>
      </c>
      <c r="AB6" s="187">
        <v>0</v>
      </c>
      <c r="AC6" s="187">
        <v>0</v>
      </c>
      <c r="AD6" s="187">
        <v>0</v>
      </c>
      <c r="AE6" s="187">
        <v>0</v>
      </c>
      <c r="AF6" s="187">
        <v>0</v>
      </c>
      <c r="AG6" s="187">
        <v>0</v>
      </c>
      <c r="AH6" s="187">
        <v>0</v>
      </c>
      <c r="AI6" s="187">
        <v>0</v>
      </c>
      <c r="AJ6" s="187">
        <v>0</v>
      </c>
      <c r="AK6" s="187">
        <v>0</v>
      </c>
      <c r="AL6" s="187">
        <v>0</v>
      </c>
      <c r="AM6" s="187">
        <v>0</v>
      </c>
      <c r="AN6" s="187">
        <v>92.8</v>
      </c>
      <c r="AO6" s="187">
        <v>0</v>
      </c>
    </row>
    <row r="7" spans="1:41" x14ac:dyDescent="0.3">
      <c r="A7" s="187" t="s">
        <v>123</v>
      </c>
      <c r="B7" s="212">
        <v>4</v>
      </c>
      <c r="C7" s="187">
        <v>43</v>
      </c>
      <c r="D7" s="187">
        <v>1</v>
      </c>
      <c r="E7" s="187">
        <v>6</v>
      </c>
      <c r="F7" s="187">
        <v>94417</v>
      </c>
      <c r="G7" s="187">
        <v>0</v>
      </c>
      <c r="H7" s="187">
        <v>82824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87">
        <v>0</v>
      </c>
      <c r="W7" s="187">
        <v>0</v>
      </c>
      <c r="X7" s="187">
        <v>0</v>
      </c>
      <c r="Y7" s="187">
        <v>0</v>
      </c>
      <c r="Z7" s="187">
        <v>0</v>
      </c>
      <c r="AA7" s="187">
        <v>2866</v>
      </c>
      <c r="AB7" s="187">
        <v>0</v>
      </c>
      <c r="AC7" s="187">
        <v>0</v>
      </c>
      <c r="AD7" s="187">
        <v>0</v>
      </c>
      <c r="AE7" s="187">
        <v>0</v>
      </c>
      <c r="AF7" s="187">
        <v>0</v>
      </c>
      <c r="AG7" s="187">
        <v>0</v>
      </c>
      <c r="AH7" s="187">
        <v>0</v>
      </c>
      <c r="AI7" s="187">
        <v>0</v>
      </c>
      <c r="AJ7" s="187">
        <v>0</v>
      </c>
      <c r="AK7" s="187">
        <v>0</v>
      </c>
      <c r="AL7" s="187">
        <v>0</v>
      </c>
      <c r="AM7" s="187">
        <v>0</v>
      </c>
      <c r="AN7" s="187">
        <v>8727</v>
      </c>
      <c r="AO7" s="187">
        <v>0</v>
      </c>
    </row>
    <row r="8" spans="1:41" x14ac:dyDescent="0.3">
      <c r="A8" s="187" t="s">
        <v>124</v>
      </c>
      <c r="B8" s="212">
        <v>5</v>
      </c>
      <c r="C8" s="187">
        <v>43</v>
      </c>
      <c r="D8" s="187">
        <v>1</v>
      </c>
      <c r="E8" s="187">
        <v>9</v>
      </c>
      <c r="F8" s="187">
        <v>5000</v>
      </c>
      <c r="G8" s="187">
        <v>0</v>
      </c>
      <c r="H8" s="187">
        <v>5000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7">
        <v>0</v>
      </c>
      <c r="T8" s="187">
        <v>0</v>
      </c>
      <c r="U8" s="187">
        <v>0</v>
      </c>
      <c r="V8" s="187">
        <v>0</v>
      </c>
      <c r="W8" s="187">
        <v>0</v>
      </c>
      <c r="X8" s="187">
        <v>0</v>
      </c>
      <c r="Y8" s="187">
        <v>0</v>
      </c>
      <c r="Z8" s="187">
        <v>0</v>
      </c>
      <c r="AA8" s="187">
        <v>0</v>
      </c>
      <c r="AB8" s="187">
        <v>0</v>
      </c>
      <c r="AC8" s="187">
        <v>0</v>
      </c>
      <c r="AD8" s="187">
        <v>0</v>
      </c>
      <c r="AE8" s="187">
        <v>0</v>
      </c>
      <c r="AF8" s="187">
        <v>0</v>
      </c>
      <c r="AG8" s="187">
        <v>0</v>
      </c>
      <c r="AH8" s="187">
        <v>0</v>
      </c>
      <c r="AI8" s="187">
        <v>0</v>
      </c>
      <c r="AJ8" s="187">
        <v>0</v>
      </c>
      <c r="AK8" s="187">
        <v>0</v>
      </c>
      <c r="AL8" s="187">
        <v>0</v>
      </c>
      <c r="AM8" s="187">
        <v>0</v>
      </c>
      <c r="AN8" s="187">
        <v>0</v>
      </c>
      <c r="AO8" s="187">
        <v>0</v>
      </c>
    </row>
    <row r="9" spans="1:41" x14ac:dyDescent="0.3">
      <c r="A9" s="187" t="s">
        <v>125</v>
      </c>
      <c r="B9" s="212">
        <v>6</v>
      </c>
      <c r="C9" s="187">
        <v>43</v>
      </c>
      <c r="D9" s="187">
        <v>1</v>
      </c>
      <c r="E9" s="187">
        <v>11</v>
      </c>
      <c r="F9" s="187">
        <v>873.66570000617014</v>
      </c>
      <c r="G9" s="187">
        <v>0</v>
      </c>
      <c r="H9" s="187">
        <v>706.99903333950351</v>
      </c>
      <c r="I9" s="187">
        <v>0</v>
      </c>
      <c r="J9" s="187">
        <v>0</v>
      </c>
      <c r="K9" s="187">
        <v>166.66666666666666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7">
        <v>0</v>
      </c>
      <c r="T9" s="187">
        <v>0</v>
      </c>
      <c r="U9" s="187">
        <v>0</v>
      </c>
      <c r="V9" s="187">
        <v>0</v>
      </c>
      <c r="W9" s="187">
        <v>0</v>
      </c>
      <c r="X9" s="187">
        <v>0</v>
      </c>
      <c r="Y9" s="187">
        <v>0</v>
      </c>
      <c r="Z9" s="187">
        <v>0</v>
      </c>
      <c r="AA9" s="187">
        <v>0</v>
      </c>
      <c r="AB9" s="187">
        <v>0</v>
      </c>
      <c r="AC9" s="187">
        <v>0</v>
      </c>
      <c r="AD9" s="187">
        <v>0</v>
      </c>
      <c r="AE9" s="187">
        <v>0</v>
      </c>
      <c r="AF9" s="187">
        <v>0</v>
      </c>
      <c r="AG9" s="187">
        <v>0</v>
      </c>
      <c r="AH9" s="187">
        <v>0</v>
      </c>
      <c r="AI9" s="187">
        <v>0</v>
      </c>
      <c r="AJ9" s="187">
        <v>0</v>
      </c>
      <c r="AK9" s="187">
        <v>0</v>
      </c>
      <c r="AL9" s="187">
        <v>0</v>
      </c>
      <c r="AM9" s="187">
        <v>0</v>
      </c>
      <c r="AN9" s="187">
        <v>0</v>
      </c>
      <c r="AO9" s="187">
        <v>0</v>
      </c>
    </row>
    <row r="10" spans="1:41" x14ac:dyDescent="0.3">
      <c r="A10" s="187" t="s">
        <v>126</v>
      </c>
      <c r="B10" s="212">
        <v>7</v>
      </c>
      <c r="C10" s="187">
        <v>43</v>
      </c>
      <c r="D10" s="187">
        <v>2</v>
      </c>
      <c r="E10" s="187">
        <v>1</v>
      </c>
      <c r="F10" s="187">
        <v>2.65</v>
      </c>
      <c r="G10" s="187">
        <v>0</v>
      </c>
      <c r="H10" s="187">
        <v>2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7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0</v>
      </c>
      <c r="Y10" s="187">
        <v>0</v>
      </c>
      <c r="Z10" s="187">
        <v>0</v>
      </c>
      <c r="AA10" s="187">
        <v>0.05</v>
      </c>
      <c r="AB10" s="187">
        <v>0</v>
      </c>
      <c r="AC10" s="187">
        <v>0</v>
      </c>
      <c r="AD10" s="187">
        <v>0</v>
      </c>
      <c r="AE10" s="187">
        <v>0</v>
      </c>
      <c r="AF10" s="187">
        <v>0</v>
      </c>
      <c r="AG10" s="187">
        <v>0</v>
      </c>
      <c r="AH10" s="187">
        <v>0</v>
      </c>
      <c r="AI10" s="187">
        <v>0</v>
      </c>
      <c r="AJ10" s="187">
        <v>0</v>
      </c>
      <c r="AK10" s="187">
        <v>0</v>
      </c>
      <c r="AL10" s="187">
        <v>0</v>
      </c>
      <c r="AM10" s="187">
        <v>0</v>
      </c>
      <c r="AN10" s="187">
        <v>0.6</v>
      </c>
      <c r="AO10" s="187">
        <v>0</v>
      </c>
    </row>
    <row r="11" spans="1:41" x14ac:dyDescent="0.3">
      <c r="A11" s="187" t="s">
        <v>127</v>
      </c>
      <c r="B11" s="212">
        <v>8</v>
      </c>
      <c r="C11" s="187">
        <v>43</v>
      </c>
      <c r="D11" s="187">
        <v>2</v>
      </c>
      <c r="E11" s="187">
        <v>2</v>
      </c>
      <c r="F11" s="187">
        <v>423.6</v>
      </c>
      <c r="G11" s="187">
        <v>0</v>
      </c>
      <c r="H11" s="187">
        <v>320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7.6</v>
      </c>
      <c r="AB11" s="187">
        <v>0</v>
      </c>
      <c r="AC11" s="187">
        <v>0</v>
      </c>
      <c r="AD11" s="187">
        <v>0</v>
      </c>
      <c r="AE11" s="187">
        <v>0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96</v>
      </c>
      <c r="AO11" s="187">
        <v>0</v>
      </c>
    </row>
    <row r="12" spans="1:41" x14ac:dyDescent="0.3">
      <c r="A12" s="187" t="s">
        <v>128</v>
      </c>
      <c r="B12" s="212">
        <v>9</v>
      </c>
      <c r="C12" s="187">
        <v>43</v>
      </c>
      <c r="D12" s="187">
        <v>2</v>
      </c>
      <c r="E12" s="187">
        <v>6</v>
      </c>
      <c r="F12" s="187">
        <v>85234</v>
      </c>
      <c r="G12" s="187">
        <v>0</v>
      </c>
      <c r="H12" s="187">
        <v>74525</v>
      </c>
      <c r="I12" s="187">
        <v>0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7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0</v>
      </c>
      <c r="Y12" s="187">
        <v>0</v>
      </c>
      <c r="Z12" s="187">
        <v>0</v>
      </c>
      <c r="AA12" s="187">
        <v>2231</v>
      </c>
      <c r="AB12" s="187">
        <v>0</v>
      </c>
      <c r="AC12" s="187">
        <v>0</v>
      </c>
      <c r="AD12" s="187">
        <v>0</v>
      </c>
      <c r="AE12" s="187">
        <v>0</v>
      </c>
      <c r="AF12" s="187">
        <v>0</v>
      </c>
      <c r="AG12" s="187">
        <v>0</v>
      </c>
      <c r="AH12" s="187">
        <v>0</v>
      </c>
      <c r="AI12" s="187">
        <v>0</v>
      </c>
      <c r="AJ12" s="187">
        <v>0</v>
      </c>
      <c r="AK12" s="187">
        <v>0</v>
      </c>
      <c r="AL12" s="187">
        <v>0</v>
      </c>
      <c r="AM12" s="187">
        <v>0</v>
      </c>
      <c r="AN12" s="187">
        <v>8478</v>
      </c>
      <c r="AO12" s="187">
        <v>0</v>
      </c>
    </row>
    <row r="13" spans="1:41" x14ac:dyDescent="0.3">
      <c r="A13" s="187" t="s">
        <v>129</v>
      </c>
      <c r="B13" s="212">
        <v>10</v>
      </c>
      <c r="C13" s="187">
        <v>43</v>
      </c>
      <c r="D13" s="187">
        <v>2</v>
      </c>
      <c r="E13" s="187">
        <v>11</v>
      </c>
      <c r="F13" s="187">
        <v>873.66570000617014</v>
      </c>
      <c r="G13" s="187">
        <v>0</v>
      </c>
      <c r="H13" s="187">
        <v>706.99903333950351</v>
      </c>
      <c r="I13" s="187">
        <v>0</v>
      </c>
      <c r="J13" s="187">
        <v>0</v>
      </c>
      <c r="K13" s="187">
        <v>166.66666666666666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7">
        <v>0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0</v>
      </c>
      <c r="Z13" s="187">
        <v>0</v>
      </c>
      <c r="AA13" s="187">
        <v>0</v>
      </c>
      <c r="AB13" s="187">
        <v>0</v>
      </c>
      <c r="AC13" s="187">
        <v>0</v>
      </c>
      <c r="AD13" s="187">
        <v>0</v>
      </c>
      <c r="AE13" s="187">
        <v>0</v>
      </c>
      <c r="AF13" s="187">
        <v>0</v>
      </c>
      <c r="AG13" s="187">
        <v>0</v>
      </c>
      <c r="AH13" s="187">
        <v>0</v>
      </c>
      <c r="AI13" s="187">
        <v>0</v>
      </c>
      <c r="AJ13" s="187">
        <v>0</v>
      </c>
      <c r="AK13" s="187">
        <v>0</v>
      </c>
      <c r="AL13" s="187">
        <v>0</v>
      </c>
      <c r="AM13" s="187">
        <v>0</v>
      </c>
      <c r="AN13" s="187">
        <v>0</v>
      </c>
      <c r="AO13" s="187">
        <v>0</v>
      </c>
    </row>
    <row r="14" spans="1:41" x14ac:dyDescent="0.3">
      <c r="A14" s="187" t="s">
        <v>130</v>
      </c>
      <c r="B14" s="212">
        <v>11</v>
      </c>
      <c r="C14" s="187">
        <v>43</v>
      </c>
      <c r="D14" s="187">
        <v>3</v>
      </c>
      <c r="E14" s="187">
        <v>1</v>
      </c>
      <c r="F14" s="187">
        <v>2.65</v>
      </c>
      <c r="G14" s="187">
        <v>0</v>
      </c>
      <c r="H14" s="187">
        <v>2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7">
        <v>0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0</v>
      </c>
      <c r="Z14" s="187">
        <v>0</v>
      </c>
      <c r="AA14" s="187">
        <v>0.05</v>
      </c>
      <c r="AB14" s="187">
        <v>0</v>
      </c>
      <c r="AC14" s="187">
        <v>0</v>
      </c>
      <c r="AD14" s="187">
        <v>0</v>
      </c>
      <c r="AE14" s="187">
        <v>0</v>
      </c>
      <c r="AF14" s="187">
        <v>0</v>
      </c>
      <c r="AG14" s="187">
        <v>0</v>
      </c>
      <c r="AH14" s="187">
        <v>0</v>
      </c>
      <c r="AI14" s="187">
        <v>0</v>
      </c>
      <c r="AJ14" s="187">
        <v>0</v>
      </c>
      <c r="AK14" s="187">
        <v>0</v>
      </c>
      <c r="AL14" s="187">
        <v>0</v>
      </c>
      <c r="AM14" s="187">
        <v>0</v>
      </c>
      <c r="AN14" s="187">
        <v>0.6</v>
      </c>
      <c r="AO14" s="187">
        <v>0</v>
      </c>
    </row>
    <row r="15" spans="1:41" x14ac:dyDescent="0.3">
      <c r="A15" s="187" t="s">
        <v>131</v>
      </c>
      <c r="B15" s="212">
        <v>12</v>
      </c>
      <c r="C15" s="187">
        <v>43</v>
      </c>
      <c r="D15" s="187">
        <v>3</v>
      </c>
      <c r="E15" s="187">
        <v>2</v>
      </c>
      <c r="F15" s="187">
        <v>421.2</v>
      </c>
      <c r="G15" s="187">
        <v>0</v>
      </c>
      <c r="H15" s="187">
        <v>316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7">
        <v>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0</v>
      </c>
      <c r="Z15" s="187">
        <v>0</v>
      </c>
      <c r="AA15" s="187">
        <v>6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99.2</v>
      </c>
      <c r="AO15" s="187">
        <v>0</v>
      </c>
    </row>
    <row r="16" spans="1:41" x14ac:dyDescent="0.3">
      <c r="A16" s="187" t="s">
        <v>119</v>
      </c>
      <c r="B16" s="212">
        <v>2015</v>
      </c>
      <c r="C16" s="187">
        <v>43</v>
      </c>
      <c r="D16" s="187">
        <v>3</v>
      </c>
      <c r="E16" s="187">
        <v>6</v>
      </c>
      <c r="F16" s="187">
        <v>85776</v>
      </c>
      <c r="G16" s="187">
        <v>0</v>
      </c>
      <c r="H16" s="187">
        <v>75465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7">
        <v>0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0</v>
      </c>
      <c r="Z16" s="187">
        <v>0</v>
      </c>
      <c r="AA16" s="187">
        <v>1714</v>
      </c>
      <c r="AB16" s="187">
        <v>0</v>
      </c>
      <c r="AC16" s="187">
        <v>0</v>
      </c>
      <c r="AD16" s="187">
        <v>0</v>
      </c>
      <c r="AE16" s="187">
        <v>0</v>
      </c>
      <c r="AF16" s="187">
        <v>0</v>
      </c>
      <c r="AG16" s="187">
        <v>0</v>
      </c>
      <c r="AH16" s="187">
        <v>0</v>
      </c>
      <c r="AI16" s="187">
        <v>0</v>
      </c>
      <c r="AJ16" s="187">
        <v>0</v>
      </c>
      <c r="AK16" s="187">
        <v>0</v>
      </c>
      <c r="AL16" s="187">
        <v>0</v>
      </c>
      <c r="AM16" s="187">
        <v>0</v>
      </c>
      <c r="AN16" s="187">
        <v>8597</v>
      </c>
      <c r="AO16" s="187">
        <v>0</v>
      </c>
    </row>
    <row r="17" spans="3:41" x14ac:dyDescent="0.3">
      <c r="C17" s="187">
        <v>43</v>
      </c>
      <c r="D17" s="187">
        <v>3</v>
      </c>
      <c r="E17" s="187">
        <v>11</v>
      </c>
      <c r="F17" s="187">
        <v>873.66570000617014</v>
      </c>
      <c r="G17" s="187">
        <v>0</v>
      </c>
      <c r="H17" s="187">
        <v>706.99903333950351</v>
      </c>
      <c r="I17" s="187">
        <v>0</v>
      </c>
      <c r="J17" s="187">
        <v>0</v>
      </c>
      <c r="K17" s="187">
        <v>166.66666666666666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7">
        <v>0</v>
      </c>
      <c r="T17" s="187">
        <v>0</v>
      </c>
      <c r="U17" s="187">
        <v>0</v>
      </c>
      <c r="V17" s="187">
        <v>0</v>
      </c>
      <c r="W17" s="187">
        <v>0</v>
      </c>
      <c r="X17" s="187">
        <v>0</v>
      </c>
      <c r="Y17" s="187">
        <v>0</v>
      </c>
      <c r="Z17" s="187">
        <v>0</v>
      </c>
      <c r="AA17" s="187">
        <v>0</v>
      </c>
      <c r="AB17" s="187">
        <v>0</v>
      </c>
      <c r="AC17" s="187">
        <v>0</v>
      </c>
      <c r="AD17" s="187">
        <v>0</v>
      </c>
      <c r="AE17" s="187">
        <v>0</v>
      </c>
      <c r="AF17" s="187">
        <v>0</v>
      </c>
      <c r="AG17" s="187">
        <v>0</v>
      </c>
      <c r="AH17" s="187">
        <v>0</v>
      </c>
      <c r="AI17" s="187">
        <v>0</v>
      </c>
      <c r="AJ17" s="187">
        <v>0</v>
      </c>
      <c r="AK17" s="187">
        <v>0</v>
      </c>
      <c r="AL17" s="187">
        <v>0</v>
      </c>
      <c r="AM17" s="187">
        <v>0</v>
      </c>
      <c r="AN17" s="187">
        <v>0</v>
      </c>
      <c r="AO17" s="187">
        <v>0</v>
      </c>
    </row>
    <row r="18" spans="3:41" x14ac:dyDescent="0.3">
      <c r="C18" s="187">
        <v>43</v>
      </c>
      <c r="D18" s="187">
        <v>4</v>
      </c>
      <c r="E18" s="187">
        <v>1</v>
      </c>
      <c r="F18" s="187">
        <v>2.65</v>
      </c>
      <c r="G18" s="187">
        <v>0</v>
      </c>
      <c r="H18" s="187">
        <v>2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7">
        <v>0</v>
      </c>
      <c r="T18" s="187">
        <v>0</v>
      </c>
      <c r="U18" s="187">
        <v>0</v>
      </c>
      <c r="V18" s="187">
        <v>0</v>
      </c>
      <c r="W18" s="187">
        <v>0</v>
      </c>
      <c r="X18" s="187">
        <v>0</v>
      </c>
      <c r="Y18" s="187">
        <v>0</v>
      </c>
      <c r="Z18" s="187">
        <v>0</v>
      </c>
      <c r="AA18" s="187">
        <v>0.05</v>
      </c>
      <c r="AB18" s="187">
        <v>0</v>
      </c>
      <c r="AC18" s="187">
        <v>0</v>
      </c>
      <c r="AD18" s="187">
        <v>0</v>
      </c>
      <c r="AE18" s="187">
        <v>0</v>
      </c>
      <c r="AF18" s="187">
        <v>0</v>
      </c>
      <c r="AG18" s="187">
        <v>0</v>
      </c>
      <c r="AH18" s="187">
        <v>0</v>
      </c>
      <c r="AI18" s="187">
        <v>0</v>
      </c>
      <c r="AJ18" s="187">
        <v>0</v>
      </c>
      <c r="AK18" s="187">
        <v>0</v>
      </c>
      <c r="AL18" s="187">
        <v>0</v>
      </c>
      <c r="AM18" s="187">
        <v>0</v>
      </c>
      <c r="AN18" s="187">
        <v>0.6</v>
      </c>
      <c r="AO18" s="187">
        <v>0</v>
      </c>
    </row>
    <row r="19" spans="3:41" x14ac:dyDescent="0.3">
      <c r="C19" s="187">
        <v>43</v>
      </c>
      <c r="D19" s="187">
        <v>4</v>
      </c>
      <c r="E19" s="187">
        <v>2</v>
      </c>
      <c r="F19" s="187">
        <v>441.6</v>
      </c>
      <c r="G19" s="187">
        <v>0</v>
      </c>
      <c r="H19" s="187">
        <v>340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7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0</v>
      </c>
      <c r="Y19" s="187">
        <v>0</v>
      </c>
      <c r="Z19" s="187">
        <v>0</v>
      </c>
      <c r="AA19" s="187">
        <v>0</v>
      </c>
      <c r="AB19" s="187">
        <v>0</v>
      </c>
      <c r="AC19" s="187">
        <v>0</v>
      </c>
      <c r="AD19" s="187">
        <v>0</v>
      </c>
      <c r="AE19" s="18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101.6</v>
      </c>
      <c r="AO19" s="187">
        <v>0</v>
      </c>
    </row>
    <row r="20" spans="3:41" x14ac:dyDescent="0.3">
      <c r="C20" s="187">
        <v>43</v>
      </c>
      <c r="D20" s="187">
        <v>4</v>
      </c>
      <c r="E20" s="187">
        <v>6</v>
      </c>
      <c r="F20" s="187">
        <v>87840</v>
      </c>
      <c r="G20" s="187">
        <v>0</v>
      </c>
      <c r="H20" s="187">
        <v>74819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  <c r="O20" s="187">
        <v>0</v>
      </c>
      <c r="P20" s="187">
        <v>0</v>
      </c>
      <c r="Q20" s="187">
        <v>0</v>
      </c>
      <c r="R20" s="187">
        <v>0</v>
      </c>
      <c r="S20" s="187">
        <v>0</v>
      </c>
      <c r="T20" s="187">
        <v>0</v>
      </c>
      <c r="U20" s="187">
        <v>0</v>
      </c>
      <c r="V20" s="187">
        <v>0</v>
      </c>
      <c r="W20" s="187">
        <v>0</v>
      </c>
      <c r="X20" s="187">
        <v>0</v>
      </c>
      <c r="Y20" s="187">
        <v>0</v>
      </c>
      <c r="Z20" s="187">
        <v>0</v>
      </c>
      <c r="AA20" s="187">
        <v>1629</v>
      </c>
      <c r="AB20" s="187">
        <v>0</v>
      </c>
      <c r="AC20" s="187">
        <v>0</v>
      </c>
      <c r="AD20" s="187">
        <v>0</v>
      </c>
      <c r="AE20" s="187">
        <v>0</v>
      </c>
      <c r="AF20" s="187">
        <v>0</v>
      </c>
      <c r="AG20" s="187">
        <v>0</v>
      </c>
      <c r="AH20" s="187">
        <v>0</v>
      </c>
      <c r="AI20" s="187">
        <v>0</v>
      </c>
      <c r="AJ20" s="187">
        <v>0</v>
      </c>
      <c r="AK20" s="187">
        <v>0</v>
      </c>
      <c r="AL20" s="187">
        <v>0</v>
      </c>
      <c r="AM20" s="187">
        <v>0</v>
      </c>
      <c r="AN20" s="187">
        <v>11392</v>
      </c>
      <c r="AO20" s="187">
        <v>0</v>
      </c>
    </row>
    <row r="21" spans="3:41" x14ac:dyDescent="0.3">
      <c r="C21" s="187">
        <v>43</v>
      </c>
      <c r="D21" s="187">
        <v>4</v>
      </c>
      <c r="E21" s="187">
        <v>11</v>
      </c>
      <c r="F21" s="187">
        <v>873.66570000617014</v>
      </c>
      <c r="G21" s="187">
        <v>0</v>
      </c>
      <c r="H21" s="187">
        <v>706.99903333950351</v>
      </c>
      <c r="I21" s="187">
        <v>0</v>
      </c>
      <c r="J21" s="187">
        <v>0</v>
      </c>
      <c r="K21" s="187">
        <v>166.66666666666666</v>
      </c>
      <c r="L21" s="187">
        <v>0</v>
      </c>
      <c r="M21" s="187">
        <v>0</v>
      </c>
      <c r="N21" s="187">
        <v>0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7">
        <v>0</v>
      </c>
      <c r="W21" s="187">
        <v>0</v>
      </c>
      <c r="X21" s="187">
        <v>0</v>
      </c>
      <c r="Y21" s="187">
        <v>0</v>
      </c>
      <c r="Z21" s="187">
        <v>0</v>
      </c>
      <c r="AA21" s="187">
        <v>0</v>
      </c>
      <c r="AB21" s="187">
        <v>0</v>
      </c>
      <c r="AC21" s="187">
        <v>0</v>
      </c>
      <c r="AD21" s="187">
        <v>0</v>
      </c>
      <c r="AE21" s="187">
        <v>0</v>
      </c>
      <c r="AF21" s="187">
        <v>0</v>
      </c>
      <c r="AG21" s="187">
        <v>0</v>
      </c>
      <c r="AH21" s="187">
        <v>0</v>
      </c>
      <c r="AI21" s="187">
        <v>0</v>
      </c>
      <c r="AJ21" s="187">
        <v>0</v>
      </c>
      <c r="AK21" s="187">
        <v>0</v>
      </c>
      <c r="AL21" s="187">
        <v>0</v>
      </c>
      <c r="AM21" s="187">
        <v>0</v>
      </c>
      <c r="AN21" s="187">
        <v>0</v>
      </c>
      <c r="AO21" s="187">
        <v>0</v>
      </c>
    </row>
    <row r="22" spans="3:41" x14ac:dyDescent="0.3">
      <c r="C22" s="187">
        <v>43</v>
      </c>
      <c r="D22" s="187">
        <v>5</v>
      </c>
      <c r="E22" s="187">
        <v>1</v>
      </c>
      <c r="F22" s="187">
        <v>2.65</v>
      </c>
      <c r="G22" s="187">
        <v>0</v>
      </c>
      <c r="H22" s="187">
        <v>2</v>
      </c>
      <c r="I22" s="187">
        <v>0</v>
      </c>
      <c r="J22" s="187">
        <v>0</v>
      </c>
      <c r="K22" s="187">
        <v>0</v>
      </c>
      <c r="L22" s="187">
        <v>0</v>
      </c>
      <c r="M22" s="187">
        <v>0</v>
      </c>
      <c r="N22" s="187">
        <v>0</v>
      </c>
      <c r="O22" s="187">
        <v>0</v>
      </c>
      <c r="P22" s="187">
        <v>0</v>
      </c>
      <c r="Q22" s="187">
        <v>0</v>
      </c>
      <c r="R22" s="187">
        <v>0</v>
      </c>
      <c r="S22" s="187">
        <v>0</v>
      </c>
      <c r="T22" s="187">
        <v>0</v>
      </c>
      <c r="U22" s="187">
        <v>0</v>
      </c>
      <c r="V22" s="187">
        <v>0</v>
      </c>
      <c r="W22" s="187">
        <v>0</v>
      </c>
      <c r="X22" s="187">
        <v>0</v>
      </c>
      <c r="Y22" s="187">
        <v>0</v>
      </c>
      <c r="Z22" s="187">
        <v>0</v>
      </c>
      <c r="AA22" s="187">
        <v>0.05</v>
      </c>
      <c r="AB22" s="187">
        <v>0</v>
      </c>
      <c r="AC22" s="187">
        <v>0</v>
      </c>
      <c r="AD22" s="187">
        <v>0</v>
      </c>
      <c r="AE22" s="187">
        <v>0</v>
      </c>
      <c r="AF22" s="187">
        <v>0</v>
      </c>
      <c r="AG22" s="187">
        <v>0</v>
      </c>
      <c r="AH22" s="187">
        <v>0</v>
      </c>
      <c r="AI22" s="187">
        <v>0</v>
      </c>
      <c r="AJ22" s="187">
        <v>0</v>
      </c>
      <c r="AK22" s="187">
        <v>0</v>
      </c>
      <c r="AL22" s="187">
        <v>0</v>
      </c>
      <c r="AM22" s="187">
        <v>0</v>
      </c>
      <c r="AN22" s="187">
        <v>0.6</v>
      </c>
      <c r="AO22" s="187">
        <v>0</v>
      </c>
    </row>
    <row r="23" spans="3:41" x14ac:dyDescent="0.3">
      <c r="C23" s="187">
        <v>43</v>
      </c>
      <c r="D23" s="187">
        <v>5</v>
      </c>
      <c r="E23" s="187">
        <v>2</v>
      </c>
      <c r="F23" s="187">
        <v>399.6</v>
      </c>
      <c r="G23" s="187">
        <v>0</v>
      </c>
      <c r="H23" s="187">
        <v>292</v>
      </c>
      <c r="I23" s="187">
        <v>0</v>
      </c>
      <c r="J23" s="187">
        <v>0</v>
      </c>
      <c r="K23" s="187">
        <v>0</v>
      </c>
      <c r="L23" s="187">
        <v>0</v>
      </c>
      <c r="M23" s="187">
        <v>0</v>
      </c>
      <c r="N23" s="187">
        <v>0</v>
      </c>
      <c r="O23" s="187">
        <v>0</v>
      </c>
      <c r="P23" s="187">
        <v>0</v>
      </c>
      <c r="Q23" s="187">
        <v>0</v>
      </c>
      <c r="R23" s="187">
        <v>0</v>
      </c>
      <c r="S23" s="187">
        <v>0</v>
      </c>
      <c r="T23" s="187">
        <v>0</v>
      </c>
      <c r="U23" s="187">
        <v>0</v>
      </c>
      <c r="V23" s="187">
        <v>0</v>
      </c>
      <c r="W23" s="187">
        <v>0</v>
      </c>
      <c r="X23" s="187">
        <v>0</v>
      </c>
      <c r="Y23" s="187">
        <v>0</v>
      </c>
      <c r="Z23" s="187">
        <v>0</v>
      </c>
      <c r="AA23" s="187">
        <v>7.6</v>
      </c>
      <c r="AB23" s="187">
        <v>0</v>
      </c>
      <c r="AC23" s="187">
        <v>0</v>
      </c>
      <c r="AD23" s="187">
        <v>0</v>
      </c>
      <c r="AE23" s="187">
        <v>0</v>
      </c>
      <c r="AF23" s="187">
        <v>0</v>
      </c>
      <c r="AG23" s="187">
        <v>0</v>
      </c>
      <c r="AH23" s="187">
        <v>0</v>
      </c>
      <c r="AI23" s="187">
        <v>0</v>
      </c>
      <c r="AJ23" s="187">
        <v>0</v>
      </c>
      <c r="AK23" s="187">
        <v>0</v>
      </c>
      <c r="AL23" s="187">
        <v>0</v>
      </c>
      <c r="AM23" s="187">
        <v>0</v>
      </c>
      <c r="AN23" s="187">
        <v>100</v>
      </c>
      <c r="AO23" s="187">
        <v>0</v>
      </c>
    </row>
    <row r="24" spans="3:41" x14ac:dyDescent="0.3">
      <c r="C24" s="187">
        <v>43</v>
      </c>
      <c r="D24" s="187">
        <v>5</v>
      </c>
      <c r="E24" s="187">
        <v>6</v>
      </c>
      <c r="F24" s="187">
        <v>89090</v>
      </c>
      <c r="G24" s="187">
        <v>0</v>
      </c>
      <c r="H24" s="187">
        <v>75544</v>
      </c>
      <c r="I24" s="187">
        <v>0</v>
      </c>
      <c r="J24" s="187">
        <v>0</v>
      </c>
      <c r="K24" s="187">
        <v>0</v>
      </c>
      <c r="L24" s="187">
        <v>0</v>
      </c>
      <c r="M24" s="187">
        <v>0</v>
      </c>
      <c r="N24" s="187">
        <v>0</v>
      </c>
      <c r="O24" s="187">
        <v>0</v>
      </c>
      <c r="P24" s="187">
        <v>0</v>
      </c>
      <c r="Q24" s="187">
        <v>0</v>
      </c>
      <c r="R24" s="187">
        <v>0</v>
      </c>
      <c r="S24" s="187">
        <v>0</v>
      </c>
      <c r="T24" s="187">
        <v>0</v>
      </c>
      <c r="U24" s="187">
        <v>0</v>
      </c>
      <c r="V24" s="187">
        <v>0</v>
      </c>
      <c r="W24" s="187">
        <v>0</v>
      </c>
      <c r="X24" s="187">
        <v>0</v>
      </c>
      <c r="Y24" s="187">
        <v>0</v>
      </c>
      <c r="Z24" s="187">
        <v>0</v>
      </c>
      <c r="AA24" s="187">
        <v>2063</v>
      </c>
      <c r="AB24" s="187">
        <v>0</v>
      </c>
      <c r="AC24" s="187">
        <v>0</v>
      </c>
      <c r="AD24" s="187">
        <v>0</v>
      </c>
      <c r="AE24" s="187">
        <v>0</v>
      </c>
      <c r="AF24" s="187">
        <v>0</v>
      </c>
      <c r="AG24" s="187">
        <v>0</v>
      </c>
      <c r="AH24" s="187">
        <v>0</v>
      </c>
      <c r="AI24" s="187">
        <v>0</v>
      </c>
      <c r="AJ24" s="187">
        <v>0</v>
      </c>
      <c r="AK24" s="187">
        <v>0</v>
      </c>
      <c r="AL24" s="187">
        <v>0</v>
      </c>
      <c r="AM24" s="187">
        <v>0</v>
      </c>
      <c r="AN24" s="187">
        <v>11483</v>
      </c>
      <c r="AO24" s="187">
        <v>0</v>
      </c>
    </row>
    <row r="25" spans="3:41" x14ac:dyDescent="0.3">
      <c r="C25" s="187">
        <v>43</v>
      </c>
      <c r="D25" s="187">
        <v>5</v>
      </c>
      <c r="E25" s="187">
        <v>11</v>
      </c>
      <c r="F25" s="187">
        <v>873.66570000617014</v>
      </c>
      <c r="G25" s="187">
        <v>0</v>
      </c>
      <c r="H25" s="187">
        <v>706.99903333950351</v>
      </c>
      <c r="I25" s="187">
        <v>0</v>
      </c>
      <c r="J25" s="187">
        <v>0</v>
      </c>
      <c r="K25" s="187">
        <v>166.66666666666666</v>
      </c>
      <c r="L25" s="187">
        <v>0</v>
      </c>
      <c r="M25" s="187">
        <v>0</v>
      </c>
      <c r="N25" s="187">
        <v>0</v>
      </c>
      <c r="O25" s="187">
        <v>0</v>
      </c>
      <c r="P25" s="187">
        <v>0</v>
      </c>
      <c r="Q25" s="187">
        <v>0</v>
      </c>
      <c r="R25" s="187">
        <v>0</v>
      </c>
      <c r="S25" s="187">
        <v>0</v>
      </c>
      <c r="T25" s="187">
        <v>0</v>
      </c>
      <c r="U25" s="187">
        <v>0</v>
      </c>
      <c r="V25" s="187">
        <v>0</v>
      </c>
      <c r="W25" s="187">
        <v>0</v>
      </c>
      <c r="X25" s="187">
        <v>0</v>
      </c>
      <c r="Y25" s="187">
        <v>0</v>
      </c>
      <c r="Z25" s="187">
        <v>0</v>
      </c>
      <c r="AA25" s="187">
        <v>0</v>
      </c>
      <c r="AB25" s="187">
        <v>0</v>
      </c>
      <c r="AC25" s="187">
        <v>0</v>
      </c>
      <c r="AD25" s="187">
        <v>0</v>
      </c>
      <c r="AE25" s="187">
        <v>0</v>
      </c>
      <c r="AF25" s="187">
        <v>0</v>
      </c>
      <c r="AG25" s="187">
        <v>0</v>
      </c>
      <c r="AH25" s="187">
        <v>0</v>
      </c>
      <c r="AI25" s="187">
        <v>0</v>
      </c>
      <c r="AJ25" s="187">
        <v>0</v>
      </c>
      <c r="AK25" s="187">
        <v>0</v>
      </c>
      <c r="AL25" s="187">
        <v>0</v>
      </c>
      <c r="AM25" s="187">
        <v>0</v>
      </c>
      <c r="AN25" s="187">
        <v>0</v>
      </c>
      <c r="AO25" s="187">
        <v>0</v>
      </c>
    </row>
    <row r="26" spans="3:41" x14ac:dyDescent="0.3">
      <c r="C26" s="187">
        <v>43</v>
      </c>
      <c r="D26" s="187">
        <v>6</v>
      </c>
      <c r="E26" s="187">
        <v>1</v>
      </c>
      <c r="F26" s="187">
        <v>2.65</v>
      </c>
      <c r="G26" s="187">
        <v>0</v>
      </c>
      <c r="H26" s="187">
        <v>2</v>
      </c>
      <c r="I26" s="187">
        <v>0</v>
      </c>
      <c r="J26" s="187">
        <v>0</v>
      </c>
      <c r="K26" s="187">
        <v>0</v>
      </c>
      <c r="L26" s="187">
        <v>0</v>
      </c>
      <c r="M26" s="187">
        <v>0</v>
      </c>
      <c r="N26" s="187">
        <v>0</v>
      </c>
      <c r="O26" s="187">
        <v>0</v>
      </c>
      <c r="P26" s="187">
        <v>0</v>
      </c>
      <c r="Q26" s="187">
        <v>0</v>
      </c>
      <c r="R26" s="187">
        <v>0</v>
      </c>
      <c r="S26" s="187">
        <v>0</v>
      </c>
      <c r="T26" s="187">
        <v>0</v>
      </c>
      <c r="U26" s="187">
        <v>0</v>
      </c>
      <c r="V26" s="187">
        <v>0</v>
      </c>
      <c r="W26" s="187">
        <v>0</v>
      </c>
      <c r="X26" s="187">
        <v>0</v>
      </c>
      <c r="Y26" s="187">
        <v>0</v>
      </c>
      <c r="Z26" s="187">
        <v>0</v>
      </c>
      <c r="AA26" s="187">
        <v>0.05</v>
      </c>
      <c r="AB26" s="187">
        <v>0</v>
      </c>
      <c r="AC26" s="187">
        <v>0</v>
      </c>
      <c r="AD26" s="187">
        <v>0</v>
      </c>
      <c r="AE26" s="187">
        <v>0</v>
      </c>
      <c r="AF26" s="187">
        <v>0</v>
      </c>
      <c r="AG26" s="187">
        <v>0</v>
      </c>
      <c r="AH26" s="187">
        <v>0</v>
      </c>
      <c r="AI26" s="187">
        <v>0</v>
      </c>
      <c r="AJ26" s="187">
        <v>0</v>
      </c>
      <c r="AK26" s="187">
        <v>0</v>
      </c>
      <c r="AL26" s="187">
        <v>0</v>
      </c>
      <c r="AM26" s="187">
        <v>0</v>
      </c>
      <c r="AN26" s="187">
        <v>0.6</v>
      </c>
      <c r="AO26" s="187">
        <v>0</v>
      </c>
    </row>
    <row r="27" spans="3:41" x14ac:dyDescent="0.3">
      <c r="C27" s="187">
        <v>43</v>
      </c>
      <c r="D27" s="187">
        <v>6</v>
      </c>
      <c r="E27" s="187">
        <v>2</v>
      </c>
      <c r="F27" s="187">
        <v>416</v>
      </c>
      <c r="G27" s="187">
        <v>0</v>
      </c>
      <c r="H27" s="187">
        <v>308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7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0</v>
      </c>
      <c r="Y27" s="187">
        <v>0</v>
      </c>
      <c r="Z27" s="187">
        <v>0</v>
      </c>
      <c r="AA27" s="187">
        <v>3.2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0</v>
      </c>
      <c r="AK27" s="187">
        <v>0</v>
      </c>
      <c r="AL27" s="187">
        <v>0</v>
      </c>
      <c r="AM27" s="187">
        <v>0</v>
      </c>
      <c r="AN27" s="187">
        <v>104.8</v>
      </c>
      <c r="AO27" s="187">
        <v>0</v>
      </c>
    </row>
    <row r="28" spans="3:41" x14ac:dyDescent="0.3">
      <c r="C28" s="187">
        <v>43</v>
      </c>
      <c r="D28" s="187">
        <v>6</v>
      </c>
      <c r="E28" s="187">
        <v>6</v>
      </c>
      <c r="F28" s="187">
        <v>88799</v>
      </c>
      <c r="G28" s="187">
        <v>0</v>
      </c>
      <c r="H28" s="187">
        <v>76525</v>
      </c>
      <c r="I28" s="187">
        <v>0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  <c r="O28" s="187">
        <v>0</v>
      </c>
      <c r="P28" s="187">
        <v>0</v>
      </c>
      <c r="Q28" s="187">
        <v>0</v>
      </c>
      <c r="R28" s="187">
        <v>0</v>
      </c>
      <c r="S28" s="187">
        <v>0</v>
      </c>
      <c r="T28" s="187">
        <v>0</v>
      </c>
      <c r="U28" s="187">
        <v>0</v>
      </c>
      <c r="V28" s="187">
        <v>0</v>
      </c>
      <c r="W28" s="187">
        <v>0</v>
      </c>
      <c r="X28" s="187">
        <v>0</v>
      </c>
      <c r="Y28" s="187">
        <v>0</v>
      </c>
      <c r="Z28" s="187">
        <v>0</v>
      </c>
      <c r="AA28" s="187">
        <v>787</v>
      </c>
      <c r="AB28" s="187">
        <v>0</v>
      </c>
      <c r="AC28" s="187">
        <v>0</v>
      </c>
      <c r="AD28" s="187">
        <v>0</v>
      </c>
      <c r="AE28" s="187">
        <v>0</v>
      </c>
      <c r="AF28" s="187">
        <v>0</v>
      </c>
      <c r="AG28" s="187">
        <v>0</v>
      </c>
      <c r="AH28" s="187">
        <v>0</v>
      </c>
      <c r="AI28" s="187">
        <v>0</v>
      </c>
      <c r="AJ28" s="187">
        <v>0</v>
      </c>
      <c r="AK28" s="187">
        <v>0</v>
      </c>
      <c r="AL28" s="187">
        <v>0</v>
      </c>
      <c r="AM28" s="187">
        <v>0</v>
      </c>
      <c r="AN28" s="187">
        <v>11487</v>
      </c>
      <c r="AO28" s="187">
        <v>0</v>
      </c>
    </row>
    <row r="29" spans="3:41" x14ac:dyDescent="0.3">
      <c r="C29" s="187">
        <v>43</v>
      </c>
      <c r="D29" s="187">
        <v>6</v>
      </c>
      <c r="E29" s="187">
        <v>11</v>
      </c>
      <c r="F29" s="187">
        <v>873.66570000617014</v>
      </c>
      <c r="G29" s="187">
        <v>0</v>
      </c>
      <c r="H29" s="187">
        <v>706.99903333950351</v>
      </c>
      <c r="I29" s="187">
        <v>0</v>
      </c>
      <c r="J29" s="187">
        <v>0</v>
      </c>
      <c r="K29" s="187">
        <v>166.66666666666666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  <c r="Y29" s="187">
        <v>0</v>
      </c>
      <c r="Z29" s="187">
        <v>0</v>
      </c>
      <c r="AA29" s="187">
        <v>0</v>
      </c>
      <c r="AB29" s="187">
        <v>0</v>
      </c>
      <c r="AC29" s="187">
        <v>0</v>
      </c>
      <c r="AD29" s="187">
        <v>0</v>
      </c>
      <c r="AE29" s="187">
        <v>0</v>
      </c>
      <c r="AF29" s="187">
        <v>0</v>
      </c>
      <c r="AG29" s="187">
        <v>0</v>
      </c>
      <c r="AH29" s="187">
        <v>0</v>
      </c>
      <c r="AI29" s="187">
        <v>0</v>
      </c>
      <c r="AJ29" s="187">
        <v>0</v>
      </c>
      <c r="AK29" s="187">
        <v>0</v>
      </c>
      <c r="AL29" s="187">
        <v>0</v>
      </c>
      <c r="AM29" s="187">
        <v>0</v>
      </c>
      <c r="AN29" s="187">
        <v>0</v>
      </c>
      <c r="AO29" s="187">
        <v>0</v>
      </c>
    </row>
    <row r="30" spans="3:41" x14ac:dyDescent="0.3">
      <c r="C30" s="187">
        <v>43</v>
      </c>
      <c r="D30" s="187">
        <v>7</v>
      </c>
      <c r="E30" s="187">
        <v>1</v>
      </c>
      <c r="F30" s="187">
        <v>2.65</v>
      </c>
      <c r="G30" s="187">
        <v>0</v>
      </c>
      <c r="H30" s="187">
        <v>2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187">
        <v>0</v>
      </c>
      <c r="Q30" s="187">
        <v>0</v>
      </c>
      <c r="R30" s="187">
        <v>0</v>
      </c>
      <c r="S30" s="187">
        <v>0</v>
      </c>
      <c r="T30" s="187">
        <v>0</v>
      </c>
      <c r="U30" s="187">
        <v>0</v>
      </c>
      <c r="V30" s="187">
        <v>0</v>
      </c>
      <c r="W30" s="187">
        <v>0</v>
      </c>
      <c r="X30" s="187">
        <v>0</v>
      </c>
      <c r="Y30" s="187">
        <v>0</v>
      </c>
      <c r="Z30" s="187">
        <v>0</v>
      </c>
      <c r="AA30" s="187">
        <v>0.05</v>
      </c>
      <c r="AB30" s="187">
        <v>0</v>
      </c>
      <c r="AC30" s="187">
        <v>0</v>
      </c>
      <c r="AD30" s="187">
        <v>0</v>
      </c>
      <c r="AE30" s="187">
        <v>0</v>
      </c>
      <c r="AF30" s="187">
        <v>0</v>
      </c>
      <c r="AG30" s="187">
        <v>0</v>
      </c>
      <c r="AH30" s="187">
        <v>0</v>
      </c>
      <c r="AI30" s="187">
        <v>0</v>
      </c>
      <c r="AJ30" s="187">
        <v>0</v>
      </c>
      <c r="AK30" s="187">
        <v>0</v>
      </c>
      <c r="AL30" s="187">
        <v>0</v>
      </c>
      <c r="AM30" s="187">
        <v>0</v>
      </c>
      <c r="AN30" s="187">
        <v>0.6</v>
      </c>
      <c r="AO30" s="187">
        <v>0</v>
      </c>
    </row>
    <row r="31" spans="3:41" x14ac:dyDescent="0.3">
      <c r="C31" s="187">
        <v>43</v>
      </c>
      <c r="D31" s="187">
        <v>7</v>
      </c>
      <c r="E31" s="187">
        <v>2</v>
      </c>
      <c r="F31" s="187">
        <v>417.2</v>
      </c>
      <c r="G31" s="187">
        <v>0</v>
      </c>
      <c r="H31" s="187">
        <v>300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187">
        <v>0</v>
      </c>
      <c r="P31" s="187">
        <v>0</v>
      </c>
      <c r="Q31" s="187">
        <v>0</v>
      </c>
      <c r="R31" s="187">
        <v>0</v>
      </c>
      <c r="S31" s="187">
        <v>0</v>
      </c>
      <c r="T31" s="187">
        <v>0</v>
      </c>
      <c r="U31" s="187">
        <v>0</v>
      </c>
      <c r="V31" s="187">
        <v>0</v>
      </c>
      <c r="W31" s="187">
        <v>0</v>
      </c>
      <c r="X31" s="187">
        <v>0</v>
      </c>
      <c r="Y31" s="187">
        <v>0</v>
      </c>
      <c r="Z31" s="187">
        <v>0</v>
      </c>
      <c r="AA31" s="187">
        <v>9.1999999999999993</v>
      </c>
      <c r="AB31" s="187">
        <v>0</v>
      </c>
      <c r="AC31" s="187">
        <v>0</v>
      </c>
      <c r="AD31" s="187">
        <v>0</v>
      </c>
      <c r="AE31" s="187">
        <v>0</v>
      </c>
      <c r="AF31" s="187">
        <v>0</v>
      </c>
      <c r="AG31" s="187">
        <v>0</v>
      </c>
      <c r="AH31" s="187">
        <v>0</v>
      </c>
      <c r="AI31" s="187">
        <v>0</v>
      </c>
      <c r="AJ31" s="187">
        <v>0</v>
      </c>
      <c r="AK31" s="187">
        <v>0</v>
      </c>
      <c r="AL31" s="187">
        <v>0</v>
      </c>
      <c r="AM31" s="187">
        <v>0</v>
      </c>
      <c r="AN31" s="187">
        <v>108</v>
      </c>
      <c r="AO31" s="187">
        <v>0</v>
      </c>
    </row>
    <row r="32" spans="3:41" x14ac:dyDescent="0.3">
      <c r="C32" s="187">
        <v>43</v>
      </c>
      <c r="D32" s="187">
        <v>7</v>
      </c>
      <c r="E32" s="187">
        <v>6</v>
      </c>
      <c r="F32" s="187">
        <v>174618</v>
      </c>
      <c r="G32" s="187">
        <v>0</v>
      </c>
      <c r="H32" s="187">
        <v>153056</v>
      </c>
      <c r="I32" s="187">
        <v>0</v>
      </c>
      <c r="J32" s="187">
        <v>0</v>
      </c>
      <c r="K32" s="187">
        <v>0</v>
      </c>
      <c r="L32" s="187">
        <v>0</v>
      </c>
      <c r="M32" s="187">
        <v>0</v>
      </c>
      <c r="N32" s="187">
        <v>0</v>
      </c>
      <c r="O32" s="187">
        <v>0</v>
      </c>
      <c r="P32" s="187">
        <v>0</v>
      </c>
      <c r="Q32" s="187">
        <v>0</v>
      </c>
      <c r="R32" s="187">
        <v>0</v>
      </c>
      <c r="S32" s="187">
        <v>0</v>
      </c>
      <c r="T32" s="187">
        <v>0</v>
      </c>
      <c r="U32" s="187">
        <v>0</v>
      </c>
      <c r="V32" s="187">
        <v>0</v>
      </c>
      <c r="W32" s="187">
        <v>0</v>
      </c>
      <c r="X32" s="187">
        <v>0</v>
      </c>
      <c r="Y32" s="187">
        <v>0</v>
      </c>
      <c r="Z32" s="187">
        <v>0</v>
      </c>
      <c r="AA32" s="187">
        <v>3000</v>
      </c>
      <c r="AB32" s="187">
        <v>0</v>
      </c>
      <c r="AC32" s="187">
        <v>0</v>
      </c>
      <c r="AD32" s="187">
        <v>0</v>
      </c>
      <c r="AE32" s="187">
        <v>0</v>
      </c>
      <c r="AF32" s="187">
        <v>0</v>
      </c>
      <c r="AG32" s="187">
        <v>0</v>
      </c>
      <c r="AH32" s="187">
        <v>0</v>
      </c>
      <c r="AI32" s="187">
        <v>0</v>
      </c>
      <c r="AJ32" s="187">
        <v>0</v>
      </c>
      <c r="AK32" s="187">
        <v>0</v>
      </c>
      <c r="AL32" s="187">
        <v>0</v>
      </c>
      <c r="AM32" s="187">
        <v>0</v>
      </c>
      <c r="AN32" s="187">
        <v>18562</v>
      </c>
      <c r="AO32" s="187">
        <v>0</v>
      </c>
    </row>
    <row r="33" spans="3:41" x14ac:dyDescent="0.3">
      <c r="C33" s="187">
        <v>43</v>
      </c>
      <c r="D33" s="187">
        <v>7</v>
      </c>
      <c r="E33" s="187">
        <v>9</v>
      </c>
      <c r="F33" s="187">
        <v>85827</v>
      </c>
      <c r="G33" s="187">
        <v>0</v>
      </c>
      <c r="H33" s="187">
        <v>77920</v>
      </c>
      <c r="I33" s="187">
        <v>0</v>
      </c>
      <c r="J33" s="187">
        <v>0</v>
      </c>
      <c r="K33" s="187">
        <v>0</v>
      </c>
      <c r="L33" s="187">
        <v>0</v>
      </c>
      <c r="M33" s="187">
        <v>0</v>
      </c>
      <c r="N33" s="187">
        <v>0</v>
      </c>
      <c r="O33" s="187">
        <v>0</v>
      </c>
      <c r="P33" s="187">
        <v>0</v>
      </c>
      <c r="Q33" s="187">
        <v>0</v>
      </c>
      <c r="R33" s="187">
        <v>0</v>
      </c>
      <c r="S33" s="187">
        <v>0</v>
      </c>
      <c r="T33" s="187">
        <v>0</v>
      </c>
      <c r="U33" s="187">
        <v>0</v>
      </c>
      <c r="V33" s="187">
        <v>0</v>
      </c>
      <c r="W33" s="187">
        <v>0</v>
      </c>
      <c r="X33" s="187">
        <v>0</v>
      </c>
      <c r="Y33" s="187">
        <v>0</v>
      </c>
      <c r="Z33" s="187">
        <v>0</v>
      </c>
      <c r="AA33" s="187">
        <v>837</v>
      </c>
      <c r="AB33" s="187">
        <v>0</v>
      </c>
      <c r="AC33" s="187">
        <v>0</v>
      </c>
      <c r="AD33" s="187">
        <v>0</v>
      </c>
      <c r="AE33" s="187">
        <v>0</v>
      </c>
      <c r="AF33" s="187">
        <v>0</v>
      </c>
      <c r="AG33" s="187">
        <v>0</v>
      </c>
      <c r="AH33" s="187">
        <v>0</v>
      </c>
      <c r="AI33" s="187">
        <v>0</v>
      </c>
      <c r="AJ33" s="187">
        <v>0</v>
      </c>
      <c r="AK33" s="187">
        <v>0</v>
      </c>
      <c r="AL33" s="187">
        <v>0</v>
      </c>
      <c r="AM33" s="187">
        <v>0</v>
      </c>
      <c r="AN33" s="187">
        <v>7070</v>
      </c>
      <c r="AO33" s="187">
        <v>0</v>
      </c>
    </row>
    <row r="34" spans="3:41" x14ac:dyDescent="0.3">
      <c r="C34" s="187">
        <v>43</v>
      </c>
      <c r="D34" s="187">
        <v>7</v>
      </c>
      <c r="E34" s="187">
        <v>11</v>
      </c>
      <c r="F34" s="187">
        <v>873.66570000617014</v>
      </c>
      <c r="G34" s="187">
        <v>0</v>
      </c>
      <c r="H34" s="187">
        <v>706.99903333950351</v>
      </c>
      <c r="I34" s="187">
        <v>0</v>
      </c>
      <c r="J34" s="187">
        <v>0</v>
      </c>
      <c r="K34" s="187">
        <v>166.66666666666666</v>
      </c>
      <c r="L34" s="187">
        <v>0</v>
      </c>
      <c r="M34" s="187">
        <v>0</v>
      </c>
      <c r="N34" s="187">
        <v>0</v>
      </c>
      <c r="O34" s="187">
        <v>0</v>
      </c>
      <c r="P34" s="187">
        <v>0</v>
      </c>
      <c r="Q34" s="187">
        <v>0</v>
      </c>
      <c r="R34" s="187">
        <v>0</v>
      </c>
      <c r="S34" s="187">
        <v>0</v>
      </c>
      <c r="T34" s="187">
        <v>0</v>
      </c>
      <c r="U34" s="187">
        <v>0</v>
      </c>
      <c r="V34" s="187">
        <v>0</v>
      </c>
      <c r="W34" s="187">
        <v>0</v>
      </c>
      <c r="X34" s="187">
        <v>0</v>
      </c>
      <c r="Y34" s="187">
        <v>0</v>
      </c>
      <c r="Z34" s="187">
        <v>0</v>
      </c>
      <c r="AA34" s="187">
        <v>0</v>
      </c>
      <c r="AB34" s="187">
        <v>0</v>
      </c>
      <c r="AC34" s="187">
        <v>0</v>
      </c>
      <c r="AD34" s="187">
        <v>0</v>
      </c>
      <c r="AE34" s="187">
        <v>0</v>
      </c>
      <c r="AF34" s="187">
        <v>0</v>
      </c>
      <c r="AG34" s="187">
        <v>0</v>
      </c>
      <c r="AH34" s="187">
        <v>0</v>
      </c>
      <c r="AI34" s="187">
        <v>0</v>
      </c>
      <c r="AJ34" s="187">
        <v>0</v>
      </c>
      <c r="AK34" s="187">
        <v>0</v>
      </c>
      <c r="AL34" s="187">
        <v>0</v>
      </c>
      <c r="AM34" s="187">
        <v>0</v>
      </c>
      <c r="AN34" s="187">
        <v>0</v>
      </c>
      <c r="AO34" s="187">
        <v>0</v>
      </c>
    </row>
    <row r="35" spans="3:41" x14ac:dyDescent="0.3">
      <c r="C35" s="187">
        <v>43</v>
      </c>
      <c r="D35" s="187">
        <v>8</v>
      </c>
      <c r="E35" s="187">
        <v>1</v>
      </c>
      <c r="F35" s="187">
        <v>2.65</v>
      </c>
      <c r="G35" s="187">
        <v>0</v>
      </c>
      <c r="H35" s="187">
        <v>2</v>
      </c>
      <c r="I35" s="187">
        <v>0</v>
      </c>
      <c r="J35" s="187">
        <v>0</v>
      </c>
      <c r="K35" s="187">
        <v>0</v>
      </c>
      <c r="L35" s="187">
        <v>0</v>
      </c>
      <c r="M35" s="187">
        <v>0</v>
      </c>
      <c r="N35" s="187">
        <v>0</v>
      </c>
      <c r="O35" s="187">
        <v>0</v>
      </c>
      <c r="P35" s="187">
        <v>0</v>
      </c>
      <c r="Q35" s="187">
        <v>0</v>
      </c>
      <c r="R35" s="187">
        <v>0</v>
      </c>
      <c r="S35" s="187">
        <v>0</v>
      </c>
      <c r="T35" s="187">
        <v>0</v>
      </c>
      <c r="U35" s="187">
        <v>0</v>
      </c>
      <c r="V35" s="187">
        <v>0</v>
      </c>
      <c r="W35" s="187">
        <v>0</v>
      </c>
      <c r="X35" s="187">
        <v>0</v>
      </c>
      <c r="Y35" s="187">
        <v>0</v>
      </c>
      <c r="Z35" s="187">
        <v>0</v>
      </c>
      <c r="AA35" s="187">
        <v>0.05</v>
      </c>
      <c r="AB35" s="187">
        <v>0</v>
      </c>
      <c r="AC35" s="187">
        <v>0</v>
      </c>
      <c r="AD35" s="187">
        <v>0</v>
      </c>
      <c r="AE35" s="187">
        <v>0</v>
      </c>
      <c r="AF35" s="187">
        <v>0</v>
      </c>
      <c r="AG35" s="187">
        <v>0</v>
      </c>
      <c r="AH35" s="187">
        <v>0</v>
      </c>
      <c r="AI35" s="187">
        <v>0</v>
      </c>
      <c r="AJ35" s="187">
        <v>0</v>
      </c>
      <c r="AK35" s="187">
        <v>0</v>
      </c>
      <c r="AL35" s="187">
        <v>0</v>
      </c>
      <c r="AM35" s="187">
        <v>0</v>
      </c>
      <c r="AN35" s="187">
        <v>0.6</v>
      </c>
      <c r="AO35" s="187">
        <v>0</v>
      </c>
    </row>
    <row r="36" spans="3:41" x14ac:dyDescent="0.3">
      <c r="C36" s="187">
        <v>43</v>
      </c>
      <c r="D36" s="187">
        <v>8</v>
      </c>
      <c r="E36" s="187">
        <v>2</v>
      </c>
      <c r="F36" s="187">
        <v>296.39999999999998</v>
      </c>
      <c r="G36" s="187">
        <v>0</v>
      </c>
      <c r="H36" s="187">
        <v>232</v>
      </c>
      <c r="I36" s="187">
        <v>0</v>
      </c>
      <c r="J36" s="187">
        <v>0</v>
      </c>
      <c r="K36" s="187">
        <v>0</v>
      </c>
      <c r="L36" s="187">
        <v>0</v>
      </c>
      <c r="M36" s="187">
        <v>0</v>
      </c>
      <c r="N36" s="187">
        <v>0</v>
      </c>
      <c r="O36" s="187">
        <v>0</v>
      </c>
      <c r="P36" s="187">
        <v>0</v>
      </c>
      <c r="Q36" s="187">
        <v>0</v>
      </c>
      <c r="R36" s="187">
        <v>0</v>
      </c>
      <c r="S36" s="187">
        <v>0</v>
      </c>
      <c r="T36" s="187">
        <v>0</v>
      </c>
      <c r="U36" s="187">
        <v>0</v>
      </c>
      <c r="V36" s="187">
        <v>0</v>
      </c>
      <c r="W36" s="187">
        <v>0</v>
      </c>
      <c r="X36" s="187">
        <v>0</v>
      </c>
      <c r="Y36" s="187">
        <v>0</v>
      </c>
      <c r="Z36" s="187">
        <v>0</v>
      </c>
      <c r="AA36" s="187">
        <v>8.4</v>
      </c>
      <c r="AB36" s="187">
        <v>0</v>
      </c>
      <c r="AC36" s="187">
        <v>0</v>
      </c>
      <c r="AD36" s="187">
        <v>0</v>
      </c>
      <c r="AE36" s="187">
        <v>0</v>
      </c>
      <c r="AF36" s="187">
        <v>0</v>
      </c>
      <c r="AG36" s="187">
        <v>0</v>
      </c>
      <c r="AH36" s="187">
        <v>0</v>
      </c>
      <c r="AI36" s="187">
        <v>0</v>
      </c>
      <c r="AJ36" s="187">
        <v>0</v>
      </c>
      <c r="AK36" s="187">
        <v>0</v>
      </c>
      <c r="AL36" s="187">
        <v>0</v>
      </c>
      <c r="AM36" s="187">
        <v>0</v>
      </c>
      <c r="AN36" s="187">
        <v>56</v>
      </c>
      <c r="AO36" s="187">
        <v>0</v>
      </c>
    </row>
    <row r="37" spans="3:41" x14ac:dyDescent="0.3">
      <c r="C37" s="187">
        <v>43</v>
      </c>
      <c r="D37" s="187">
        <v>8</v>
      </c>
      <c r="E37" s="187">
        <v>6</v>
      </c>
      <c r="F37" s="187">
        <v>87215</v>
      </c>
      <c r="G37" s="187">
        <v>0</v>
      </c>
      <c r="H37" s="187">
        <v>73729</v>
      </c>
      <c r="I37" s="187">
        <v>0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  <c r="O37" s="187">
        <v>0</v>
      </c>
      <c r="P37" s="187">
        <v>0</v>
      </c>
      <c r="Q37" s="187">
        <v>0</v>
      </c>
      <c r="R37" s="187">
        <v>0</v>
      </c>
      <c r="S37" s="187">
        <v>0</v>
      </c>
      <c r="T37" s="187">
        <v>0</v>
      </c>
      <c r="U37" s="187">
        <v>0</v>
      </c>
      <c r="V37" s="187">
        <v>0</v>
      </c>
      <c r="W37" s="187">
        <v>0</v>
      </c>
      <c r="X37" s="187">
        <v>0</v>
      </c>
      <c r="Y37" s="187">
        <v>0</v>
      </c>
      <c r="Z37" s="187">
        <v>0</v>
      </c>
      <c r="AA37" s="187">
        <v>2163</v>
      </c>
      <c r="AB37" s="187">
        <v>0</v>
      </c>
      <c r="AC37" s="187">
        <v>0</v>
      </c>
      <c r="AD37" s="187">
        <v>0</v>
      </c>
      <c r="AE37" s="187">
        <v>0</v>
      </c>
      <c r="AF37" s="187">
        <v>0</v>
      </c>
      <c r="AG37" s="187">
        <v>0</v>
      </c>
      <c r="AH37" s="187">
        <v>0</v>
      </c>
      <c r="AI37" s="187">
        <v>0</v>
      </c>
      <c r="AJ37" s="187">
        <v>0</v>
      </c>
      <c r="AK37" s="187">
        <v>0</v>
      </c>
      <c r="AL37" s="187">
        <v>0</v>
      </c>
      <c r="AM37" s="187">
        <v>0</v>
      </c>
      <c r="AN37" s="187">
        <v>11323</v>
      </c>
      <c r="AO37" s="187">
        <v>0</v>
      </c>
    </row>
    <row r="38" spans="3:41" x14ac:dyDescent="0.3">
      <c r="C38" s="187">
        <v>43</v>
      </c>
      <c r="D38" s="187">
        <v>8</v>
      </c>
      <c r="E38" s="187">
        <v>11</v>
      </c>
      <c r="F38" s="187">
        <v>873.66570000617014</v>
      </c>
      <c r="G38" s="187">
        <v>0</v>
      </c>
      <c r="H38" s="187">
        <v>706.99903333950351</v>
      </c>
      <c r="I38" s="187">
        <v>0</v>
      </c>
      <c r="J38" s="187">
        <v>0</v>
      </c>
      <c r="K38" s="187">
        <v>166.66666666666666</v>
      </c>
      <c r="L38" s="187">
        <v>0</v>
      </c>
      <c r="M38" s="187">
        <v>0</v>
      </c>
      <c r="N38" s="187">
        <v>0</v>
      </c>
      <c r="O38" s="187">
        <v>0</v>
      </c>
      <c r="P38" s="187">
        <v>0</v>
      </c>
      <c r="Q38" s="187">
        <v>0</v>
      </c>
      <c r="R38" s="187">
        <v>0</v>
      </c>
      <c r="S38" s="187">
        <v>0</v>
      </c>
      <c r="T38" s="187">
        <v>0</v>
      </c>
      <c r="U38" s="187">
        <v>0</v>
      </c>
      <c r="V38" s="187">
        <v>0</v>
      </c>
      <c r="W38" s="187">
        <v>0</v>
      </c>
      <c r="X38" s="187">
        <v>0</v>
      </c>
      <c r="Y38" s="187">
        <v>0</v>
      </c>
      <c r="Z38" s="187">
        <v>0</v>
      </c>
      <c r="AA38" s="187">
        <v>0</v>
      </c>
      <c r="AB38" s="187">
        <v>0</v>
      </c>
      <c r="AC38" s="187">
        <v>0</v>
      </c>
      <c r="AD38" s="187">
        <v>0</v>
      </c>
      <c r="AE38" s="187">
        <v>0</v>
      </c>
      <c r="AF38" s="187">
        <v>0</v>
      </c>
      <c r="AG38" s="187">
        <v>0</v>
      </c>
      <c r="AH38" s="187">
        <v>0</v>
      </c>
      <c r="AI38" s="187">
        <v>0</v>
      </c>
      <c r="AJ38" s="187">
        <v>0</v>
      </c>
      <c r="AK38" s="187">
        <v>0</v>
      </c>
      <c r="AL38" s="187">
        <v>0</v>
      </c>
      <c r="AM38" s="187">
        <v>0</v>
      </c>
      <c r="AN38" s="187">
        <v>0</v>
      </c>
      <c r="AO38" s="187">
        <v>0</v>
      </c>
    </row>
    <row r="39" spans="3:41" x14ac:dyDescent="0.3">
      <c r="C39" s="187">
        <v>43</v>
      </c>
      <c r="D39" s="187">
        <v>9</v>
      </c>
      <c r="E39" s="187">
        <v>1</v>
      </c>
      <c r="F39" s="187">
        <v>3.45</v>
      </c>
      <c r="G39" s="187">
        <v>0</v>
      </c>
      <c r="H39" s="187">
        <v>2.8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187">
        <v>0</v>
      </c>
      <c r="P39" s="187">
        <v>0</v>
      </c>
      <c r="Q39" s="187">
        <v>0</v>
      </c>
      <c r="R39" s="187">
        <v>0</v>
      </c>
      <c r="S39" s="187">
        <v>0</v>
      </c>
      <c r="T39" s="187">
        <v>0</v>
      </c>
      <c r="U39" s="187">
        <v>0</v>
      </c>
      <c r="V39" s="187">
        <v>0</v>
      </c>
      <c r="W39" s="187">
        <v>0</v>
      </c>
      <c r="X39" s="187">
        <v>0</v>
      </c>
      <c r="Y39" s="187">
        <v>0</v>
      </c>
      <c r="Z39" s="187">
        <v>0</v>
      </c>
      <c r="AA39" s="187">
        <v>0.05</v>
      </c>
      <c r="AB39" s="187">
        <v>0</v>
      </c>
      <c r="AC39" s="187">
        <v>0</v>
      </c>
      <c r="AD39" s="187">
        <v>0</v>
      </c>
      <c r="AE39" s="187">
        <v>0</v>
      </c>
      <c r="AF39" s="187">
        <v>0</v>
      </c>
      <c r="AG39" s="187">
        <v>0</v>
      </c>
      <c r="AH39" s="187">
        <v>0</v>
      </c>
      <c r="AI39" s="187">
        <v>0</v>
      </c>
      <c r="AJ39" s="187">
        <v>0</v>
      </c>
      <c r="AK39" s="187">
        <v>0</v>
      </c>
      <c r="AL39" s="187">
        <v>0</v>
      </c>
      <c r="AM39" s="187">
        <v>0</v>
      </c>
      <c r="AN39" s="187">
        <v>0.6</v>
      </c>
      <c r="AO39" s="187">
        <v>0</v>
      </c>
    </row>
    <row r="40" spans="3:41" x14ac:dyDescent="0.3">
      <c r="C40" s="187">
        <v>43</v>
      </c>
      <c r="D40" s="187">
        <v>9</v>
      </c>
      <c r="E40" s="187">
        <v>2</v>
      </c>
      <c r="F40" s="187">
        <v>600</v>
      </c>
      <c r="G40" s="187">
        <v>0</v>
      </c>
      <c r="H40" s="187">
        <v>492.8</v>
      </c>
      <c r="I40" s="187">
        <v>0</v>
      </c>
      <c r="J40" s="187">
        <v>0</v>
      </c>
      <c r="K40" s="187">
        <v>0</v>
      </c>
      <c r="L40" s="187">
        <v>0</v>
      </c>
      <c r="M40" s="187">
        <v>0</v>
      </c>
      <c r="N40" s="187">
        <v>0</v>
      </c>
      <c r="O40" s="187">
        <v>0</v>
      </c>
      <c r="P40" s="187">
        <v>0</v>
      </c>
      <c r="Q40" s="187">
        <v>0</v>
      </c>
      <c r="R40" s="187">
        <v>0</v>
      </c>
      <c r="S40" s="187">
        <v>0</v>
      </c>
      <c r="T40" s="187">
        <v>0</v>
      </c>
      <c r="U40" s="187">
        <v>0</v>
      </c>
      <c r="V40" s="187">
        <v>0</v>
      </c>
      <c r="W40" s="187">
        <v>0</v>
      </c>
      <c r="X40" s="187">
        <v>0</v>
      </c>
      <c r="Y40" s="187">
        <v>0</v>
      </c>
      <c r="Z40" s="187">
        <v>0</v>
      </c>
      <c r="AA40" s="187">
        <v>8.8000000000000007</v>
      </c>
      <c r="AB40" s="187">
        <v>0</v>
      </c>
      <c r="AC40" s="187">
        <v>0</v>
      </c>
      <c r="AD40" s="187">
        <v>0</v>
      </c>
      <c r="AE40" s="187">
        <v>0</v>
      </c>
      <c r="AF40" s="187">
        <v>0</v>
      </c>
      <c r="AG40" s="187">
        <v>0</v>
      </c>
      <c r="AH40" s="187">
        <v>0</v>
      </c>
      <c r="AI40" s="187">
        <v>0</v>
      </c>
      <c r="AJ40" s="187">
        <v>0</v>
      </c>
      <c r="AK40" s="187">
        <v>0</v>
      </c>
      <c r="AL40" s="187">
        <v>0</v>
      </c>
      <c r="AM40" s="187">
        <v>0</v>
      </c>
      <c r="AN40" s="187">
        <v>98.4</v>
      </c>
      <c r="AO40" s="187">
        <v>0</v>
      </c>
    </row>
    <row r="41" spans="3:41" x14ac:dyDescent="0.3">
      <c r="C41" s="187">
        <v>43</v>
      </c>
      <c r="D41" s="187">
        <v>9</v>
      </c>
      <c r="E41" s="187">
        <v>6</v>
      </c>
      <c r="F41" s="187">
        <v>106946</v>
      </c>
      <c r="G41" s="187">
        <v>0</v>
      </c>
      <c r="H41" s="187">
        <v>93293</v>
      </c>
      <c r="I41" s="187">
        <v>0</v>
      </c>
      <c r="J41" s="187">
        <v>0</v>
      </c>
      <c r="K41" s="187">
        <v>0</v>
      </c>
      <c r="L41" s="187">
        <v>0</v>
      </c>
      <c r="M41" s="187">
        <v>0</v>
      </c>
      <c r="N41" s="187">
        <v>0</v>
      </c>
      <c r="O41" s="187">
        <v>0</v>
      </c>
      <c r="P41" s="187">
        <v>0</v>
      </c>
      <c r="Q41" s="187">
        <v>0</v>
      </c>
      <c r="R41" s="187">
        <v>0</v>
      </c>
      <c r="S41" s="187">
        <v>0</v>
      </c>
      <c r="T41" s="187">
        <v>0</v>
      </c>
      <c r="U41" s="187">
        <v>0</v>
      </c>
      <c r="V41" s="187">
        <v>0</v>
      </c>
      <c r="W41" s="187">
        <v>0</v>
      </c>
      <c r="X41" s="187">
        <v>0</v>
      </c>
      <c r="Y41" s="187">
        <v>0</v>
      </c>
      <c r="Z41" s="187">
        <v>0</v>
      </c>
      <c r="AA41" s="187">
        <v>2163</v>
      </c>
      <c r="AB41" s="187">
        <v>0</v>
      </c>
      <c r="AC41" s="187">
        <v>0</v>
      </c>
      <c r="AD41" s="187">
        <v>0</v>
      </c>
      <c r="AE41" s="187">
        <v>0</v>
      </c>
      <c r="AF41" s="187">
        <v>0</v>
      </c>
      <c r="AG41" s="187">
        <v>0</v>
      </c>
      <c r="AH41" s="187">
        <v>0</v>
      </c>
      <c r="AI41" s="187">
        <v>0</v>
      </c>
      <c r="AJ41" s="187">
        <v>0</v>
      </c>
      <c r="AK41" s="187">
        <v>0</v>
      </c>
      <c r="AL41" s="187">
        <v>0</v>
      </c>
      <c r="AM41" s="187">
        <v>0</v>
      </c>
      <c r="AN41" s="187">
        <v>11490</v>
      </c>
      <c r="AO41" s="187">
        <v>0</v>
      </c>
    </row>
    <row r="42" spans="3:41" x14ac:dyDescent="0.3">
      <c r="C42" s="187">
        <v>43</v>
      </c>
      <c r="D42" s="187">
        <v>9</v>
      </c>
      <c r="E42" s="187">
        <v>11</v>
      </c>
      <c r="F42" s="187">
        <v>873.66570000617014</v>
      </c>
      <c r="G42" s="187">
        <v>0</v>
      </c>
      <c r="H42" s="187">
        <v>706.99903333950351</v>
      </c>
      <c r="I42" s="187">
        <v>0</v>
      </c>
      <c r="J42" s="187">
        <v>0</v>
      </c>
      <c r="K42" s="187">
        <v>166.66666666666666</v>
      </c>
      <c r="L42" s="187">
        <v>0</v>
      </c>
      <c r="M42" s="187">
        <v>0</v>
      </c>
      <c r="N42" s="187">
        <v>0</v>
      </c>
      <c r="O42" s="187">
        <v>0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7">
        <v>0</v>
      </c>
      <c r="W42" s="187">
        <v>0</v>
      </c>
      <c r="X42" s="187">
        <v>0</v>
      </c>
      <c r="Y42" s="187">
        <v>0</v>
      </c>
      <c r="Z42" s="187">
        <v>0</v>
      </c>
      <c r="AA42" s="187">
        <v>0</v>
      </c>
      <c r="AB42" s="187">
        <v>0</v>
      </c>
      <c r="AC42" s="187">
        <v>0</v>
      </c>
      <c r="AD42" s="187">
        <v>0</v>
      </c>
      <c r="AE42" s="187">
        <v>0</v>
      </c>
      <c r="AF42" s="187">
        <v>0</v>
      </c>
      <c r="AG42" s="187">
        <v>0</v>
      </c>
      <c r="AH42" s="187">
        <v>0</v>
      </c>
      <c r="AI42" s="187">
        <v>0</v>
      </c>
      <c r="AJ42" s="187">
        <v>0</v>
      </c>
      <c r="AK42" s="187">
        <v>0</v>
      </c>
      <c r="AL42" s="187">
        <v>0</v>
      </c>
      <c r="AM42" s="187">
        <v>0</v>
      </c>
      <c r="AN42" s="187">
        <v>0</v>
      </c>
      <c r="AO42" s="187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1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6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6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6" customWidth="1"/>
    <col min="20" max="16384" width="8.88671875" style="102"/>
  </cols>
  <sheetData>
    <row r="1" spans="1:19" ht="18.600000000000001" customHeight="1" thickBot="1" x14ac:dyDescent="0.4">
      <c r="A1" s="292" t="s">
        <v>279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</row>
    <row r="2" spans="1:19" ht="14.4" customHeight="1" thickBot="1" x14ac:dyDescent="0.35">
      <c r="A2" s="191" t="s">
        <v>216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7" t="s">
        <v>98</v>
      </c>
      <c r="B3" s="178">
        <f>SUBTOTAL(9,B6:B1048576)/2</f>
        <v>327</v>
      </c>
      <c r="C3" s="179">
        <f t="shared" ref="C3:R3" si="0">SUBTOTAL(9,C6:C1048576)</f>
        <v>2</v>
      </c>
      <c r="D3" s="179">
        <f>SUBTOTAL(9,D6:D1048576)/2</f>
        <v>327</v>
      </c>
      <c r="E3" s="179">
        <f t="shared" si="0"/>
        <v>2</v>
      </c>
      <c r="F3" s="179">
        <f>SUBTOTAL(9,F6:F1048576)/2</f>
        <v>0</v>
      </c>
      <c r="G3" s="180">
        <f>IF(B3&lt;&gt;0,F3/B3,"")</f>
        <v>0</v>
      </c>
      <c r="H3" s="181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2" t="str">
        <f>IF(H3&lt;&gt;0,L3/H3,"")</f>
        <v/>
      </c>
      <c r="N3" s="178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IF(N3&lt;&gt;0,R3/N3,"")</f>
        <v/>
      </c>
    </row>
    <row r="4" spans="1:19" ht="14.4" customHeight="1" x14ac:dyDescent="0.3">
      <c r="A4" s="293" t="s">
        <v>215</v>
      </c>
      <c r="B4" s="294" t="s">
        <v>75</v>
      </c>
      <c r="C4" s="295"/>
      <c r="D4" s="295"/>
      <c r="E4" s="295"/>
      <c r="F4" s="295"/>
      <c r="G4" s="296"/>
      <c r="H4" s="294" t="s">
        <v>76</v>
      </c>
      <c r="I4" s="295"/>
      <c r="J4" s="295"/>
      <c r="K4" s="295"/>
      <c r="L4" s="295"/>
      <c r="M4" s="296"/>
      <c r="N4" s="294" t="s">
        <v>77</v>
      </c>
      <c r="O4" s="295"/>
      <c r="P4" s="295"/>
      <c r="Q4" s="295"/>
      <c r="R4" s="295"/>
      <c r="S4" s="296"/>
    </row>
    <row r="5" spans="1:19" ht="14.4" customHeight="1" thickBot="1" x14ac:dyDescent="0.35">
      <c r="A5" s="370"/>
      <c r="B5" s="371">
        <v>2013</v>
      </c>
      <c r="C5" s="372"/>
      <c r="D5" s="372">
        <v>2014</v>
      </c>
      <c r="E5" s="372"/>
      <c r="F5" s="372">
        <v>2015</v>
      </c>
      <c r="G5" s="373" t="s">
        <v>1</v>
      </c>
      <c r="H5" s="371">
        <v>2013</v>
      </c>
      <c r="I5" s="372"/>
      <c r="J5" s="372">
        <v>2014</v>
      </c>
      <c r="K5" s="372"/>
      <c r="L5" s="372">
        <v>2015</v>
      </c>
      <c r="M5" s="373" t="s">
        <v>1</v>
      </c>
      <c r="N5" s="371">
        <v>2013</v>
      </c>
      <c r="O5" s="372"/>
      <c r="P5" s="372">
        <v>2014</v>
      </c>
      <c r="Q5" s="372"/>
      <c r="R5" s="372">
        <v>2015</v>
      </c>
      <c r="S5" s="373" t="s">
        <v>1</v>
      </c>
    </row>
    <row r="6" spans="1:19" ht="14.4" customHeight="1" thickBot="1" x14ac:dyDescent="0.35">
      <c r="A6" s="377" t="s">
        <v>278</v>
      </c>
      <c r="B6" s="375">
        <v>327</v>
      </c>
      <c r="C6" s="376">
        <v>1</v>
      </c>
      <c r="D6" s="375">
        <v>327</v>
      </c>
      <c r="E6" s="376">
        <v>1</v>
      </c>
      <c r="F6" s="375"/>
      <c r="G6" s="249"/>
      <c r="H6" s="375"/>
      <c r="I6" s="376"/>
      <c r="J6" s="375"/>
      <c r="K6" s="376"/>
      <c r="L6" s="375"/>
      <c r="M6" s="249"/>
      <c r="N6" s="375"/>
      <c r="O6" s="376"/>
      <c r="P6" s="375"/>
      <c r="Q6" s="376"/>
      <c r="R6" s="375"/>
      <c r="S6" s="250"/>
    </row>
    <row r="7" spans="1:19" ht="14.4" customHeight="1" thickBot="1" x14ac:dyDescent="0.35"/>
    <row r="8" spans="1:19" ht="14.4" customHeight="1" thickBot="1" x14ac:dyDescent="0.35">
      <c r="A8" s="377" t="s">
        <v>280</v>
      </c>
      <c r="B8" s="375">
        <v>327</v>
      </c>
      <c r="C8" s="376">
        <v>1</v>
      </c>
      <c r="D8" s="375">
        <v>327</v>
      </c>
      <c r="E8" s="376">
        <v>1</v>
      </c>
      <c r="F8" s="375"/>
      <c r="G8" s="249"/>
      <c r="H8" s="375"/>
      <c r="I8" s="376"/>
      <c r="J8" s="375"/>
      <c r="K8" s="376"/>
      <c r="L8" s="375"/>
      <c r="M8" s="249"/>
      <c r="N8" s="375"/>
      <c r="O8" s="376"/>
      <c r="P8" s="375"/>
      <c r="Q8" s="376"/>
      <c r="R8" s="375"/>
      <c r="S8" s="250"/>
    </row>
    <row r="9" spans="1:19" ht="14.4" customHeight="1" x14ac:dyDescent="0.3">
      <c r="A9" s="378" t="s">
        <v>281</v>
      </c>
    </row>
    <row r="10" spans="1:19" ht="14.4" customHeight="1" x14ac:dyDescent="0.3">
      <c r="A10" s="379" t="s">
        <v>282</v>
      </c>
    </row>
    <row r="11" spans="1:19" ht="14.4" customHeight="1" x14ac:dyDescent="0.3">
      <c r="A11" s="378" t="s">
        <v>283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2015-10-26T17:41:16Z</dcterms:modified>
</cp:coreProperties>
</file>