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19" r:id="rId7"/>
    <sheet name="ON Data" sheetId="418" state="hidden" r:id="rId8"/>
    <sheet name="ZV Vykáz.-A" sheetId="344" r:id="rId9"/>
    <sheet name="ZV Vykáz.-A Lékaři" sheetId="429" r:id="rId10"/>
    <sheet name="ZV Vykáz.-A Detail" sheetId="345" r:id="rId11"/>
    <sheet name="ZV Vykáz.-H" sheetId="410" r:id="rId12"/>
    <sheet name="ZV Vykáz.-H Detail" sheetId="377" r:id="rId13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0" hidden="1">'ZV Vykáz.-A Detail'!$A$5:$P$5</definedName>
    <definedName name="_xlnm._FilterDatabase" localSheetId="9" hidden="1">'ZV Vykáz.-A Lékaři'!$A$4:$A$5</definedName>
    <definedName name="_xlnm._FilterDatabase" localSheetId="12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V18" i="419" l="1"/>
  <c r="J18" i="419"/>
  <c r="N18" i="419"/>
  <c r="R18" i="419"/>
  <c r="Z18" i="419"/>
  <c r="AD18" i="419"/>
  <c r="M23" i="419"/>
  <c r="U23" i="419"/>
  <c r="K18" i="419"/>
  <c r="O18" i="419"/>
  <c r="S18" i="419"/>
  <c r="W18" i="419"/>
  <c r="AA18" i="419"/>
  <c r="AE18" i="419"/>
  <c r="AH18" i="419"/>
  <c r="J23" i="419"/>
  <c r="N23" i="419"/>
  <c r="R23" i="419"/>
  <c r="Z23" i="419"/>
  <c r="AD23" i="419"/>
  <c r="AC23" i="419"/>
  <c r="N22" i="419"/>
  <c r="AD22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H18" i="419"/>
  <c r="L18" i="419"/>
  <c r="P18" i="419"/>
  <c r="T18" i="419"/>
  <c r="X18" i="419"/>
  <c r="AB18" i="419"/>
  <c r="AF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5" i="383"/>
  <c r="G3" i="429"/>
  <c r="F3" i="429"/>
  <c r="E3" i="429"/>
  <c r="D3" i="429"/>
  <c r="C3" i="429"/>
  <c r="B3" i="429"/>
  <c r="AH26" i="419" l="1"/>
  <c r="AH25" i="419"/>
  <c r="C11" i="340" l="1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V6" i="419"/>
  <c r="J6" i="419"/>
  <c r="AF6" i="419"/>
  <c r="AB6" i="419"/>
  <c r="X6" i="419"/>
  <c r="T6" i="419"/>
  <c r="P6" i="419"/>
  <c r="L6" i="419"/>
  <c r="H6" i="419"/>
  <c r="S6" i="419"/>
  <c r="K6" i="419"/>
  <c r="AD6" i="419"/>
  <c r="R6" i="419"/>
  <c r="AH6" i="419"/>
  <c r="AE6" i="419"/>
  <c r="AA6" i="419"/>
  <c r="W6" i="419"/>
  <c r="O6" i="419"/>
  <c r="Z6" i="419"/>
  <c r="N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5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7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6" i="414" s="1"/>
  <c r="C11" i="339"/>
  <c r="H11" i="339" l="1"/>
  <c r="G11" i="339"/>
  <c r="A17" i="414"/>
  <c r="A16" i="414"/>
  <c r="A11" i="414"/>
  <c r="A7" i="414"/>
  <c r="A12" i="414"/>
  <c r="A4" i="414"/>
  <c r="A6" i="339" l="1"/>
  <c r="A5" i="339"/>
  <c r="C12" i="414"/>
  <c r="D4" i="414"/>
  <c r="C15" i="414"/>
  <c r="D12" i="414"/>
  <c r="D15" i="414"/>
  <c r="C11" i="414" l="1"/>
  <c r="C7" i="414"/>
  <c r="E17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F12" i="339" s="1"/>
  <c r="O3" i="377"/>
  <c r="N3" i="377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C18" i="414"/>
  <c r="D18" i="414"/>
  <c r="Q3" i="377" l="1"/>
  <c r="F13" i="339"/>
  <c r="E13" i="339"/>
  <c r="E15" i="339" s="1"/>
  <c r="H12" i="339"/>
  <c r="G12" i="339"/>
  <c r="A4" i="383"/>
  <c r="A18" i="383"/>
  <c r="A17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4" i="414"/>
  <c r="H13" i="339" l="1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18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<sst xmlns="http://schemas.openxmlformats.org/spreadsheetml/2006/main" count="527" uniqueCount="310">
  <si>
    <t>%</t>
  </si>
  <si>
    <t>Celkem</t>
  </si>
  <si>
    <t>Klinika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</si>
  <si>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</si>
  <si>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</si>
  <si>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</si>
  <si>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</si>
  <si>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</si>
  <si>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</si>
  <si>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</si>
  <si>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</si>
  <si>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</si>
  <si>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</si>
  <si>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</si>
  <si>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</si>
  <si>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</si>
  <si>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</si>
  <si>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</si>
  <si>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</si>
  <si>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</si>
  <si>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</si>
  <si>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</si>
  <si>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</si>
  <si>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</si>
  <si>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</si>
  <si>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</si>
  <si>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</si>
  <si>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</si>
  <si>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</si>
  <si>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</si>
  <si>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</si>
  <si>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</si>
  <si>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</si>
  <si>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</si>
  <si>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</si>
  <si>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</si>
  <si>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</si>
  <si>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</si>
  <si>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</si>
  <si>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</si>
  <si>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</si>
  <si>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</si>
  <si>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</si>
  <si>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</si>
  <si>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</si>
  <si>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</si>
  <si>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</si>
  <si>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</si>
  <si>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</si>
  <si>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</si>
  <si>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</si>
  <si>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</si>
  <si>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</si>
  <si>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</si>
  <si>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</si>
  <si>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</si>
  <si>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</si>
  <si>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</si>
  <si>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</si>
  <si>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</si>
  <si>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</si>
  <si>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</si>
  <si>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</si>
  <si>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</si>
  <si>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</si>
  <si>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</si>
  <si>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</si>
  <si>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</si>
  <si>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</si>
  <si>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</si>
  <si>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</si>
  <si>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</si>
  <si>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</si>
  <si>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</si>
  <si>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</si>
  <si>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</si>
  <si>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</si>
  <si>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</si>
  <si>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</si>
  <si>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</si>
  <si>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</si>
  <si>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</si>
  <si>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</si>
  <si>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</si>
  <si>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</si>
  <si>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</si>
  <si>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</si>
  <si>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</si>
  <si>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</si>
  <si>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</si>
  <si>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</si>
  <si>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</si>
  <si>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</si>
  <si>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</si>
  <si>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</si>
  <si>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</si>
  <si>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</si>
  <si>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</si>
  <si>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</si>
  <si>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</si>
  <si>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</si>
  <si>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</si>
  <si>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</si>
  <si>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</si>
  <si>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</si>
  <si>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</si>
  <si>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</si>
  <si>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</si>
  <si>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</si>
  <si>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</si>
  <si>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</si>
  <si>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</si>
  <si>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</si>
  <si>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</si>
  <si>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</si>
  <si>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</si>
  <si>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</si>
  <si>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</si>
  <si>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</si>
  <si>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</si>
  <si>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</si>
  <si>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</si>
  <si>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</si>
  <si>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</si>
  <si>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</si>
  <si>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</si>
  <si>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</si>
  <si>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</si>
  <si>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</si>
  <si>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</si>
  <si>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</si>
  <si>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</si>
  <si>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</si>
  <si>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</si>
  <si>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</si>
  <si>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</si>
  <si>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</si>
  <si>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</si>
  <si>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</si>
  <si>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</si>
  <si>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</si>
  <si>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</si>
  <si>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</si>
  <si>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</si>
  <si>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</si>
  <si>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</si>
  <si>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</si>
  <si>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</si>
  <si>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</si>
  <si>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</si>
  <si>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</si>
  <si>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</si>
  <si>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</si>
  <si>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</si>
  <si>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</si>
  <si>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</si>
  <si>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</si>
  <si>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</si>
  <si>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</si>
  <si>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</si>
  <si>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</si>
  <si>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</si>
  <si>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</si>
  <si>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</si>
  <si>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</si>
  <si>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</si>
  <si>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</si>
  <si>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</si>
  <si>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</si>
  <si>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</si>
  <si>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</si>
  <si>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</si>
  <si>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</si>
  <si>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</si>
  <si>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</si>
  <si>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</si>
  <si>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</si>
  <si>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</si>
  <si>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</si>
  <si>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</si>
  <si>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</si>
  <si>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</si>
  <si>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</si>
  <si>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</si>
  <si>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</si>
  <si>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</si>
  <si>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</si>
  <si>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</si>
  <si>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</si>
  <si>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</si>
  <si>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</si>
  <si>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</si>
  <si>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</si>
  <si>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</si>
  <si>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</si>
  <si>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</si>
  <si>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</si>
  <si>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</si>
  <si>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</si>
  <si>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</si>
  <si>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</si>
  <si>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</si>
  <si>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</si>
  <si>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</si>
  <si>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</si>
  <si>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</si>
  <si>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</si>
  <si>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</si>
  <si>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</si>
  <si>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</si>
  <si>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</si>
  <si>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</si>
  <si>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</si>
  <si>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</si>
  <si>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</si>
  <si>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</si>
  <si>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</si>
  <si>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</si>
  <si>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</si>
  <si>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</si>
  <si>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</si>
  <si>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</si>
  <si>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50117001     nákup zdravotnické techniky (Z 524, Z 510)</t>
  </si>
  <si>
    <t>--</t>
  </si>
  <si>
    <t>50117002     prací a čistící prostř.,drog.zboží (sk.V41)</t>
  </si>
  <si>
    <t>50117004     tiskopisy a kanc.potřeby (sk.V42, 43)</t>
  </si>
  <si>
    <t>50117015     IT - spotřební materiál (sk. P37, 48)</t>
  </si>
  <si>
    <t>50117024     všeob.mat. - ostatní-vyjímky (V44) od 0,01 do 999,99</t>
  </si>
  <si>
    <t>50119     DDHM a textil</t>
  </si>
  <si>
    <t>50119077     OOPP a prádlo pro zaměstnance (sk.T14)</t>
  </si>
  <si>
    <t>51     Služby</t>
  </si>
  <si>
    <t>51802     Spoje</t>
  </si>
  <si>
    <t>51802003     spoje -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</si>
  <si>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</si>
  <si>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</si>
  <si>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</si>
  <si>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</si>
  <si>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</si>
  <si>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</si>
  <si>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</si>
  <si>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</si>
  <si>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</si>
  <si>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</si>
  <si>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</si>
  <si>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</si>
  <si>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</si>
  <si>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</si>
  <si>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</si>
  <si>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</si>
  <si>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</si>
  <si>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6     Účtová třída 6 - Výnosy</t>
  </si>
  <si>
    <t>60     Tržby za vlastní výkony a zboží</t>
  </si>
  <si>
    <t>602     Výnosy z prodeje služeb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</si>
  <si>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</si>
  <si>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</si>
  <si>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</si>
  <si>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</si>
  <si>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</si>
  <si>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</si>
  <si>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</si>
  <si>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</si>
  <si>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</si>
  <si>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</si>
  <si>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</si>
  <si>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</si>
  <si>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</si>
  <si>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</si>
  <si>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</si>
  <si>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</si>
  <si>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</si>
  <si>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</si>
  <si>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79910003     výkony PACS - přeúčtování nákl. (z 9087)</t>
  </si>
  <si>
    <t>79950     VPN - správní režie</t>
  </si>
  <si>
    <t>79950001     režie HTS</t>
  </si>
  <si>
    <t>ON Data</t>
  </si>
  <si>
    <t>206 - Pracoviště klinické farmakologie (mimo laboratorní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</si>
  <si>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</si>
  <si>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</si>
  <si>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</si>
  <si>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</si>
  <si>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Matalová Petra</t>
  </si>
  <si>
    <t>Zdravotní výkony vykázané na pracovišti v rámci ambulantní péče dle lékařů *</t>
  </si>
  <si>
    <t>206</t>
  </si>
  <si>
    <t>V</t>
  </si>
  <si>
    <t>26022</t>
  </si>
  <si>
    <t>CÍLENÉ VYŠETŘENÍ KLINICKÝM FARMAKOLOGEM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</si>
  <si>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</si>
  <si>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</si>
  <si>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</si>
  <si>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</si>
  <si>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</si>
  <si>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</si>
  <si>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10 - Dětská klinika</t>
  </si>
  <si>
    <t>14 - Oční klinika</t>
  </si>
  <si>
    <t>21 - Onkologická klinika</t>
  </si>
  <si>
    <t>30 - Oddělení geriatrie</t>
  </si>
  <si>
    <t>59 - Oddělení intenzivní péče chirurgických oborů</t>
  </si>
  <si>
    <t>01</t>
  </si>
  <si>
    <t>26023</t>
  </si>
  <si>
    <t>KONTROLNÍ VYŠETŘENÍ KLINICKÝM FARMAKOLOGEM</t>
  </si>
  <si>
    <t>02</t>
  </si>
  <si>
    <t>03</t>
  </si>
  <si>
    <t>05</t>
  </si>
  <si>
    <t>07</t>
  </si>
  <si>
    <t>10</t>
  </si>
  <si>
    <t>14</t>
  </si>
  <si>
    <t>21</t>
  </si>
  <si>
    <t>30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</si>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</sst>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0">
    <xf numFmtId="0" fontId="0" fillId="0" borderId="0" xfId="0"/>
    <xf numFmtId="0" fontId="27" fillId="2" borderId="16" xfId="78" applyFont="1" applyFill="1" applyBorder="1"/>
    <xf numFmtId="0" fontId="28" fillId="2" borderId="17" xfId="78" applyFont="1" applyFill="1" applyBorder="1"/>
    <xf numFmtId="3" fontId="28" fillId="2" borderId="18" xfId="78" applyNumberFormat="1" applyFont="1" applyFill="1" applyBorder="1"/>
    <xf numFmtId="0" fontId="28" fillId="4" borderId="17" xfId="78" applyFont="1" applyFill="1" applyBorder="1"/>
    <xf numFmtId="3" fontId="28" fillId="4" borderId="18" xfId="78" applyNumberFormat="1" applyFont="1" applyFill="1" applyBorder="1"/>
    <xf numFmtId="171" fontId="28" fillId="3" borderId="18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78" applyNumberFormat="1" applyFont="1" applyFill="1" applyBorder="1"/>
    <xf numFmtId="3" fontId="27" fillId="5" borderId="7" xfId="78" applyNumberFormat="1" applyFont="1" applyFill="1" applyBorder="1"/>
    <xf numFmtId="3" fontId="27" fillId="5" borderId="11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78" applyNumberFormat="1" applyFont="1" applyFill="1" applyBorder="1"/>
    <xf numFmtId="3" fontId="27" fillId="5" borderId="28" xfId="78" applyNumberFormat="1" applyFont="1" applyFill="1" applyBorder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9" xfId="78" applyNumberFormat="1" applyFont="1" applyFill="1" applyBorder="1"/>
    <xf numFmtId="3" fontId="27" fillId="5" borderId="12" xfId="78" applyNumberFormat="1" applyFont="1" applyFill="1" applyBorder="1"/>
    <xf numFmtId="3" fontId="27" fillId="5" borderId="13" xfId="78" applyNumberFormat="1" applyFont="1" applyFill="1" applyBorder="1"/>
    <xf numFmtId="3" fontId="28" fillId="2" borderId="26" xfId="78" applyNumberFormat="1" applyFont="1" applyFill="1" applyBorder="1"/>
    <xf numFmtId="3" fontId="28" fillId="2" borderId="19" xfId="78" applyNumberFormat="1" applyFont="1" applyFill="1" applyBorder="1"/>
    <xf numFmtId="3" fontId="28" fillId="4" borderId="26" xfId="78" applyNumberFormat="1" applyFont="1" applyFill="1" applyBorder="1"/>
    <xf numFmtId="3" fontId="28" fillId="4" borderId="19" xfId="78" applyNumberFormat="1" applyFont="1" applyFill="1" applyBorder="1"/>
    <xf numFmtId="171" fontId="28" fillId="3" borderId="26" xfId="78" applyNumberFormat="1" applyFont="1" applyFill="1" applyBorder="1"/>
    <xf numFmtId="171" fontId="28" fillId="3" borderId="19" xfId="78" applyNumberFormat="1" applyFont="1" applyFill="1" applyBorder="1"/>
    <xf numFmtId="0" fontId="31" fillId="2" borderId="24" xfId="78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5" xfId="79" applyFont="1" applyFill="1" applyBorder="1" applyAlignment="1"/>
    <xf numFmtId="164" fontId="3" fillId="0" borderId="54" xfId="53" applyNumberFormat="1" applyFont="1" applyFill="1" applyBorder="1"/>
    <xf numFmtId="9" fontId="3" fillId="0" borderId="54" xfId="53" applyNumberFormat="1" applyFont="1" applyFill="1" applyBorder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9" xfId="0" applyFont="1" applyFill="1" applyBorder="1" applyAlignment="1"/>
    <xf numFmtId="0" fontId="3" fillId="2" borderId="52" xfId="53" applyFont="1" applyFill="1" applyBorder="1" applyAlignment="1">
      <alignment horizontal="right"/>
    </xf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0" fontId="31" fillId="2" borderId="41" xfId="0" applyFont="1" applyFill="1" applyBorder="1" applyAlignment="1">
      <alignment horizontal="center"/>
    </xf>
    <xf numFmtId="3" fontId="3" fillId="0" borderId="53" xfId="53" applyNumberFormat="1" applyFont="1" applyFill="1" applyBorder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0" fontId="31" fillId="2" borderId="41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7" xfId="74" applyFont="1" applyFill="1" applyBorder="1" applyAlignment="1">
      <alignment horizontal="center"/>
    </xf>
    <xf numFmtId="0" fontId="27" fillId="5" borderId="35" xfId="78" applyFont="1" applyFill="1" applyBorder="1"/>
    <xf numFmtId="0" fontId="31" fillId="2" borderId="22" xfId="78" applyFont="1" applyFill="1" applyBorder="1" applyAlignment="1">
      <alignment horizontal="center"/>
    </xf>
    <xf numFmtId="0" fontId="31" fillId="2" borderId="21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78" applyNumberFormat="1" applyFont="1" applyFill="1" applyBorder="1"/>
    <xf numFmtId="9" fontId="28" fillId="4" borderId="19" xfId="78" applyNumberFormat="1" applyFont="1" applyFill="1" applyBorder="1"/>
    <xf numFmtId="9" fontId="28" fillId="3" borderId="19" xfId="78" applyNumberFormat="1" applyFont="1" applyFill="1" applyBorder="1"/>
    <xf numFmtId="0" fontId="31" fillId="2" borderId="20" xfId="78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7" xfId="1" applyFont="1" applyFill="1" applyBorder="1"/>
    <xf numFmtId="0" fontId="44" fillId="2" borderId="3" xfId="1" applyFont="1" applyFill="1" applyBorder="1"/>
    <xf numFmtId="0" fontId="44" fillId="4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5" xfId="0" applyNumberFormat="1" applyFont="1" applyFill="1" applyBorder="1"/>
    <xf numFmtId="9" fontId="39" fillId="2" borderId="48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6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9" fontId="32" fillId="0" borderId="8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6" xfId="1" applyFont="1" applyFill="1" applyBorder="1" applyAlignment="1">
      <alignment horizontal="left"/>
    </xf>
    <xf numFmtId="0" fontId="44" fillId="4" borderId="33" xfId="1" applyFont="1" applyFill="1" applyBorder="1" applyAlignment="1">
      <alignment horizontal="left" indent="2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78" applyFont="1" applyFill="1"/>
    <xf numFmtId="0" fontId="49" fillId="0" borderId="35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5" xfId="0" applyFont="1" applyFill="1" applyBorder="1" applyAlignment="1">
      <alignment horizontal="right"/>
    </xf>
    <xf numFmtId="169" fontId="39" fillId="0" borderId="18" xfId="0" applyNumberFormat="1" applyFont="1" applyFill="1" applyBorder="1" applyAlignment="1"/>
    <xf numFmtId="169" fontId="39" fillId="0" borderId="26" xfId="0" applyNumberFormat="1" applyFont="1" applyFill="1" applyBorder="1" applyAlignment="1"/>
    <xf numFmtId="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43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1" xfId="0" applyNumberFormat="1" applyFont="1" applyFill="1" applyBorder="1" applyAlignment="1"/>
    <xf numFmtId="9" fontId="32" fillId="0" borderId="41" xfId="0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4" xfId="0" applyFont="1" applyBorder="1"/>
    <xf numFmtId="3" fontId="32" fillId="0" borderId="84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3" xfId="0" applyNumberFormat="1" applyFont="1" applyFill="1" applyBorder="1" applyAlignment="1">
      <alignment horizontal="center" vertical="center"/>
    </xf>
    <xf numFmtId="3" fontId="53" fillId="2" borderId="81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0" xfId="0" applyNumberFormat="1" applyFont="1" applyBorder="1"/>
    <xf numFmtId="173" fontId="32" fillId="0" borderId="81" xfId="0" applyNumberFormat="1" applyFont="1" applyBorder="1"/>
    <xf numFmtId="173" fontId="32" fillId="0" borderId="65" xfId="0" applyNumberFormat="1" applyFont="1" applyBorder="1"/>
    <xf numFmtId="173" fontId="39" fillId="2" borderId="82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3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0" fontId="32" fillId="0" borderId="84" xfId="0" applyFont="1" applyFill="1" applyBorder="1" applyAlignment="1"/>
    <xf numFmtId="3" fontId="39" fillId="0" borderId="18" xfId="0" applyNumberFormat="1" applyFont="1" applyFill="1" applyBorder="1" applyAlignment="1"/>
    <xf numFmtId="3" fontId="39" fillId="0" borderId="26" xfId="0" applyNumberFormat="1" applyFont="1" applyFill="1" applyBorder="1" applyAlignment="1"/>
    <xf numFmtId="169" fontId="39" fillId="0" borderId="19" xfId="0" applyNumberFormat="1" applyFont="1" applyFill="1" applyBorder="1" applyAlignment="1"/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78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37" xfId="78" applyFont="1" applyFill="1" applyBorder="1" applyAlignment="1">
      <alignment horizontal="center"/>
    </xf>
    <xf numFmtId="0" fontId="31" fillId="2" borderId="56" xfId="78" applyFont="1" applyFill="1" applyBorder="1" applyAlignment="1">
      <alignment horizontal="center"/>
    </xf>
    <xf numFmtId="0" fontId="31" fillId="2" borderId="38" xfId="78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48" xfId="0" applyFont="1" applyFill="1" applyBorder="1" applyAlignment="1">
      <alignment vertical="center"/>
    </xf>
    <xf numFmtId="3" fontId="31" fillId="2" borderId="50" xfId="26" applyNumberFormat="1" applyFont="1" applyFill="1" applyBorder="1" applyAlignment="1">
      <alignment horizontal="center"/>
    </xf>
    <xf numFmtId="3" fontId="31" fillId="2" borderId="41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60" xfId="26" applyNumberFormat="1" applyFont="1" applyFill="1" applyBorder="1" applyAlignment="1">
      <alignment horizontal="center"/>
    </xf>
    <xf numFmtId="3" fontId="31" fillId="2" borderId="42" xfId="0" applyNumberFormat="1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top" wrapText="1"/>
    </xf>
    <xf numFmtId="0" fontId="31" fillId="2" borderId="29" xfId="0" applyFont="1" applyFill="1" applyBorder="1" applyAlignment="1">
      <alignment horizontal="center" vertical="top"/>
    </xf>
    <xf numFmtId="0" fontId="31" fillId="2" borderId="29" xfId="0" applyFont="1" applyFill="1" applyBorder="1" applyAlignment="1">
      <alignment horizontal="center" vertical="center"/>
    </xf>
    <xf numFmtId="0" fontId="31" fillId="2" borderId="50" xfId="0" quotePrefix="1" applyFont="1" applyFill="1" applyBorder="1" applyAlignment="1">
      <alignment horizontal="center"/>
    </xf>
    <xf numFmtId="0" fontId="31" fillId="2" borderId="42" xfId="0" applyFont="1" applyFill="1" applyBorder="1" applyAlignment="1">
      <alignment horizontal="center"/>
    </xf>
    <xf numFmtId="9" fontId="42" fillId="2" borderId="42" xfId="0" applyNumberFormat="1" applyFont="1" applyFill="1" applyBorder="1" applyAlignment="1">
      <alignment horizontal="center" vertical="top"/>
    </xf>
    <xf numFmtId="0" fontId="31" fillId="2" borderId="59" xfId="0" applyNumberFormat="1" applyFont="1" applyFill="1" applyBorder="1" applyAlignment="1">
      <alignment horizontal="center" vertical="top"/>
    </xf>
    <xf numFmtId="0" fontId="31" fillId="2" borderId="50" xfId="0" quotePrefix="1" applyNumberFormat="1" applyFont="1" applyFill="1" applyBorder="1" applyAlignment="1">
      <alignment horizontal="center"/>
    </xf>
    <xf numFmtId="0" fontId="31" fillId="2" borderId="42" xfId="0" applyNumberFormat="1" applyFont="1" applyFill="1" applyBorder="1" applyAlignment="1">
      <alignment horizontal="center"/>
    </xf>
    <xf numFmtId="49" fontId="31" fillId="2" borderId="29" xfId="0" applyNumberFormat="1" applyFont="1" applyFill="1" applyBorder="1" applyAlignment="1">
      <alignment horizontal="center" vertical="top"/>
    </xf>
    <xf numFmtId="0" fontId="42" fillId="2" borderId="42" xfId="0" applyNumberFormat="1" applyFont="1" applyFill="1" applyBorder="1" applyAlignment="1">
      <alignment horizontal="center" vertical="top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7" xfId="0" applyFont="1" applyFill="1" applyBorder="1" applyAlignment="1">
      <alignment vertical="top"/>
    </xf>
    <xf numFmtId="173" fontId="39" fillId="4" borderId="103" xfId="0" applyNumberFormat="1" applyFont="1" applyFill="1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173" fontId="32" fillId="0" borderId="105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/>
    </xf>
    <xf numFmtId="173" fontId="32" fillId="0" borderId="106" xfId="0" applyNumberFormat="1" applyFont="1" applyBorder="1" applyAlignment="1">
      <alignment horizontal="right" wrapText="1"/>
    </xf>
    <xf numFmtId="175" fontId="32" fillId="0" borderId="105" xfId="0" applyNumberFormat="1" applyFont="1" applyBorder="1" applyAlignment="1">
      <alignment horizontal="right"/>
    </xf>
    <xf numFmtId="175" fontId="32" fillId="0" borderId="106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0" fontId="39" fillId="2" borderId="87" xfId="0" applyFont="1" applyFill="1" applyBorder="1" applyAlignment="1">
      <alignment horizontal="center" vertical="center"/>
    </xf>
    <xf numFmtId="0" fontId="53" fillId="2" borderId="86" xfId="0" applyFont="1" applyFill="1" applyBorder="1" applyAlignment="1">
      <alignment horizontal="center" vertical="center" wrapText="1"/>
    </xf>
    <xf numFmtId="174" fontId="32" fillId="2" borderId="87" xfId="0" applyNumberFormat="1" applyFont="1" applyFill="1" applyBorder="1" applyAlignment="1"/>
    <xf numFmtId="174" fontId="32" fillId="0" borderId="85" xfId="0" applyNumberFormat="1" applyFont="1" applyBorder="1"/>
    <xf numFmtId="174" fontId="32" fillId="0" borderId="109" xfId="0" applyNumberFormat="1" applyFont="1" applyBorder="1"/>
    <xf numFmtId="173" fontId="39" fillId="4" borderId="87" xfId="0" applyNumberFormat="1" applyFont="1" applyFill="1" applyBorder="1" applyAlignment="1"/>
    <xf numFmtId="173" fontId="32" fillId="0" borderId="85" xfId="0" applyNumberFormat="1" applyFont="1" applyBorder="1"/>
    <xf numFmtId="173" fontId="32" fillId="0" borderId="86" xfId="0" applyNumberFormat="1" applyFont="1" applyBorder="1"/>
    <xf numFmtId="173" fontId="39" fillId="2" borderId="87" xfId="0" applyNumberFormat="1" applyFont="1" applyFill="1" applyBorder="1" applyAlignment="1"/>
    <xf numFmtId="173" fontId="32" fillId="0" borderId="109" xfId="0" applyNumberFormat="1" applyFont="1" applyBorder="1"/>
    <xf numFmtId="173" fontId="32" fillId="0" borderId="87" xfId="0" applyNumberFormat="1" applyFont="1" applyBorder="1"/>
    <xf numFmtId="9" fontId="32" fillId="0" borderId="85" xfId="0" applyNumberFormat="1" applyFont="1" applyBorder="1"/>
    <xf numFmtId="173" fontId="39" fillId="4" borderId="110" xfId="0" applyNumberFormat="1" applyFont="1" applyFill="1" applyBorder="1" applyAlignment="1">
      <alignment horizontal="center"/>
    </xf>
    <xf numFmtId="173" fontId="32" fillId="0" borderId="111" xfId="0" applyNumberFormat="1" applyFont="1" applyBorder="1" applyAlignment="1">
      <alignment horizontal="right"/>
    </xf>
    <xf numFmtId="175" fontId="32" fillId="0" borderId="111" xfId="0" applyNumberFormat="1" applyFont="1" applyBorder="1" applyAlignment="1">
      <alignment horizontal="right"/>
    </xf>
    <xf numFmtId="173" fontId="32" fillId="0" borderId="112" xfId="0" applyNumberFormat="1" applyFont="1" applyBorder="1" applyAlignment="1">
      <alignment horizontal="right"/>
    </xf>
    <xf numFmtId="0" fontId="0" fillId="0" borderId="14" xfId="0" applyBorder="1"/>
    <xf numFmtId="173" fontId="39" fillId="4" borderId="32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79" xfId="0" applyNumberFormat="1" applyFont="1" applyBorder="1" applyAlignment="1">
      <alignment horizontal="right"/>
    </xf>
    <xf numFmtId="0" fontId="32" fillId="2" borderId="51" xfId="0" applyFont="1" applyFill="1" applyBorder="1" applyAlignment="1">
      <alignment vertical="center"/>
    </xf>
    <xf numFmtId="0" fontId="31" fillId="2" borderId="14" xfId="26" applyNumberFormat="1" applyFont="1" applyFill="1" applyBorder="1"/>
    <xf numFmtId="0" fontId="31" fillId="2" borderId="0" xfId="26" applyNumberFormat="1" applyFont="1" applyFill="1" applyBorder="1"/>
    <xf numFmtId="0" fontId="31" fillId="2" borderId="15" xfId="26" applyNumberFormat="1" applyFont="1" applyFill="1" applyBorder="1" applyAlignment="1">
      <alignment horizontal="right"/>
    </xf>
    <xf numFmtId="0" fontId="32" fillId="0" borderId="18" xfId="0" applyFont="1" applyFill="1" applyBorder="1"/>
    <xf numFmtId="169" fontId="32" fillId="0" borderId="26" xfId="0" applyNumberFormat="1" applyFont="1" applyFill="1" applyBorder="1"/>
    <xf numFmtId="0" fontId="32" fillId="0" borderId="26" xfId="0" applyFont="1" applyFill="1" applyBorder="1"/>
    <xf numFmtId="0" fontId="39" fillId="0" borderId="18" xfId="0" applyFont="1" applyFill="1" applyBorder="1"/>
    <xf numFmtId="0" fontId="57" fillId="0" borderId="0" xfId="0" applyFont="1" applyFill="1"/>
    <xf numFmtId="0" fontId="58" fillId="0" borderId="0" xfId="0" applyFont="1" applyFill="1"/>
    <xf numFmtId="0" fontId="31" fillId="2" borderId="15" xfId="26" applyNumberFormat="1" applyFont="1" applyFill="1" applyBorder="1"/>
    <xf numFmtId="3" fontId="32" fillId="0" borderId="26" xfId="0" applyNumberFormat="1" applyFont="1" applyFill="1" applyBorder="1"/>
    <xf numFmtId="169" fontId="32" fillId="0" borderId="19" xfId="0" applyNumberFormat="1" applyFont="1" applyFill="1" applyBorder="1"/>
    <xf numFmtId="0" fontId="32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0" fillId="0" borderId="30" xfId="0" applyNumberFormat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3" fontId="31" fillId="2" borderId="14" xfId="0" applyNumberFormat="1" applyFont="1" applyFill="1" applyBorder="1" applyAlignment="1">
      <alignment horizontal="left"/>
    </xf>
    <xf numFmtId="3" fontId="31" fillId="2" borderId="15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2" fillId="2" borderId="15" xfId="0" applyNumberFormat="1" applyFont="1" applyFill="1" applyBorder="1" applyAlignment="1">
      <alignment horizontal="center" vertical="top"/>
    </xf>
    <xf numFmtId="3" fontId="31" fillId="2" borderId="15" xfId="0" applyNumberFormat="1" applyFont="1" applyFill="1" applyBorder="1" applyAlignment="1">
      <alignment horizontal="center" vertical="top"/>
    </xf>
    <xf numFmtId="3" fontId="32" fillId="0" borderId="19" xfId="0" applyNumberFormat="1" applyFont="1" applyFill="1" applyBorder="1"/>
    <xf numFmtId="0" fontId="32" fillId="0" borderId="23" xfId="0" applyFont="1" applyFill="1" applyBorder="1"/>
    <xf numFmtId="169" fontId="32" fillId="0" borderId="62" xfId="0" applyNumberFormat="1" applyFont="1" applyFill="1" applyBorder="1"/>
    <xf numFmtId="0" fontId="32" fillId="0" borderId="62" xfId="0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2" fillId="0" borderId="71" xfId="0" applyFont="1" applyFill="1" applyBorder="1"/>
    <xf numFmtId="169" fontId="32" fillId="0" borderId="72" xfId="0" applyNumberFormat="1" applyFont="1" applyFill="1" applyBorder="1"/>
    <xf numFmtId="0" fontId="32" fillId="0" borderId="72" xfId="0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0" fontId="32" fillId="0" borderId="64" xfId="0" applyFont="1" applyFill="1" applyBorder="1"/>
    <xf numFmtId="169" fontId="32" fillId="0" borderId="65" xfId="0" applyNumberFormat="1" applyFont="1" applyFill="1" applyBorder="1"/>
    <xf numFmtId="0" fontId="32" fillId="0" borderId="65" xfId="0" applyFont="1" applyFill="1" applyBorder="1"/>
    <xf numFmtId="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9" fillId="0" borderId="23" xfId="0" applyFont="1" applyFill="1" applyBorder="1"/>
    <xf numFmtId="0" fontId="39" fillId="0" borderId="71" xfId="0" applyFont="1" applyFill="1" applyBorder="1"/>
    <xf numFmtId="0" fontId="39" fillId="0" borderId="64" xfId="0" applyFont="1" applyFill="1" applyBorder="1"/>
    <xf numFmtId="49" fontId="31" fillId="2" borderId="30" xfId="0" applyNumberFormat="1" applyFont="1" applyFill="1" applyBorder="1" applyAlignment="1">
      <alignment horizontal="center" vertical="top"/>
    </xf>
    <xf numFmtId="0" fontId="31" fillId="2" borderId="14" xfId="0" applyNumberFormat="1" applyFont="1" applyFill="1" applyBorder="1" applyAlignment="1">
      <alignment horizontal="left"/>
    </xf>
    <xf numFmtId="0" fontId="31" fillId="2" borderId="15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2" fillId="2" borderId="15" xfId="0" applyNumberFormat="1" applyFont="1" applyFill="1" applyBorder="1" applyAlignment="1">
      <alignment horizontal="center" vertical="top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3" fontId="32" fillId="0" borderId="65" xfId="0" applyNumberFormat="1" applyFont="1" applyFill="1" applyBorder="1"/>
    <xf numFmtId="3" fontId="32" fillId="0" borderId="66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17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646416"/>
        <c:axId val="153264759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44456"/>
        <c:axId val="1532645632"/>
      </c:scatterChart>
      <c:catAx>
        <c:axId val="153264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647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647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32646416"/>
        <c:crosses val="autoZero"/>
        <c:crossBetween val="between"/>
      </c:valAx>
      <c:valAx>
        <c:axId val="153264445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645632"/>
        <c:crosses val="max"/>
        <c:crossBetween val="midCat"/>
      </c:valAx>
      <c:valAx>
        <c:axId val="1532645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3264445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2" bestFit="1" customWidth="1"/>
    <col min="2" max="2" width="102.21875" style="102" bestFit="1" customWidth="1"/>
    <col min="3" max="3" width="16.109375" style="42" hidden="1" customWidth="1"/>
    <col min="4" max="16384" width="8.88671875" style="102"/>
  </cols>
  <sheetData>
    <row r="1" spans="1:3" ht="18.600000000000001" customHeight="1" thickBot="1" x14ac:dyDescent="0.4">
      <c r="A1" s="263" t="s">
        <v>84</v>
      </c>
      <c r="B1" s="263"/>
    </row>
    <row r="2" spans="1:3" ht="14.4" customHeight="1" thickBot="1" x14ac:dyDescent="0.35">
      <c r="A2" s="192" t="s">
        <v>215</v>
      </c>
      <c r="B2" s="41"/>
    </row>
    <row r="3" spans="1:3" ht="14.4" customHeight="1" thickBot="1" x14ac:dyDescent="0.35">
      <c r="A3" s="259" t="s">
        <v>101</v>
      </c>
      <c r="B3" s="260"/>
    </row>
    <row r="4" spans="1:3" ht="14.4" customHeight="1" x14ac:dyDescent="0.3">
      <c r="A4" s="114" t="str">
        <f t="shared" ref="A4:A8" si="0">HYPERLINK("#'"&amp;C4&amp;"'!A1",C4)</f>
        <v>Motivace</v>
      </c>
      <c r="B4" s="63" t="s">
        <v>91</v>
      </c>
      <c r="C4" s="42" t="s">
        <v>92</v>
      </c>
    </row>
    <row r="5" spans="1:3" ht="14.4" customHeight="1" x14ac:dyDescent="0.3">
      <c r="A5" s="115" t="str">
        <f t="shared" si="0"/>
        <v>HI</v>
      </c>
      <c r="B5" s="64" t="s">
        <v>100</v>
      </c>
      <c r="C5" s="42" t="s">
        <v>87</v>
      </c>
    </row>
    <row r="6" spans="1:3" ht="14.4" customHeight="1" x14ac:dyDescent="0.3">
      <c r="A6" s="116" t="str">
        <f t="shared" si="0"/>
        <v>HI Graf</v>
      </c>
      <c r="B6" s="65" t="s">
        <v>80</v>
      </c>
      <c r="C6" s="42" t="s">
        <v>88</v>
      </c>
    </row>
    <row r="7" spans="1:3" ht="14.4" customHeight="1" x14ac:dyDescent="0.3">
      <c r="A7" s="116" t="str">
        <f t="shared" si="0"/>
        <v>Man Tab</v>
      </c>
      <c r="B7" s="65" t="s">
        <v>217</v>
      </c>
      <c r="C7" s="42" t="s">
        <v>89</v>
      </c>
    </row>
    <row r="8" spans="1:3" ht="14.4" customHeight="1" thickBot="1" x14ac:dyDescent="0.35">
      <c r="A8" s="117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85</v>
      </c>
      <c r="B10" s="260"/>
    </row>
    <row r="11" spans="1:3" ht="14.4" customHeight="1" thickBot="1" x14ac:dyDescent="0.35">
      <c r="A11" s="118" t="str">
        <f t="shared" ref="A11" si="1">HYPERLINK("#'"&amp;C11&amp;"'!A1",C11)</f>
        <v>Osobní náklady</v>
      </c>
      <c r="B11" s="65" t="s">
        <v>82</v>
      </c>
      <c r="C11" s="42" t="s">
        <v>90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86</v>
      </c>
      <c r="B13" s="260"/>
    </row>
    <row r="14" spans="1:3" ht="14.4" customHeight="1" x14ac:dyDescent="0.3">
      <c r="A14" s="119" t="str">
        <f t="shared" ref="A14:A18" si="2">HYPERLINK("#'"&amp;C14&amp;"'!A1",C14)</f>
        <v>ZV Vykáz.-A</v>
      </c>
      <c r="B14" s="64" t="s">
        <v>279</v>
      </c>
      <c r="C14" s="42" t="s">
        <v>93</v>
      </c>
    </row>
    <row r="15" spans="1:3" ht="14.4" customHeight="1" x14ac:dyDescent="0.3">
      <c r="A15" s="116" t="str">
        <f t="shared" ref="A15" si="3">HYPERLINK("#'"&amp;C15&amp;"'!A1",C15)</f>
        <v>ZV Vykáz.-A Lékaři</v>
      </c>
      <c r="B15" s="65" t="s">
        <v>281</v>
      </c>
      <c r="C15" s="42" t="s">
        <v>192</v>
      </c>
    </row>
    <row r="16" spans="1:3" ht="14.4" customHeight="1" x14ac:dyDescent="0.3">
      <c r="A16" s="116" t="str">
        <f t="shared" si="2"/>
        <v>ZV Vykáz.-A Detail</v>
      </c>
      <c r="B16" s="65" t="s">
        <v>286</v>
      </c>
      <c r="C16" s="42" t="s">
        <v>94</v>
      </c>
    </row>
    <row r="17" spans="1:3" ht="14.4" customHeight="1" x14ac:dyDescent="0.3">
      <c r="A17" s="116" t="str">
        <f t="shared" si="2"/>
        <v>ZV Vykáz.-H</v>
      </c>
      <c r="B17" s="65" t="s">
        <v>97</v>
      </c>
      <c r="C17" s="42" t="s">
        <v>95</v>
      </c>
    </row>
    <row r="18" spans="1:3" ht="14.4" customHeight="1" x14ac:dyDescent="0.3">
      <c r="A18" s="116" t="str">
        <f t="shared" si="2"/>
        <v>ZV Vykáz.-H Detail</v>
      </c>
      <c r="B18" s="65" t="s">
        <v>309</v>
      </c>
      <c r="C18" s="42" t="s">
        <v>96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2" bestFit="1" customWidth="1"/>
    <col min="2" max="4" width="7.77734375" style="176" customWidth="1"/>
    <col min="5" max="7" width="7.77734375" style="78" customWidth="1"/>
    <col min="8" max="16384" width="8.88671875" style="102"/>
  </cols>
  <sheetData>
    <row r="1" spans="1:7" ht="18.600000000000001" customHeight="1" thickBot="1" x14ac:dyDescent="0.4">
      <c r="A1" s="291" t="s">
        <v>281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178" t="s">
        <v>98</v>
      </c>
      <c r="B3" s="253">
        <f t="shared" ref="B3:G3" si="0">SUBTOTAL(9,B6:B1048576)</f>
        <v>0</v>
      </c>
      <c r="C3" s="254">
        <f t="shared" si="0"/>
        <v>1</v>
      </c>
      <c r="D3" s="254">
        <f t="shared" si="0"/>
        <v>0</v>
      </c>
      <c r="E3" s="182">
        <f t="shared" si="0"/>
        <v>0</v>
      </c>
      <c r="F3" s="180">
        <f t="shared" si="0"/>
        <v>327</v>
      </c>
      <c r="G3" s="255">
        <f t="shared" si="0"/>
        <v>0</v>
      </c>
    </row>
    <row r="4" spans="1:7" ht="14.4" customHeight="1" x14ac:dyDescent="0.3">
      <c r="A4" s="292" t="s">
        <v>99</v>
      </c>
      <c r="B4" s="293" t="s">
        <v>191</v>
      </c>
      <c r="C4" s="294"/>
      <c r="D4" s="294"/>
      <c r="E4" s="296" t="s">
        <v>75</v>
      </c>
      <c r="F4" s="297"/>
      <c r="G4" s="298"/>
    </row>
    <row r="5" spans="1:7" ht="14.4" customHeight="1" thickBot="1" x14ac:dyDescent="0.35">
      <c r="A5" s="368"/>
      <c r="B5" s="369">
        <v>2013</v>
      </c>
      <c r="C5" s="370">
        <v>2014</v>
      </c>
      <c r="D5" s="370">
        <v>2015</v>
      </c>
      <c r="E5" s="369">
        <v>2013</v>
      </c>
      <c r="F5" s="370">
        <v>2014</v>
      </c>
      <c r="G5" s="378">
        <v>2015</v>
      </c>
    </row>
    <row r="6" spans="1:7" ht="14.4" customHeight="1" thickBot="1" x14ac:dyDescent="0.35">
      <c r="A6" s="375" t="s">
        <v>280</v>
      </c>
      <c r="B6" s="379"/>
      <c r="C6" s="379">
        <v>1</v>
      </c>
      <c r="D6" s="379"/>
      <c r="E6" s="373"/>
      <c r="F6" s="373">
        <v>327</v>
      </c>
      <c r="G6" s="380"/>
    </row>
    <row r="7" spans="1:7" ht="14.4" customHeight="1" x14ac:dyDescent="0.3">
      <c r="A7" s="376" t="s">
        <v>276</v>
      </c>
    </row>
    <row r="8" spans="1:7" ht="14.4" customHeight="1" x14ac:dyDescent="0.3">
      <c r="A8" s="377" t="s">
        <v>277</v>
      </c>
    </row>
    <row r="9" spans="1:7" ht="14.4" customHeight="1" x14ac:dyDescent="0.3">
      <c r="A9" s="376" t="s">
        <v>278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2" bestFit="1" customWidth="1"/>
    <col min="2" max="2" width="2.109375" style="102" bestFit="1" customWidth="1"/>
    <col min="3" max="3" width="8" style="102" customWidth="1"/>
    <col min="4" max="4" width="50.88671875" style="102" bestFit="1" customWidth="1"/>
    <col min="5" max="6" width="11.109375" style="176" customWidth="1"/>
    <col min="7" max="8" width="9.33203125" style="102" hidden="1" customWidth="1"/>
    <col min="9" max="10" width="11.109375" style="176" customWidth="1"/>
    <col min="11" max="12" width="9.33203125" style="102" hidden="1" customWidth="1"/>
    <col min="13" max="14" width="11.109375" style="176" customWidth="1"/>
    <col min="15" max="15" width="11.109375" style="177" customWidth="1"/>
    <col min="16" max="16" width="11.109375" style="176" customWidth="1"/>
    <col min="17" max="16384" width="8.88671875" style="102"/>
  </cols>
  <sheetData>
    <row r="1" spans="1:16" ht="18.600000000000001" customHeight="1" thickBot="1" x14ac:dyDescent="0.4">
      <c r="A1" s="263" t="s">
        <v>286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</row>
    <row r="2" spans="1:16" ht="14.4" customHeight="1" thickBot="1" x14ac:dyDescent="0.35">
      <c r="A2" s="192" t="s">
        <v>215</v>
      </c>
      <c r="B2" s="103"/>
      <c r="C2" s="252"/>
      <c r="D2" s="103"/>
      <c r="E2" s="186"/>
      <c r="F2" s="186"/>
      <c r="G2" s="103"/>
      <c r="H2" s="103"/>
      <c r="I2" s="186"/>
      <c r="J2" s="186"/>
      <c r="K2" s="103"/>
      <c r="L2" s="103"/>
      <c r="M2" s="186"/>
      <c r="N2" s="186"/>
      <c r="O2" s="187"/>
      <c r="P2" s="186"/>
    </row>
    <row r="3" spans="1:16" ht="14.4" customHeight="1" thickBot="1" x14ac:dyDescent="0.35">
      <c r="D3" s="62" t="s">
        <v>98</v>
      </c>
      <c r="E3" s="74">
        <f t="shared" ref="E3:N3" si="0">SUBTOTAL(9,E6:E1048576)</f>
        <v>0</v>
      </c>
      <c r="F3" s="75">
        <f t="shared" si="0"/>
        <v>0</v>
      </c>
      <c r="G3" s="57"/>
      <c r="H3" s="57"/>
      <c r="I3" s="75">
        <f t="shared" si="0"/>
        <v>1</v>
      </c>
      <c r="J3" s="75">
        <f t="shared" si="0"/>
        <v>327</v>
      </c>
      <c r="K3" s="57"/>
      <c r="L3" s="57"/>
      <c r="M3" s="75">
        <f t="shared" si="0"/>
        <v>0</v>
      </c>
      <c r="N3" s="75">
        <f t="shared" si="0"/>
        <v>0</v>
      </c>
      <c r="O3" s="58">
        <f>IF(F3=0,0,N3/F3)</f>
        <v>0</v>
      </c>
      <c r="P3" s="76">
        <f>IF(M3=0,0,N3/M3)</f>
        <v>0</v>
      </c>
    </row>
    <row r="4" spans="1:16" ht="14.4" customHeight="1" x14ac:dyDescent="0.3">
      <c r="A4" s="300" t="s">
        <v>70</v>
      </c>
      <c r="B4" s="301" t="s">
        <v>71</v>
      </c>
      <c r="C4" s="306" t="s">
        <v>46</v>
      </c>
      <c r="D4" s="302" t="s">
        <v>45</v>
      </c>
      <c r="E4" s="303">
        <v>2013</v>
      </c>
      <c r="F4" s="304"/>
      <c r="G4" s="73"/>
      <c r="H4" s="73"/>
      <c r="I4" s="303">
        <v>2014</v>
      </c>
      <c r="J4" s="304"/>
      <c r="K4" s="73"/>
      <c r="L4" s="73"/>
      <c r="M4" s="303">
        <v>2015</v>
      </c>
      <c r="N4" s="304"/>
      <c r="O4" s="305" t="s">
        <v>0</v>
      </c>
      <c r="P4" s="299" t="s">
        <v>73</v>
      </c>
    </row>
    <row r="5" spans="1:16" ht="14.4" customHeight="1" thickBot="1" x14ac:dyDescent="0.35">
      <c r="A5" s="381"/>
      <c r="B5" s="382"/>
      <c r="C5" s="383"/>
      <c r="D5" s="384"/>
      <c r="E5" s="385" t="s">
        <v>47</v>
      </c>
      <c r="F5" s="386" t="s">
        <v>3</v>
      </c>
      <c r="G5" s="387"/>
      <c r="H5" s="387"/>
      <c r="I5" s="385" t="s">
        <v>47</v>
      </c>
      <c r="J5" s="386" t="s">
        <v>3</v>
      </c>
      <c r="K5" s="387"/>
      <c r="L5" s="387"/>
      <c r="M5" s="385" t="s">
        <v>47</v>
      </c>
      <c r="N5" s="386" t="s">
        <v>3</v>
      </c>
      <c r="O5" s="388"/>
      <c r="P5" s="389"/>
    </row>
    <row r="6" spans="1:16" ht="14.4" customHeight="1" thickBot="1" x14ac:dyDescent="0.35">
      <c r="A6" s="372" t="s">
        <v>282</v>
      </c>
      <c r="B6" s="374" t="s">
        <v>283</v>
      </c>
      <c r="C6" s="374" t="s">
        <v>284</v>
      </c>
      <c r="D6" s="374" t="s">
        <v>285</v>
      </c>
      <c r="E6" s="379"/>
      <c r="F6" s="379"/>
      <c r="G6" s="374"/>
      <c r="H6" s="374"/>
      <c r="I6" s="379">
        <v>1</v>
      </c>
      <c r="J6" s="379">
        <v>327</v>
      </c>
      <c r="K6" s="374"/>
      <c r="L6" s="374">
        <v>327</v>
      </c>
      <c r="M6" s="379"/>
      <c r="N6" s="379"/>
      <c r="O6" s="250"/>
      <c r="P6" s="390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0.10937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72" t="s">
        <v>97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184"/>
      <c r="C2" s="83"/>
      <c r="D2" s="184"/>
      <c r="E2" s="83"/>
      <c r="F2" s="184"/>
      <c r="G2" s="185"/>
      <c r="H2" s="184"/>
      <c r="I2" s="83"/>
      <c r="J2" s="184"/>
      <c r="K2" s="83"/>
      <c r="L2" s="184"/>
      <c r="M2" s="185"/>
      <c r="N2" s="184"/>
      <c r="O2" s="83"/>
      <c r="P2" s="184"/>
      <c r="Q2" s="83"/>
      <c r="R2" s="184"/>
      <c r="S2" s="185"/>
    </row>
    <row r="3" spans="1:19" ht="14.4" customHeight="1" thickBot="1" x14ac:dyDescent="0.35">
      <c r="A3" s="178" t="s">
        <v>98</v>
      </c>
      <c r="B3" s="179">
        <f>SUBTOTAL(9,B6:B1048576)</f>
        <v>12587</v>
      </c>
      <c r="C3" s="180">
        <f t="shared" ref="C3:R3" si="0">SUBTOTAL(9,C6:C1048576)</f>
        <v>5</v>
      </c>
      <c r="D3" s="180">
        <f t="shared" si="0"/>
        <v>7192</v>
      </c>
      <c r="E3" s="180">
        <f t="shared" si="0"/>
        <v>2.8738442829096131</v>
      </c>
      <c r="F3" s="180">
        <f t="shared" si="0"/>
        <v>15219</v>
      </c>
      <c r="G3" s="183">
        <f>IF(B3&lt;&gt;0,F3/B3,"")</f>
        <v>1.2091046317629299</v>
      </c>
      <c r="H3" s="179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1" t="str">
        <f>IF(H3&lt;&gt;0,L3/H3,"")</f>
        <v/>
      </c>
      <c r="N3" s="182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81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x14ac:dyDescent="0.3">
      <c r="A6" s="406" t="s">
        <v>287</v>
      </c>
      <c r="B6" s="392">
        <v>1471</v>
      </c>
      <c r="C6" s="393">
        <v>1</v>
      </c>
      <c r="D6" s="392"/>
      <c r="E6" s="393"/>
      <c r="F6" s="392">
        <v>827</v>
      </c>
      <c r="G6" s="394">
        <v>0.56220258327668249</v>
      </c>
      <c r="H6" s="392"/>
      <c r="I6" s="393"/>
      <c r="J6" s="392"/>
      <c r="K6" s="393"/>
      <c r="L6" s="392"/>
      <c r="M6" s="394"/>
      <c r="N6" s="392"/>
      <c r="O6" s="393"/>
      <c r="P6" s="392"/>
      <c r="Q6" s="393"/>
      <c r="R6" s="392"/>
      <c r="S6" s="395"/>
    </row>
    <row r="7" spans="1:19" ht="14.4" customHeight="1" x14ac:dyDescent="0.3">
      <c r="A7" s="407" t="s">
        <v>288</v>
      </c>
      <c r="B7" s="397">
        <v>9318</v>
      </c>
      <c r="C7" s="398">
        <v>1</v>
      </c>
      <c r="D7" s="397">
        <v>4413</v>
      </c>
      <c r="E7" s="398">
        <v>0.47359948486799741</v>
      </c>
      <c r="F7" s="397">
        <v>2813</v>
      </c>
      <c r="G7" s="399">
        <v>0.30188881734277739</v>
      </c>
      <c r="H7" s="397"/>
      <c r="I7" s="398"/>
      <c r="J7" s="397"/>
      <c r="K7" s="398"/>
      <c r="L7" s="397"/>
      <c r="M7" s="399"/>
      <c r="N7" s="397"/>
      <c r="O7" s="398"/>
      <c r="P7" s="397"/>
      <c r="Q7" s="398"/>
      <c r="R7" s="397"/>
      <c r="S7" s="400"/>
    </row>
    <row r="8" spans="1:19" ht="14.4" customHeight="1" x14ac:dyDescent="0.3">
      <c r="A8" s="407" t="s">
        <v>289</v>
      </c>
      <c r="B8" s="397">
        <v>817</v>
      </c>
      <c r="C8" s="398">
        <v>1</v>
      </c>
      <c r="D8" s="397">
        <v>327</v>
      </c>
      <c r="E8" s="398">
        <v>0.40024479804161567</v>
      </c>
      <c r="F8" s="397">
        <v>7278</v>
      </c>
      <c r="G8" s="399">
        <v>8.908200734394125</v>
      </c>
      <c r="H8" s="397"/>
      <c r="I8" s="398"/>
      <c r="J8" s="397"/>
      <c r="K8" s="398"/>
      <c r="L8" s="397"/>
      <c r="M8" s="399"/>
      <c r="N8" s="397"/>
      <c r="O8" s="398"/>
      <c r="P8" s="397"/>
      <c r="Q8" s="398"/>
      <c r="R8" s="397"/>
      <c r="S8" s="400"/>
    </row>
    <row r="9" spans="1:19" ht="14.4" customHeight="1" x14ac:dyDescent="0.3">
      <c r="A9" s="407" t="s">
        <v>290</v>
      </c>
      <c r="B9" s="397"/>
      <c r="C9" s="398"/>
      <c r="D9" s="397"/>
      <c r="E9" s="398"/>
      <c r="F9" s="397">
        <v>496</v>
      </c>
      <c r="G9" s="399"/>
      <c r="H9" s="397"/>
      <c r="I9" s="398"/>
      <c r="J9" s="397"/>
      <c r="K9" s="398"/>
      <c r="L9" s="397"/>
      <c r="M9" s="399"/>
      <c r="N9" s="397"/>
      <c r="O9" s="398"/>
      <c r="P9" s="397"/>
      <c r="Q9" s="398"/>
      <c r="R9" s="397"/>
      <c r="S9" s="400"/>
    </row>
    <row r="10" spans="1:19" ht="14.4" customHeight="1" x14ac:dyDescent="0.3">
      <c r="A10" s="407" t="s">
        <v>291</v>
      </c>
      <c r="B10" s="397">
        <v>327</v>
      </c>
      <c r="C10" s="398">
        <v>1</v>
      </c>
      <c r="D10" s="397"/>
      <c r="E10" s="398"/>
      <c r="F10" s="397">
        <v>993</v>
      </c>
      <c r="G10" s="399">
        <v>3.0366972477064218</v>
      </c>
      <c r="H10" s="397"/>
      <c r="I10" s="398"/>
      <c r="J10" s="397"/>
      <c r="K10" s="398"/>
      <c r="L10" s="397"/>
      <c r="M10" s="399"/>
      <c r="N10" s="397"/>
      <c r="O10" s="398"/>
      <c r="P10" s="397"/>
      <c r="Q10" s="398"/>
      <c r="R10" s="397"/>
      <c r="S10" s="400"/>
    </row>
    <row r="11" spans="1:19" ht="14.4" customHeight="1" x14ac:dyDescent="0.3">
      <c r="A11" s="407" t="s">
        <v>292</v>
      </c>
      <c r="B11" s="397"/>
      <c r="C11" s="398"/>
      <c r="D11" s="397">
        <v>490</v>
      </c>
      <c r="E11" s="398"/>
      <c r="F11" s="397">
        <v>827</v>
      </c>
      <c r="G11" s="399"/>
      <c r="H11" s="397"/>
      <c r="I11" s="398"/>
      <c r="J11" s="397"/>
      <c r="K11" s="398"/>
      <c r="L11" s="397"/>
      <c r="M11" s="399"/>
      <c r="N11" s="397"/>
      <c r="O11" s="398"/>
      <c r="P11" s="397"/>
      <c r="Q11" s="398"/>
      <c r="R11" s="397"/>
      <c r="S11" s="400"/>
    </row>
    <row r="12" spans="1:19" ht="14.4" customHeight="1" x14ac:dyDescent="0.3">
      <c r="A12" s="407" t="s">
        <v>293</v>
      </c>
      <c r="B12" s="397"/>
      <c r="C12" s="398"/>
      <c r="D12" s="397"/>
      <c r="E12" s="398"/>
      <c r="F12" s="397">
        <v>662</v>
      </c>
      <c r="G12" s="399"/>
      <c r="H12" s="397"/>
      <c r="I12" s="398"/>
      <c r="J12" s="397"/>
      <c r="K12" s="398"/>
      <c r="L12" s="397"/>
      <c r="M12" s="399"/>
      <c r="N12" s="397"/>
      <c r="O12" s="398"/>
      <c r="P12" s="397"/>
      <c r="Q12" s="398"/>
      <c r="R12" s="397"/>
      <c r="S12" s="400"/>
    </row>
    <row r="13" spans="1:19" ht="14.4" customHeight="1" x14ac:dyDescent="0.3">
      <c r="A13" s="407" t="s">
        <v>294</v>
      </c>
      <c r="B13" s="397"/>
      <c r="C13" s="398"/>
      <c r="D13" s="397">
        <v>327</v>
      </c>
      <c r="E13" s="398"/>
      <c r="F13" s="397"/>
      <c r="G13" s="399"/>
      <c r="H13" s="397"/>
      <c r="I13" s="398"/>
      <c r="J13" s="397"/>
      <c r="K13" s="398"/>
      <c r="L13" s="397"/>
      <c r="M13" s="399"/>
      <c r="N13" s="397"/>
      <c r="O13" s="398"/>
      <c r="P13" s="397"/>
      <c r="Q13" s="398"/>
      <c r="R13" s="397"/>
      <c r="S13" s="400"/>
    </row>
    <row r="14" spans="1:19" ht="14.4" customHeight="1" x14ac:dyDescent="0.3">
      <c r="A14" s="407" t="s">
        <v>295</v>
      </c>
      <c r="B14" s="397">
        <v>654</v>
      </c>
      <c r="C14" s="398">
        <v>1</v>
      </c>
      <c r="D14" s="397">
        <v>1308</v>
      </c>
      <c r="E14" s="398">
        <v>2</v>
      </c>
      <c r="F14" s="397">
        <v>1158</v>
      </c>
      <c r="G14" s="399">
        <v>1.7706422018348624</v>
      </c>
      <c r="H14" s="397"/>
      <c r="I14" s="398"/>
      <c r="J14" s="397"/>
      <c r="K14" s="398"/>
      <c r="L14" s="397"/>
      <c r="M14" s="399"/>
      <c r="N14" s="397"/>
      <c r="O14" s="398"/>
      <c r="P14" s="397"/>
      <c r="Q14" s="398"/>
      <c r="R14" s="397"/>
      <c r="S14" s="400"/>
    </row>
    <row r="15" spans="1:19" ht="14.4" customHeight="1" thickBot="1" x14ac:dyDescent="0.35">
      <c r="A15" s="408" t="s">
        <v>296</v>
      </c>
      <c r="B15" s="402"/>
      <c r="C15" s="403"/>
      <c r="D15" s="402">
        <v>327</v>
      </c>
      <c r="E15" s="403"/>
      <c r="F15" s="402">
        <v>165</v>
      </c>
      <c r="G15" s="404"/>
      <c r="H15" s="402"/>
      <c r="I15" s="403"/>
      <c r="J15" s="402"/>
      <c r="K15" s="403"/>
      <c r="L15" s="402"/>
      <c r="M15" s="404"/>
      <c r="N15" s="402"/>
      <c r="O15" s="403"/>
      <c r="P15" s="402"/>
      <c r="Q15" s="403"/>
      <c r="R15" s="402"/>
      <c r="S15" s="4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2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2" bestFit="1" customWidth="1"/>
    <col min="2" max="2" width="8.6640625" style="102" bestFit="1" customWidth="1"/>
    <col min="3" max="3" width="2.109375" style="102" bestFit="1" customWidth="1"/>
    <col min="4" max="4" width="8" style="102" bestFit="1" customWidth="1"/>
    <col min="5" max="5" width="52.88671875" style="102" bestFit="1" customWidth="1"/>
    <col min="6" max="7" width="11.109375" style="176" customWidth="1"/>
    <col min="8" max="9" width="9.33203125" style="176" hidden="1" customWidth="1"/>
    <col min="10" max="11" width="11.109375" style="176" customWidth="1"/>
    <col min="12" max="13" width="9.33203125" style="176" hidden="1" customWidth="1"/>
    <col min="14" max="15" width="11.109375" style="176" customWidth="1"/>
    <col min="16" max="16" width="11.109375" style="177" customWidth="1"/>
    <col min="17" max="17" width="11.109375" style="176" customWidth="1"/>
    <col min="18" max="16384" width="8.88671875" style="102"/>
  </cols>
  <sheetData>
    <row r="1" spans="1:17" ht="18.600000000000001" customHeight="1" thickBot="1" x14ac:dyDescent="0.4">
      <c r="A1" s="263" t="s">
        <v>309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92" t="s">
        <v>215</v>
      </c>
      <c r="B2" s="103"/>
      <c r="C2" s="103"/>
      <c r="D2" s="103"/>
      <c r="E2" s="103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7"/>
      <c r="Q2" s="186"/>
    </row>
    <row r="3" spans="1:17" ht="14.4" customHeight="1" thickBot="1" x14ac:dyDescent="0.35">
      <c r="E3" s="62" t="s">
        <v>98</v>
      </c>
      <c r="F3" s="74">
        <f t="shared" ref="F3:O3" si="0">SUBTOTAL(9,F6:F1048576)</f>
        <v>41</v>
      </c>
      <c r="G3" s="75">
        <f t="shared" si="0"/>
        <v>12587</v>
      </c>
      <c r="H3" s="75"/>
      <c r="I3" s="75"/>
      <c r="J3" s="75">
        <f t="shared" si="0"/>
        <v>24</v>
      </c>
      <c r="K3" s="75">
        <f t="shared" si="0"/>
        <v>7192</v>
      </c>
      <c r="L3" s="75"/>
      <c r="M3" s="75"/>
      <c r="N3" s="75">
        <f t="shared" si="0"/>
        <v>53</v>
      </c>
      <c r="O3" s="75">
        <f t="shared" si="0"/>
        <v>15219</v>
      </c>
      <c r="P3" s="58">
        <f>IF(G3=0,0,O3/G3)</f>
        <v>1.2091046317629299</v>
      </c>
      <c r="Q3" s="76">
        <f>IF(N3=0,0,O3/N3)</f>
        <v>287.15094339622641</v>
      </c>
    </row>
    <row r="4" spans="1:17" ht="14.4" customHeight="1" x14ac:dyDescent="0.3">
      <c r="A4" s="301" t="s">
        <v>44</v>
      </c>
      <c r="B4" s="300" t="s">
        <v>70</v>
      </c>
      <c r="C4" s="301" t="s">
        <v>71</v>
      </c>
      <c r="D4" s="309" t="s">
        <v>72</v>
      </c>
      <c r="E4" s="302" t="s">
        <v>45</v>
      </c>
      <c r="F4" s="307">
        <v>2013</v>
      </c>
      <c r="G4" s="308"/>
      <c r="H4" s="77"/>
      <c r="I4" s="77"/>
      <c r="J4" s="307">
        <v>2014</v>
      </c>
      <c r="K4" s="308"/>
      <c r="L4" s="77"/>
      <c r="M4" s="77"/>
      <c r="N4" s="307">
        <v>2015</v>
      </c>
      <c r="O4" s="308"/>
      <c r="P4" s="310" t="s">
        <v>0</v>
      </c>
      <c r="Q4" s="299" t="s">
        <v>73</v>
      </c>
    </row>
    <row r="5" spans="1:17" ht="14.4" customHeight="1" thickBot="1" x14ac:dyDescent="0.35">
      <c r="A5" s="382"/>
      <c r="B5" s="381"/>
      <c r="C5" s="382"/>
      <c r="D5" s="409"/>
      <c r="E5" s="384"/>
      <c r="F5" s="410" t="s">
        <v>47</v>
      </c>
      <c r="G5" s="411" t="s">
        <v>3</v>
      </c>
      <c r="H5" s="412"/>
      <c r="I5" s="412"/>
      <c r="J5" s="410" t="s">
        <v>47</v>
      </c>
      <c r="K5" s="411" t="s">
        <v>3</v>
      </c>
      <c r="L5" s="412"/>
      <c r="M5" s="412"/>
      <c r="N5" s="410" t="s">
        <v>47</v>
      </c>
      <c r="O5" s="411" t="s">
        <v>3</v>
      </c>
      <c r="P5" s="413"/>
      <c r="Q5" s="389"/>
    </row>
    <row r="6" spans="1:17" ht="14.4" customHeight="1" x14ac:dyDescent="0.3">
      <c r="A6" s="391" t="s">
        <v>297</v>
      </c>
      <c r="B6" s="393" t="s">
        <v>282</v>
      </c>
      <c r="C6" s="393" t="s">
        <v>283</v>
      </c>
      <c r="D6" s="393" t="s">
        <v>284</v>
      </c>
      <c r="E6" s="393" t="s">
        <v>285</v>
      </c>
      <c r="F6" s="414">
        <v>4</v>
      </c>
      <c r="G6" s="414">
        <v>1308</v>
      </c>
      <c r="H6" s="414">
        <v>1</v>
      </c>
      <c r="I6" s="414">
        <v>327</v>
      </c>
      <c r="J6" s="414"/>
      <c r="K6" s="414"/>
      <c r="L6" s="414"/>
      <c r="M6" s="414"/>
      <c r="N6" s="414">
        <v>2</v>
      </c>
      <c r="O6" s="414">
        <v>662</v>
      </c>
      <c r="P6" s="394">
        <v>0.50611620795107037</v>
      </c>
      <c r="Q6" s="415">
        <v>331</v>
      </c>
    </row>
    <row r="7" spans="1:17" ht="14.4" customHeight="1" x14ac:dyDescent="0.3">
      <c r="A7" s="396" t="s">
        <v>297</v>
      </c>
      <c r="B7" s="398" t="s">
        <v>282</v>
      </c>
      <c r="C7" s="398" t="s">
        <v>283</v>
      </c>
      <c r="D7" s="398" t="s">
        <v>298</v>
      </c>
      <c r="E7" s="398" t="s">
        <v>299</v>
      </c>
      <c r="F7" s="416">
        <v>1</v>
      </c>
      <c r="G7" s="416">
        <v>163</v>
      </c>
      <c r="H7" s="416">
        <v>1</v>
      </c>
      <c r="I7" s="416">
        <v>163</v>
      </c>
      <c r="J7" s="416"/>
      <c r="K7" s="416"/>
      <c r="L7" s="416"/>
      <c r="M7" s="416"/>
      <c r="N7" s="416">
        <v>1</v>
      </c>
      <c r="O7" s="416">
        <v>165</v>
      </c>
      <c r="P7" s="399">
        <v>1.0122699386503067</v>
      </c>
      <c r="Q7" s="417">
        <v>165</v>
      </c>
    </row>
    <row r="8" spans="1:17" ht="14.4" customHeight="1" x14ac:dyDescent="0.3">
      <c r="A8" s="396" t="s">
        <v>300</v>
      </c>
      <c r="B8" s="398" t="s">
        <v>282</v>
      </c>
      <c r="C8" s="398" t="s">
        <v>283</v>
      </c>
      <c r="D8" s="398" t="s">
        <v>284</v>
      </c>
      <c r="E8" s="398" t="s">
        <v>285</v>
      </c>
      <c r="F8" s="416">
        <v>27</v>
      </c>
      <c r="G8" s="416">
        <v>8829</v>
      </c>
      <c r="H8" s="416">
        <v>1</v>
      </c>
      <c r="I8" s="416">
        <v>327</v>
      </c>
      <c r="J8" s="416">
        <v>12</v>
      </c>
      <c r="K8" s="416">
        <v>3924</v>
      </c>
      <c r="L8" s="416">
        <v>0.44444444444444442</v>
      </c>
      <c r="M8" s="416">
        <v>327</v>
      </c>
      <c r="N8" s="416">
        <v>8</v>
      </c>
      <c r="O8" s="416">
        <v>2648</v>
      </c>
      <c r="P8" s="399">
        <v>0.29992071582285651</v>
      </c>
      <c r="Q8" s="417">
        <v>331</v>
      </c>
    </row>
    <row r="9" spans="1:17" ht="14.4" customHeight="1" x14ac:dyDescent="0.3">
      <c r="A9" s="396" t="s">
        <v>300</v>
      </c>
      <c r="B9" s="398" t="s">
        <v>282</v>
      </c>
      <c r="C9" s="398" t="s">
        <v>283</v>
      </c>
      <c r="D9" s="398" t="s">
        <v>298</v>
      </c>
      <c r="E9" s="398" t="s">
        <v>299</v>
      </c>
      <c r="F9" s="416">
        <v>3</v>
      </c>
      <c r="G9" s="416">
        <v>489</v>
      </c>
      <c r="H9" s="416">
        <v>1</v>
      </c>
      <c r="I9" s="416">
        <v>163</v>
      </c>
      <c r="J9" s="416">
        <v>3</v>
      </c>
      <c r="K9" s="416">
        <v>489</v>
      </c>
      <c r="L9" s="416">
        <v>1</v>
      </c>
      <c r="M9" s="416">
        <v>163</v>
      </c>
      <c r="N9" s="416">
        <v>1</v>
      </c>
      <c r="O9" s="416">
        <v>165</v>
      </c>
      <c r="P9" s="399">
        <v>0.33742331288343558</v>
      </c>
      <c r="Q9" s="417">
        <v>165</v>
      </c>
    </row>
    <row r="10" spans="1:17" ht="14.4" customHeight="1" x14ac:dyDescent="0.3">
      <c r="A10" s="396" t="s">
        <v>301</v>
      </c>
      <c r="B10" s="398" t="s">
        <v>282</v>
      </c>
      <c r="C10" s="398" t="s">
        <v>283</v>
      </c>
      <c r="D10" s="398" t="s">
        <v>284</v>
      </c>
      <c r="E10" s="398" t="s">
        <v>285</v>
      </c>
      <c r="F10" s="416">
        <v>2</v>
      </c>
      <c r="G10" s="416">
        <v>654</v>
      </c>
      <c r="H10" s="416">
        <v>1</v>
      </c>
      <c r="I10" s="416">
        <v>327</v>
      </c>
      <c r="J10" s="416">
        <v>1</v>
      </c>
      <c r="K10" s="416">
        <v>327</v>
      </c>
      <c r="L10" s="416">
        <v>0.5</v>
      </c>
      <c r="M10" s="416">
        <v>327</v>
      </c>
      <c r="N10" s="416">
        <v>18</v>
      </c>
      <c r="O10" s="416">
        <v>5958</v>
      </c>
      <c r="P10" s="399">
        <v>9.1100917431192663</v>
      </c>
      <c r="Q10" s="417">
        <v>331</v>
      </c>
    </row>
    <row r="11" spans="1:17" ht="14.4" customHeight="1" x14ac:dyDescent="0.3">
      <c r="A11" s="396" t="s">
        <v>301</v>
      </c>
      <c r="B11" s="398" t="s">
        <v>282</v>
      </c>
      <c r="C11" s="398" t="s">
        <v>283</v>
      </c>
      <c r="D11" s="398" t="s">
        <v>298</v>
      </c>
      <c r="E11" s="398" t="s">
        <v>299</v>
      </c>
      <c r="F11" s="416">
        <v>1</v>
      </c>
      <c r="G11" s="416">
        <v>163</v>
      </c>
      <c r="H11" s="416">
        <v>1</v>
      </c>
      <c r="I11" s="416">
        <v>163</v>
      </c>
      <c r="J11" s="416"/>
      <c r="K11" s="416"/>
      <c r="L11" s="416"/>
      <c r="M11" s="416"/>
      <c r="N11" s="416">
        <v>8</v>
      </c>
      <c r="O11" s="416">
        <v>1320</v>
      </c>
      <c r="P11" s="399">
        <v>8.0981595092024534</v>
      </c>
      <c r="Q11" s="417">
        <v>165</v>
      </c>
    </row>
    <row r="12" spans="1:17" ht="14.4" customHeight="1" x14ac:dyDescent="0.3">
      <c r="A12" s="396" t="s">
        <v>302</v>
      </c>
      <c r="B12" s="398" t="s">
        <v>282</v>
      </c>
      <c r="C12" s="398" t="s">
        <v>283</v>
      </c>
      <c r="D12" s="398" t="s">
        <v>284</v>
      </c>
      <c r="E12" s="398" t="s">
        <v>285</v>
      </c>
      <c r="F12" s="416"/>
      <c r="G12" s="416"/>
      <c r="H12" s="416"/>
      <c r="I12" s="416"/>
      <c r="J12" s="416"/>
      <c r="K12" s="416"/>
      <c r="L12" s="416"/>
      <c r="M12" s="416"/>
      <c r="N12" s="416">
        <v>1</v>
      </c>
      <c r="O12" s="416">
        <v>331</v>
      </c>
      <c r="P12" s="399"/>
      <c r="Q12" s="417">
        <v>331</v>
      </c>
    </row>
    <row r="13" spans="1:17" ht="14.4" customHeight="1" x14ac:dyDescent="0.3">
      <c r="A13" s="396" t="s">
        <v>302</v>
      </c>
      <c r="B13" s="398" t="s">
        <v>282</v>
      </c>
      <c r="C13" s="398" t="s">
        <v>283</v>
      </c>
      <c r="D13" s="398" t="s">
        <v>298</v>
      </c>
      <c r="E13" s="398" t="s">
        <v>299</v>
      </c>
      <c r="F13" s="416"/>
      <c r="G13" s="416"/>
      <c r="H13" s="416"/>
      <c r="I13" s="416"/>
      <c r="J13" s="416"/>
      <c r="K13" s="416"/>
      <c r="L13" s="416"/>
      <c r="M13" s="416"/>
      <c r="N13" s="416">
        <v>1</v>
      </c>
      <c r="O13" s="416">
        <v>165</v>
      </c>
      <c r="P13" s="399"/>
      <c r="Q13" s="417">
        <v>165</v>
      </c>
    </row>
    <row r="14" spans="1:17" ht="14.4" customHeight="1" x14ac:dyDescent="0.3">
      <c r="A14" s="396" t="s">
        <v>303</v>
      </c>
      <c r="B14" s="398" t="s">
        <v>282</v>
      </c>
      <c r="C14" s="398" t="s">
        <v>283</v>
      </c>
      <c r="D14" s="398" t="s">
        <v>284</v>
      </c>
      <c r="E14" s="398" t="s">
        <v>285</v>
      </c>
      <c r="F14" s="416">
        <v>1</v>
      </c>
      <c r="G14" s="416">
        <v>327</v>
      </c>
      <c r="H14" s="416">
        <v>1</v>
      </c>
      <c r="I14" s="416">
        <v>327</v>
      </c>
      <c r="J14" s="416"/>
      <c r="K14" s="416"/>
      <c r="L14" s="416"/>
      <c r="M14" s="416"/>
      <c r="N14" s="416">
        <v>3</v>
      </c>
      <c r="O14" s="416">
        <v>993</v>
      </c>
      <c r="P14" s="399">
        <v>3.0366972477064218</v>
      </c>
      <c r="Q14" s="417">
        <v>331</v>
      </c>
    </row>
    <row r="15" spans="1:17" ht="14.4" customHeight="1" x14ac:dyDescent="0.3">
      <c r="A15" s="396" t="s">
        <v>304</v>
      </c>
      <c r="B15" s="398" t="s">
        <v>282</v>
      </c>
      <c r="C15" s="398" t="s">
        <v>283</v>
      </c>
      <c r="D15" s="398" t="s">
        <v>284</v>
      </c>
      <c r="E15" s="398" t="s">
        <v>285</v>
      </c>
      <c r="F15" s="416"/>
      <c r="G15" s="416"/>
      <c r="H15" s="416"/>
      <c r="I15" s="416"/>
      <c r="J15" s="416">
        <v>1</v>
      </c>
      <c r="K15" s="416">
        <v>327</v>
      </c>
      <c r="L15" s="416"/>
      <c r="M15" s="416">
        <v>327</v>
      </c>
      <c r="N15" s="416">
        <v>2</v>
      </c>
      <c r="O15" s="416">
        <v>662</v>
      </c>
      <c r="P15" s="399"/>
      <c r="Q15" s="417">
        <v>331</v>
      </c>
    </row>
    <row r="16" spans="1:17" ht="14.4" customHeight="1" x14ac:dyDescent="0.3">
      <c r="A16" s="396" t="s">
        <v>304</v>
      </c>
      <c r="B16" s="398" t="s">
        <v>282</v>
      </c>
      <c r="C16" s="398" t="s">
        <v>283</v>
      </c>
      <c r="D16" s="398" t="s">
        <v>298</v>
      </c>
      <c r="E16" s="398" t="s">
        <v>299</v>
      </c>
      <c r="F16" s="416"/>
      <c r="G16" s="416"/>
      <c r="H16" s="416"/>
      <c r="I16" s="416"/>
      <c r="J16" s="416">
        <v>1</v>
      </c>
      <c r="K16" s="416">
        <v>163</v>
      </c>
      <c r="L16" s="416"/>
      <c r="M16" s="416">
        <v>163</v>
      </c>
      <c r="N16" s="416">
        <v>1</v>
      </c>
      <c r="O16" s="416">
        <v>165</v>
      </c>
      <c r="P16" s="399"/>
      <c r="Q16" s="417">
        <v>165</v>
      </c>
    </row>
    <row r="17" spans="1:17" ht="14.4" customHeight="1" x14ac:dyDescent="0.3">
      <c r="A17" s="396" t="s">
        <v>305</v>
      </c>
      <c r="B17" s="398" t="s">
        <v>282</v>
      </c>
      <c r="C17" s="398" t="s">
        <v>283</v>
      </c>
      <c r="D17" s="398" t="s">
        <v>284</v>
      </c>
      <c r="E17" s="398" t="s">
        <v>285</v>
      </c>
      <c r="F17" s="416"/>
      <c r="G17" s="416"/>
      <c r="H17" s="416"/>
      <c r="I17" s="416"/>
      <c r="J17" s="416"/>
      <c r="K17" s="416"/>
      <c r="L17" s="416"/>
      <c r="M17" s="416"/>
      <c r="N17" s="416">
        <v>2</v>
      </c>
      <c r="O17" s="416">
        <v>662</v>
      </c>
      <c r="P17" s="399"/>
      <c r="Q17" s="417">
        <v>331</v>
      </c>
    </row>
    <row r="18" spans="1:17" ht="14.4" customHeight="1" x14ac:dyDescent="0.3">
      <c r="A18" s="396" t="s">
        <v>306</v>
      </c>
      <c r="B18" s="398" t="s">
        <v>282</v>
      </c>
      <c r="C18" s="398" t="s">
        <v>283</v>
      </c>
      <c r="D18" s="398" t="s">
        <v>284</v>
      </c>
      <c r="E18" s="398" t="s">
        <v>285</v>
      </c>
      <c r="F18" s="416"/>
      <c r="G18" s="416"/>
      <c r="H18" s="416"/>
      <c r="I18" s="416"/>
      <c r="J18" s="416">
        <v>1</v>
      </c>
      <c r="K18" s="416">
        <v>327</v>
      </c>
      <c r="L18" s="416"/>
      <c r="M18" s="416">
        <v>327</v>
      </c>
      <c r="N18" s="416"/>
      <c r="O18" s="416"/>
      <c r="P18" s="399"/>
      <c r="Q18" s="417"/>
    </row>
    <row r="19" spans="1:17" ht="14.4" customHeight="1" x14ac:dyDescent="0.3">
      <c r="A19" s="396" t="s">
        <v>307</v>
      </c>
      <c r="B19" s="398" t="s">
        <v>282</v>
      </c>
      <c r="C19" s="398" t="s">
        <v>283</v>
      </c>
      <c r="D19" s="398" t="s">
        <v>284</v>
      </c>
      <c r="E19" s="398" t="s">
        <v>285</v>
      </c>
      <c r="F19" s="416">
        <v>2</v>
      </c>
      <c r="G19" s="416">
        <v>654</v>
      </c>
      <c r="H19" s="416">
        <v>1</v>
      </c>
      <c r="I19" s="416">
        <v>327</v>
      </c>
      <c r="J19" s="416">
        <v>4</v>
      </c>
      <c r="K19" s="416">
        <v>1308</v>
      </c>
      <c r="L19" s="416">
        <v>2</v>
      </c>
      <c r="M19" s="416">
        <v>327</v>
      </c>
      <c r="N19" s="416">
        <v>3</v>
      </c>
      <c r="O19" s="416">
        <v>993</v>
      </c>
      <c r="P19" s="399">
        <v>1.5183486238532109</v>
      </c>
      <c r="Q19" s="417">
        <v>331</v>
      </c>
    </row>
    <row r="20" spans="1:17" ht="14.4" customHeight="1" x14ac:dyDescent="0.3">
      <c r="A20" s="396" t="s">
        <v>307</v>
      </c>
      <c r="B20" s="398" t="s">
        <v>282</v>
      </c>
      <c r="C20" s="398" t="s">
        <v>283</v>
      </c>
      <c r="D20" s="398" t="s">
        <v>298</v>
      </c>
      <c r="E20" s="398" t="s">
        <v>299</v>
      </c>
      <c r="F20" s="416"/>
      <c r="G20" s="416"/>
      <c r="H20" s="416"/>
      <c r="I20" s="416"/>
      <c r="J20" s="416"/>
      <c r="K20" s="416"/>
      <c r="L20" s="416"/>
      <c r="M20" s="416"/>
      <c r="N20" s="416">
        <v>1</v>
      </c>
      <c r="O20" s="416">
        <v>165</v>
      </c>
      <c r="P20" s="399"/>
      <c r="Q20" s="417">
        <v>165</v>
      </c>
    </row>
    <row r="21" spans="1:17" ht="14.4" customHeight="1" x14ac:dyDescent="0.3">
      <c r="A21" s="396" t="s">
        <v>308</v>
      </c>
      <c r="B21" s="398" t="s">
        <v>282</v>
      </c>
      <c r="C21" s="398" t="s">
        <v>283</v>
      </c>
      <c r="D21" s="398" t="s">
        <v>284</v>
      </c>
      <c r="E21" s="398" t="s">
        <v>285</v>
      </c>
      <c r="F21" s="416"/>
      <c r="G21" s="416"/>
      <c r="H21" s="416"/>
      <c r="I21" s="416"/>
      <c r="J21" s="416">
        <v>1</v>
      </c>
      <c r="K21" s="416">
        <v>327</v>
      </c>
      <c r="L21" s="416"/>
      <c r="M21" s="416">
        <v>327</v>
      </c>
      <c r="N21" s="416"/>
      <c r="O21" s="416"/>
      <c r="P21" s="399"/>
      <c r="Q21" s="417"/>
    </row>
    <row r="22" spans="1:17" ht="14.4" customHeight="1" thickBot="1" x14ac:dyDescent="0.35">
      <c r="A22" s="401" t="s">
        <v>308</v>
      </c>
      <c r="B22" s="403" t="s">
        <v>282</v>
      </c>
      <c r="C22" s="403" t="s">
        <v>283</v>
      </c>
      <c r="D22" s="403" t="s">
        <v>298</v>
      </c>
      <c r="E22" s="403" t="s">
        <v>299</v>
      </c>
      <c r="F22" s="418"/>
      <c r="G22" s="418"/>
      <c r="H22" s="418"/>
      <c r="I22" s="418"/>
      <c r="J22" s="418"/>
      <c r="K22" s="418"/>
      <c r="L22" s="418"/>
      <c r="M22" s="418"/>
      <c r="N22" s="418">
        <v>1</v>
      </c>
      <c r="O22" s="418">
        <v>165</v>
      </c>
      <c r="P22" s="404"/>
      <c r="Q22" s="419">
        <v>165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0" bestFit="1" customWidth="1"/>
    <col min="2" max="2" width="11.6640625" style="120" hidden="1" customWidth="1"/>
    <col min="3" max="4" width="11" style="122" customWidth="1"/>
    <col min="5" max="5" width="11" style="123" customWidth="1"/>
    <col min="6" max="16384" width="8.88671875" style="120"/>
  </cols>
  <sheetData>
    <row r="1" spans="1:5" ht="18.600000000000001" thickBot="1" x14ac:dyDescent="0.4">
      <c r="A1" s="263" t="s">
        <v>91</v>
      </c>
      <c r="B1" s="263"/>
      <c r="C1" s="264"/>
      <c r="D1" s="264"/>
      <c r="E1" s="264"/>
    </row>
    <row r="2" spans="1:5" ht="14.4" customHeight="1" thickBot="1" x14ac:dyDescent="0.35">
      <c r="A2" s="192" t="s">
        <v>215</v>
      </c>
      <c r="B2" s="121"/>
    </row>
    <row r="3" spans="1:5" ht="14.4" customHeight="1" thickBot="1" x14ac:dyDescent="0.35">
      <c r="A3" s="124"/>
      <c r="C3" s="125" t="s">
        <v>83</v>
      </c>
      <c r="D3" s="126" t="s">
        <v>48</v>
      </c>
      <c r="E3" s="127" t="s">
        <v>50</v>
      </c>
    </row>
    <row r="4" spans="1:5" ht="14.4" customHeight="1" thickBot="1" x14ac:dyDescent="0.35">
      <c r="A4" s="128" t="str">
        <f>HYPERLINK("#HI!A1","NÁKLADY CELKEM (v tisících Kč)")</f>
        <v>NÁKLADY CELKEM (v tisících Kč)</v>
      </c>
      <c r="B4" s="129"/>
      <c r="C4" s="130">
        <f ca="1">IF(ISERROR(VLOOKUP("Náklady celkem",INDIRECT("HI!$A:$G"),6,0)),0,VLOOKUP("Náklady celkem",INDIRECT("HI!$A:$G"),6,0))</f>
        <v>424.46416055993024</v>
      </c>
      <c r="D4" s="130">
        <f ca="1">IF(ISERROR(VLOOKUP("Náklady celkem",INDIRECT("HI!$A:$G"),5,0)),0,VLOOKUP("Náklady celkem",INDIRECT("HI!$A:$G"),5,0))</f>
        <v>356.03834000000001</v>
      </c>
      <c r="E4" s="131">
        <f ca="1">IF(C4=0,0,D4/C4)</f>
        <v>0.83879482199470834</v>
      </c>
    </row>
    <row r="5" spans="1:5" ht="14.4" customHeight="1" x14ac:dyDescent="0.3">
      <c r="A5" s="132" t="s">
        <v>103</v>
      </c>
      <c r="B5" s="133"/>
      <c r="C5" s="134"/>
      <c r="D5" s="134"/>
      <c r="E5" s="135"/>
    </row>
    <row r="6" spans="1:5" ht="14.4" customHeight="1" x14ac:dyDescent="0.3">
      <c r="A6" s="136" t="s">
        <v>108</v>
      </c>
      <c r="B6" s="137"/>
      <c r="C6" s="138"/>
      <c r="D6" s="138"/>
      <c r="E6" s="135"/>
    </row>
    <row r="7" spans="1:5" ht="14.4" customHeight="1" x14ac:dyDescent="0.3">
      <c r="A7" s="13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7" t="s">
        <v>87</v>
      </c>
      <c r="C7" s="138">
        <f>IF(ISERROR(HI!F5),"",HI!F5)</f>
        <v>0</v>
      </c>
      <c r="D7" s="138">
        <f>IF(ISERROR(HI!E5),"",HI!E5)</f>
        <v>0</v>
      </c>
      <c r="E7" s="135">
        <f t="shared" ref="E7:E11" si="0">IF(C7=0,0,D7/C7)</f>
        <v>0</v>
      </c>
    </row>
    <row r="8" spans="1:5" ht="14.4" customHeight="1" x14ac:dyDescent="0.3">
      <c r="A8" s="141" t="s">
        <v>104</v>
      </c>
      <c r="B8" s="137"/>
      <c r="C8" s="138"/>
      <c r="D8" s="138"/>
      <c r="E8" s="135"/>
    </row>
    <row r="9" spans="1:5" ht="14.4" customHeight="1" x14ac:dyDescent="0.3">
      <c r="A9" s="141" t="s">
        <v>105</v>
      </c>
      <c r="B9" s="137"/>
      <c r="C9" s="138"/>
      <c r="D9" s="138"/>
      <c r="E9" s="135"/>
    </row>
    <row r="10" spans="1:5" ht="14.4" customHeight="1" x14ac:dyDescent="0.3">
      <c r="A10" s="142" t="s">
        <v>109</v>
      </c>
      <c r="B10" s="137"/>
      <c r="C10" s="134"/>
      <c r="D10" s="134"/>
      <c r="E10" s="135"/>
    </row>
    <row r="11" spans="1:5" ht="14.4" customHeight="1" x14ac:dyDescent="0.3">
      <c r="A11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7" t="s">
        <v>87</v>
      </c>
      <c r="C11" s="138">
        <f>IF(ISERROR(HI!F6),"",HI!F6)</f>
        <v>0</v>
      </c>
      <c r="D11" s="138">
        <f>IF(ISERROR(HI!E6),"",HI!E6)</f>
        <v>0</v>
      </c>
      <c r="E11" s="135">
        <f t="shared" si="0"/>
        <v>0</v>
      </c>
    </row>
    <row r="12" spans="1:5" ht="14.4" customHeight="1" thickBot="1" x14ac:dyDescent="0.35">
      <c r="A12" s="144" t="str">
        <f>HYPERLINK("#HI!A1","Osobní náklady")</f>
        <v>Osobní náklady</v>
      </c>
      <c r="B12" s="137"/>
      <c r="C12" s="134">
        <f ca="1">IF(ISERROR(VLOOKUP("Osobní náklady (Kč) *",INDIRECT("HI!$A:$G"),6,0)),0,VLOOKUP("Osobní náklady (Kč) *",INDIRECT("HI!$A:$G"),6,0))</f>
        <v>423.38587996979032</v>
      </c>
      <c r="D12" s="134">
        <f ca="1">IF(ISERROR(VLOOKUP("Osobní náklady (Kč) *",INDIRECT("HI!$A:$G"),5,0)),0,VLOOKUP("Osobní náklady (Kč) *",INDIRECT("HI!$A:$G"),5,0))</f>
        <v>356.03834000000001</v>
      </c>
      <c r="E12" s="135">
        <f ca="1">IF(C12=0,0,D12/C12)</f>
        <v>0.84093106748246838</v>
      </c>
    </row>
    <row r="13" spans="1:5" ht="14.4" customHeight="1" thickBot="1" x14ac:dyDescent="0.35">
      <c r="A13" s="148"/>
      <c r="B13" s="149"/>
      <c r="C13" s="150"/>
      <c r="D13" s="150"/>
      <c r="E13" s="151"/>
    </row>
    <row r="14" spans="1:5" ht="14.4" customHeight="1" thickBot="1" x14ac:dyDescent="0.35">
      <c r="A14" s="152" t="str">
        <f>HYPERLINK("#HI!A1","VÝNOSY CELKEM (v tisících)")</f>
        <v>VÝNOSY CELKEM (v tisících)</v>
      </c>
      <c r="B14" s="153"/>
      <c r="C14" s="154">
        <f ca="1">IF(ISERROR(VLOOKUP("Výnosy celkem",INDIRECT("HI!$A:$G"),6,0)),0,VLOOKUP("Výnosy celkem",INDIRECT("HI!$A:$G"),6,0))</f>
        <v>0</v>
      </c>
      <c r="D14" s="154">
        <f ca="1">IF(ISERROR(VLOOKUP("Výnosy celkem",INDIRECT("HI!$A:$G"),5,0)),0,VLOOKUP("Výnosy celkem",INDIRECT("HI!$A:$G"),5,0))</f>
        <v>0</v>
      </c>
      <c r="E14" s="155">
        <f t="shared" ref="E14:E17" ca="1" si="1">IF(C14=0,0,D14/C14)</f>
        <v>0</v>
      </c>
    </row>
    <row r="15" spans="1:5" ht="14.4" customHeight="1" x14ac:dyDescent="0.3">
      <c r="A15" s="156" t="str">
        <f>HYPERLINK("#HI!A1","Ambulance (body za výkony + Kč za ZUM a ZULP)")</f>
        <v>Ambulance (body za výkony + Kč za ZUM a ZULP)</v>
      </c>
      <c r="B15" s="133"/>
      <c r="C15" s="134">
        <f ca="1">IF(ISERROR(VLOOKUP("Ambulance *",INDIRECT("HI!$A:$G"),6,0)),0,VLOOKUP("Ambulance *",INDIRECT("HI!$A:$G"),6,0))</f>
        <v>0</v>
      </c>
      <c r="D15" s="134">
        <f ca="1">IF(ISERROR(VLOOKUP("Ambulance *",INDIRECT("HI!$A:$G"),5,0)),0,VLOOKUP("Ambulance *",INDIRECT("HI!$A:$G"),5,0))</f>
        <v>0</v>
      </c>
      <c r="E15" s="135">
        <f t="shared" ca="1" si="1"/>
        <v>0</v>
      </c>
    </row>
    <row r="16" spans="1:5" ht="14.4" customHeight="1" x14ac:dyDescent="0.3">
      <c r="A16" s="157" t="str">
        <f>HYPERLINK("#'ZV Vykáz.-A'!A1","Zdravotní výkony vykázané u ambulantních pacientů (min. 100 %)")</f>
        <v>Zdravotní výkony vykázané u ambulantních pacientů (min. 100 %)</v>
      </c>
      <c r="B16" s="120" t="s">
        <v>93</v>
      </c>
      <c r="C16" s="140">
        <v>1</v>
      </c>
      <c r="D16" s="140" t="str">
        <f>IF(ISERROR(VLOOKUP("Celkem:",'ZV Vykáz.-A'!$A:$S,7,0)),"",VLOOKUP("Celkem:",'ZV Vykáz.-A'!$A:$S,7,0))</f>
        <v/>
      </c>
      <c r="E16" s="135" t="e">
        <f t="shared" si="1"/>
        <v>#VALUE!</v>
      </c>
    </row>
    <row r="17" spans="1:5" ht="14.4" customHeight="1" x14ac:dyDescent="0.3">
      <c r="A17" s="157" t="str">
        <f>HYPERLINK("#'ZV Vykáz.-H'!A1","Zdravotní výkony vykázané u hospitalizovaných pacientů (max. 85 %)")</f>
        <v>Zdravotní výkony vykázané u hospitalizovaných pacientů (max. 85 %)</v>
      </c>
      <c r="B17" s="120" t="s">
        <v>95</v>
      </c>
      <c r="C17" s="140">
        <v>0.85</v>
      </c>
      <c r="D17" s="140">
        <f>IF(ISERROR(VLOOKUP("Celkem:",'ZV Vykáz.-H'!$A:$S,7,0)),"",VLOOKUP("Celkem:",'ZV Vykáz.-H'!$A:$S,7,0))</f>
        <v>1.2091046317629299</v>
      </c>
      <c r="E17" s="135">
        <f t="shared" si="1"/>
        <v>1.4224760373681529</v>
      </c>
    </row>
    <row r="18" spans="1:5" ht="14.4" customHeight="1" x14ac:dyDescent="0.3">
      <c r="A18" s="158" t="str">
        <f>HYPERLINK("#HI!A1","Hospitalizace (casemix * 30000)")</f>
        <v>Hospitalizace (casemix * 30000)</v>
      </c>
      <c r="B18" s="137"/>
      <c r="C18" s="134">
        <f ca="1">IF(ISERROR(VLOOKUP("Hospitalizace *",INDIRECT("HI!$A:$G"),6,0)),0,VLOOKUP("Hospitalizace *",INDIRECT("HI!$A:$G"),6,0))</f>
        <v>0</v>
      </c>
      <c r="D18" s="134">
        <f ca="1">IF(ISERROR(VLOOKUP("Hospitalizace *",INDIRECT("HI!$A:$G"),5,0)),0,VLOOKUP("Hospitalizace *",INDIRECT("HI!$A:$G"),5,0))</f>
        <v>0</v>
      </c>
      <c r="E18" s="135">
        <f ca="1">IF(C18=0,0,D18/C18)</f>
        <v>0</v>
      </c>
    </row>
    <row r="19" spans="1:5" ht="14.4" customHeight="1" thickBot="1" x14ac:dyDescent="0.35">
      <c r="A19" s="159" t="s">
        <v>106</v>
      </c>
      <c r="B19" s="145"/>
      <c r="C19" s="146"/>
      <c r="D19" s="146"/>
      <c r="E19" s="147"/>
    </row>
    <row r="20" spans="1:5" ht="14.4" customHeight="1" thickBot="1" x14ac:dyDescent="0.35">
      <c r="A20" s="160"/>
      <c r="B20" s="161"/>
      <c r="C20" s="162"/>
      <c r="D20" s="162"/>
      <c r="E20" s="163"/>
    </row>
    <row r="21" spans="1:5" ht="14.4" customHeight="1" thickBot="1" x14ac:dyDescent="0.35">
      <c r="A21" s="164" t="s">
        <v>107</v>
      </c>
      <c r="B21" s="165"/>
      <c r="C21" s="166"/>
      <c r="D21" s="166"/>
      <c r="E21" s="167"/>
    </row>
  </sheetData>
  <mergeCells count="1">
    <mergeCell ref="A1:E1"/>
  </mergeCells>
  <conditionalFormatting sqref="E5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5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3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12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11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4 E16">
    <cfRule type="cellIs" dxfId="10" priority="20" operator="lessThan">
      <formula>1</formula>
    </cfRule>
  </conditionalFormatting>
  <conditionalFormatting sqref="E14 E16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1 E17">
    <cfRule type="cellIs" dxfId="9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2" bestFit="1" customWidth="1"/>
    <col min="2" max="3" width="9.5546875" style="102" customWidth="1"/>
    <col min="4" max="4" width="2.21875" style="102" customWidth="1"/>
    <col min="5" max="8" width="9.5546875" style="102" customWidth="1"/>
    <col min="9" max="16384" width="8.88671875" style="102"/>
  </cols>
  <sheetData>
    <row r="1" spans="1:8" ht="18.600000000000001" customHeight="1" thickBot="1" x14ac:dyDescent="0.4">
      <c r="A1" s="263" t="s">
        <v>100</v>
      </c>
      <c r="B1" s="263"/>
      <c r="C1" s="263"/>
      <c r="D1" s="263"/>
      <c r="E1" s="263"/>
      <c r="F1" s="263"/>
      <c r="G1" s="264"/>
      <c r="H1" s="264"/>
    </row>
    <row r="2" spans="1:8" ht="14.4" customHeight="1" thickBot="1" x14ac:dyDescent="0.35">
      <c r="A2" s="192" t="s">
        <v>215</v>
      </c>
      <c r="B2" s="83"/>
      <c r="C2" s="83"/>
      <c r="D2" s="83"/>
      <c r="E2" s="83"/>
      <c r="F2" s="83"/>
    </row>
    <row r="3" spans="1:8" ht="14.4" customHeight="1" x14ac:dyDescent="0.3">
      <c r="A3" s="265"/>
      <c r="B3" s="79">
        <v>2013</v>
      </c>
      <c r="C3" s="40">
        <v>2014</v>
      </c>
      <c r="D3" s="7"/>
      <c r="E3" s="269">
        <v>2015</v>
      </c>
      <c r="F3" s="270"/>
      <c r="G3" s="270"/>
      <c r="H3" s="271"/>
    </row>
    <row r="4" spans="1:8" ht="14.4" customHeight="1" thickBot="1" x14ac:dyDescent="0.35">
      <c r="A4" s="266"/>
      <c r="B4" s="267" t="s">
        <v>48</v>
      </c>
      <c r="C4" s="268"/>
      <c r="D4" s="7"/>
      <c r="E4" s="100" t="s">
        <v>48</v>
      </c>
      <c r="F4" s="81" t="s">
        <v>49</v>
      </c>
      <c r="G4" s="81" t="s">
        <v>43</v>
      </c>
      <c r="H4" s="82" t="s">
        <v>50</v>
      </c>
    </row>
    <row r="5" spans="1:8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8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8" ht="14.4" customHeight="1" x14ac:dyDescent="0.3">
      <c r="A7" s="84" t="str">
        <f>HYPERLINK("#'Osobní náklady'!A1","Osobní náklady (Kč) *")</f>
        <v>Osobní náklady (Kč) *</v>
      </c>
      <c r="B7" s="10">
        <v>369.98836</v>
      </c>
      <c r="C7" s="31">
        <v>403.05766000000096</v>
      </c>
      <c r="D7" s="8"/>
      <c r="E7" s="90">
        <v>356.03834000000001</v>
      </c>
      <c r="F7" s="30">
        <v>423.38587996979032</v>
      </c>
      <c r="G7" s="91">
        <f>E7-F7</f>
        <v>-67.347539969790319</v>
      </c>
      <c r="H7" s="95">
        <f>IF(F7&lt;0.00000001,"",E7/F7)</f>
        <v>0.84093106748246838</v>
      </c>
    </row>
    <row r="8" spans="1:8" ht="14.4" customHeight="1" thickBot="1" x14ac:dyDescent="0.35">
      <c r="A8" s="1" t="s">
        <v>51</v>
      </c>
      <c r="B8" s="11">
        <v>2.5932200000000307</v>
      </c>
      <c r="C8" s="33">
        <v>0</v>
      </c>
      <c r="D8" s="8"/>
      <c r="E8" s="92">
        <v>0</v>
      </c>
      <c r="F8" s="32">
        <v>1.0782805901399115</v>
      </c>
      <c r="G8" s="93">
        <f>E8-F8</f>
        <v>-1.0782805901399115</v>
      </c>
      <c r="H8" s="96">
        <f>IF(F8&lt;0.00000001,"",E8/F8)</f>
        <v>0</v>
      </c>
    </row>
    <row r="9" spans="1:8" ht="14.4" customHeight="1" thickBot="1" x14ac:dyDescent="0.35">
      <c r="A9" s="2" t="s">
        <v>52</v>
      </c>
      <c r="B9" s="3">
        <v>372.58158000000003</v>
      </c>
      <c r="C9" s="35">
        <v>403.05766000000096</v>
      </c>
      <c r="D9" s="8"/>
      <c r="E9" s="3">
        <v>356.03834000000001</v>
      </c>
      <c r="F9" s="34">
        <v>424.46416055993024</v>
      </c>
      <c r="G9" s="34">
        <f>E9-F9</f>
        <v>-68.42582055993023</v>
      </c>
      <c r="H9" s="97">
        <f>IF(F9&lt;0.00000001,"",E9/F9)</f>
        <v>0.83879482199470834</v>
      </c>
    </row>
    <row r="10" spans="1:8" ht="14.4" customHeight="1" thickBot="1" x14ac:dyDescent="0.35">
      <c r="A10" s="12"/>
      <c r="B10" s="12"/>
      <c r="C10" s="80"/>
      <c r="D10" s="8"/>
      <c r="E10" s="12"/>
      <c r="F10" s="13"/>
    </row>
    <row r="11" spans="1:8" ht="14.4" customHeight="1" x14ac:dyDescent="0.3">
      <c r="A11" s="105" t="str">
        <f>HYPERLINK("#'ZV Vykáz.-A'!A1","Ambulance *")</f>
        <v>Ambulance *</v>
      </c>
      <c r="B11" s="9">
        <f>IF(ISERROR(VLOOKUP("Celkem:",'ZV Vykáz.-A'!A:F,2,0)),0,VLOOKUP("Celkem:",'ZV Vykáz.-A'!A:F,2,0)/1000)</f>
        <v>0</v>
      </c>
      <c r="C11" s="29">
        <f>IF(ISERROR(VLOOKUP("Celkem:",'ZV Vykáz.-A'!A:F,4,0)),0,VLOOKUP("Celkem:",'ZV Vykáz.-A'!A:F,4,0)/1000)</f>
        <v>0.32700000000000001</v>
      </c>
      <c r="D11" s="8"/>
      <c r="E11" s="89">
        <f>IF(ISERROR(VLOOKUP("Celkem:",'ZV Vykáz.-A'!A:F,6,0)),0,VLOOKUP("Celkem:",'ZV Vykáz.-A'!A:F,6,0)/1000)</f>
        <v>0</v>
      </c>
      <c r="F11" s="28">
        <f>B11</f>
        <v>0</v>
      </c>
      <c r="G11" s="88">
        <f>E11-F11</f>
        <v>0</v>
      </c>
      <c r="H11" s="94" t="str">
        <f>IF(F11&lt;0.00000001,"",E11/F11)</f>
        <v/>
      </c>
    </row>
    <row r="12" spans="1:8" ht="14.4" customHeight="1" thickBot="1" x14ac:dyDescent="0.35">
      <c r="A12" s="106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B12</f>
        <v>0</v>
      </c>
      <c r="G12" s="93">
        <f>E12-F12</f>
        <v>0</v>
      </c>
      <c r="H12" s="96" t="str">
        <f>IF(F12&lt;0.00000001,"",E12/F12)</f>
        <v/>
      </c>
    </row>
    <row r="13" spans="1:8" ht="14.4" customHeight="1" thickBot="1" x14ac:dyDescent="0.35">
      <c r="A13" s="4" t="s">
        <v>55</v>
      </c>
      <c r="B13" s="5">
        <f>SUM(B11:B12)</f>
        <v>0</v>
      </c>
      <c r="C13" s="37">
        <f>SUM(C11:C12)</f>
        <v>0.32700000000000001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8" t="str">
        <f>IF(F13&lt;0.00000001,"",E13/F13)</f>
        <v/>
      </c>
    </row>
    <row r="14" spans="1:8" ht="14.4" customHeight="1" thickBot="1" x14ac:dyDescent="0.35">
      <c r="A14" s="12"/>
      <c r="B14" s="12"/>
      <c r="C14" s="80"/>
      <c r="D14" s="8"/>
      <c r="E14" s="12"/>
      <c r="F14" s="13"/>
    </row>
    <row r="15" spans="1:8" ht="14.4" customHeight="1" thickBot="1" x14ac:dyDescent="0.35">
      <c r="A15" s="107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8.1129831399308783E-4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9" t="str">
        <f>IF(ISERROR(F15-E15),"",IF(F15&lt;0.00000001,"",E15/F15))</f>
        <v/>
      </c>
    </row>
    <row r="17" spans="1:8" ht="14.4" customHeight="1" x14ac:dyDescent="0.3">
      <c r="A17" s="85" t="s">
        <v>110</v>
      </c>
    </row>
    <row r="18" spans="1:8" ht="14.4" customHeight="1" x14ac:dyDescent="0.3">
      <c r="A18" s="245" t="s">
        <v>148</v>
      </c>
      <c r="B18" s="246"/>
      <c r="C18" s="246"/>
      <c r="D18" s="246"/>
      <c r="E18" s="246"/>
      <c r="F18" s="246"/>
      <c r="G18" s="246"/>
      <c r="H18" s="246"/>
    </row>
    <row r="19" spans="1:8" x14ac:dyDescent="0.3">
      <c r="A19" s="244" t="s">
        <v>147</v>
      </c>
      <c r="B19" s="246"/>
      <c r="C19" s="246"/>
      <c r="D19" s="246"/>
      <c r="E19" s="246"/>
      <c r="F19" s="246"/>
      <c r="G19" s="246"/>
      <c r="H19" s="246"/>
    </row>
    <row r="20" spans="1:8" ht="14.4" customHeight="1" x14ac:dyDescent="0.3">
      <c r="A20" s="86" t="s">
        <v>190</v>
      </c>
    </row>
    <row r="21" spans="1:8" ht="14.4" customHeight="1" x14ac:dyDescent="0.3">
      <c r="A21" s="86" t="s">
        <v>111</v>
      </c>
    </row>
    <row r="22" spans="1:8" ht="14.4" customHeight="1" x14ac:dyDescent="0.3">
      <c r="A22" s="87" t="s">
        <v>112</v>
      </c>
    </row>
    <row r="23" spans="1:8" ht="14.4" customHeight="1" x14ac:dyDescent="0.3">
      <c r="A23" s="87" t="s">
        <v>113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" priority="4" operator="greaterThan">
      <formula>0</formula>
    </cfRule>
  </conditionalFormatting>
  <conditionalFormatting sqref="G11:G13 G15">
    <cfRule type="cellIs" dxfId="7" priority="3" operator="lessThan">
      <formula>0</formula>
    </cfRule>
  </conditionalFormatting>
  <conditionalFormatting sqref="H5:H9">
    <cfRule type="cellIs" dxfId="6" priority="2" operator="greaterThan">
      <formula>1</formula>
    </cfRule>
  </conditionalFormatting>
  <conditionalFormatting sqref="H11:H13 H15">
    <cfRule type="cellIs" dxfId="5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2"/>
    <col min="2" max="13" width="8.88671875" style="102" customWidth="1"/>
    <col min="14" max="16384" width="8.88671875" style="102"/>
  </cols>
  <sheetData>
    <row r="1" spans="1:13" ht="18.600000000000001" customHeight="1" thickBot="1" x14ac:dyDescent="0.4">
      <c r="A1" s="263" t="s">
        <v>80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92" t="s">
        <v>215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4.4" customHeight="1" x14ac:dyDescent="0.3">
      <c r="A3" s="168"/>
      <c r="B3" s="169" t="s">
        <v>57</v>
      </c>
      <c r="C3" s="170" t="s">
        <v>58</v>
      </c>
      <c r="D3" s="170" t="s">
        <v>59</v>
      </c>
      <c r="E3" s="169" t="s">
        <v>60</v>
      </c>
      <c r="F3" s="170" t="s">
        <v>61</v>
      </c>
      <c r="G3" s="170" t="s">
        <v>62</v>
      </c>
      <c r="H3" s="170" t="s">
        <v>63</v>
      </c>
      <c r="I3" s="170" t="s">
        <v>64</v>
      </c>
      <c r="J3" s="170" t="s">
        <v>65</v>
      </c>
      <c r="K3" s="170" t="s">
        <v>66</v>
      </c>
      <c r="L3" s="170" t="s">
        <v>67</v>
      </c>
      <c r="M3" s="170" t="s">
        <v>68</v>
      </c>
    </row>
    <row r="4" spans="1:13" ht="14.4" customHeight="1" x14ac:dyDescent="0.3">
      <c r="A4" s="168" t="s">
        <v>56</v>
      </c>
      <c r="B4" s="171">
        <f>(B10+B8)/B6</f>
        <v>0</v>
      </c>
      <c r="C4" s="171">
        <f t="shared" ref="C4:M4" si="0">(C10+C8)/C6</f>
        <v>0</v>
      </c>
      <c r="D4" s="171">
        <f t="shared" si="0"/>
        <v>0</v>
      </c>
      <c r="E4" s="171">
        <f t="shared" si="0"/>
        <v>0</v>
      </c>
      <c r="F4" s="171">
        <f t="shared" si="0"/>
        <v>0</v>
      </c>
      <c r="G4" s="171">
        <f t="shared" si="0"/>
        <v>0</v>
      </c>
      <c r="H4" s="171">
        <f t="shared" si="0"/>
        <v>0</v>
      </c>
      <c r="I4" s="171">
        <f t="shared" si="0"/>
        <v>0</v>
      </c>
      <c r="J4" s="171">
        <f t="shared" si="0"/>
        <v>0</v>
      </c>
      <c r="K4" s="171">
        <f t="shared" si="0"/>
        <v>0</v>
      </c>
      <c r="L4" s="171">
        <f t="shared" si="0"/>
        <v>0</v>
      </c>
      <c r="M4" s="171">
        <f t="shared" si="0"/>
        <v>0</v>
      </c>
    </row>
    <row r="5" spans="1:13" ht="14.4" customHeight="1" x14ac:dyDescent="0.3">
      <c r="A5" s="172" t="s">
        <v>28</v>
      </c>
      <c r="B5" s="171">
        <f>IF(ISERROR(VLOOKUP($A5,'Man Tab'!$A:$Q,COLUMN()+2,0)),0,VLOOKUP($A5,'Man Tab'!$A:$Q,COLUMN()+2,0))</f>
        <v>127.03761</v>
      </c>
      <c r="C5" s="171">
        <f>IF(ISERROR(VLOOKUP($A5,'Man Tab'!$A:$Q,COLUMN()+2,0)),0,VLOOKUP($A5,'Man Tab'!$A:$Q,COLUMN()+2,0))</f>
        <v>114.08555</v>
      </c>
      <c r="D5" s="171">
        <f>IF(ISERROR(VLOOKUP($A5,'Man Tab'!$A:$Q,COLUMN()+2,0)),0,VLOOKUP($A5,'Man Tab'!$A:$Q,COLUMN()+2,0))</f>
        <v>114.91518000000001</v>
      </c>
      <c r="E5" s="171">
        <f>IF(ISERROR(VLOOKUP($A5,'Man Tab'!$A:$Q,COLUMN()+2,0)),0,VLOOKUP($A5,'Man Tab'!$A:$Q,COLUMN()+2,0))</f>
        <v>0</v>
      </c>
      <c r="F5" s="171">
        <f>IF(ISERROR(VLOOKUP($A5,'Man Tab'!$A:$Q,COLUMN()+2,0)),0,VLOOKUP($A5,'Man Tab'!$A:$Q,COLUMN()+2,0))</f>
        <v>0</v>
      </c>
      <c r="G5" s="171">
        <f>IF(ISERROR(VLOOKUP($A5,'Man Tab'!$A:$Q,COLUMN()+2,0)),0,VLOOKUP($A5,'Man Tab'!$A:$Q,COLUMN()+2,0))</f>
        <v>0</v>
      </c>
      <c r="H5" s="171">
        <f>IF(ISERROR(VLOOKUP($A5,'Man Tab'!$A:$Q,COLUMN()+2,0)),0,VLOOKUP($A5,'Man Tab'!$A:$Q,COLUMN()+2,0))</f>
        <v>0</v>
      </c>
      <c r="I5" s="171">
        <f>IF(ISERROR(VLOOKUP($A5,'Man Tab'!$A:$Q,COLUMN()+2,0)),0,VLOOKUP($A5,'Man Tab'!$A:$Q,COLUMN()+2,0))</f>
        <v>0</v>
      </c>
      <c r="J5" s="171">
        <f>IF(ISERROR(VLOOKUP($A5,'Man Tab'!$A:$Q,COLUMN()+2,0)),0,VLOOKUP($A5,'Man Tab'!$A:$Q,COLUMN()+2,0))</f>
        <v>0</v>
      </c>
      <c r="K5" s="171">
        <f>IF(ISERROR(VLOOKUP($A5,'Man Tab'!$A:$Q,COLUMN()+2,0)),0,VLOOKUP($A5,'Man Tab'!$A:$Q,COLUMN()+2,0))</f>
        <v>0</v>
      </c>
      <c r="L5" s="171">
        <f>IF(ISERROR(VLOOKUP($A5,'Man Tab'!$A:$Q,COLUMN()+2,0)),0,VLOOKUP($A5,'Man Tab'!$A:$Q,COLUMN()+2,0))</f>
        <v>0</v>
      </c>
      <c r="M5" s="171">
        <f>IF(ISERROR(VLOOKUP($A5,'Man Tab'!$A:$Q,COLUMN()+2,0)),0,VLOOKUP($A5,'Man Tab'!$A:$Q,COLUMN()+2,0))</f>
        <v>0</v>
      </c>
    </row>
    <row r="6" spans="1:13" ht="14.4" customHeight="1" x14ac:dyDescent="0.3">
      <c r="A6" s="172" t="s">
        <v>52</v>
      </c>
      <c r="B6" s="173">
        <f>B5</f>
        <v>127.03761</v>
      </c>
      <c r="C6" s="173">
        <f t="shared" ref="C6:M6" si="1">C5+B6</f>
        <v>241.12315999999998</v>
      </c>
      <c r="D6" s="173">
        <f t="shared" si="1"/>
        <v>356.03834000000001</v>
      </c>
      <c r="E6" s="173">
        <f t="shared" si="1"/>
        <v>356.03834000000001</v>
      </c>
      <c r="F6" s="173">
        <f t="shared" si="1"/>
        <v>356.03834000000001</v>
      </c>
      <c r="G6" s="173">
        <f t="shared" si="1"/>
        <v>356.03834000000001</v>
      </c>
      <c r="H6" s="173">
        <f t="shared" si="1"/>
        <v>356.03834000000001</v>
      </c>
      <c r="I6" s="173">
        <f t="shared" si="1"/>
        <v>356.03834000000001</v>
      </c>
      <c r="J6" s="173">
        <f t="shared" si="1"/>
        <v>356.03834000000001</v>
      </c>
      <c r="K6" s="173">
        <f t="shared" si="1"/>
        <v>356.03834000000001</v>
      </c>
      <c r="L6" s="173">
        <f t="shared" si="1"/>
        <v>356.03834000000001</v>
      </c>
      <c r="M6" s="173">
        <f t="shared" si="1"/>
        <v>356.03834000000001</v>
      </c>
    </row>
    <row r="7" spans="1:13" ht="14.4" customHeight="1" x14ac:dyDescent="0.3">
      <c r="A7" s="172" t="s">
        <v>78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13" ht="14.4" customHeight="1" x14ac:dyDescent="0.3">
      <c r="A8" s="172" t="s">
        <v>53</v>
      </c>
      <c r="B8" s="173">
        <f>B7*30</f>
        <v>0</v>
      </c>
      <c r="C8" s="173">
        <f t="shared" ref="C8:M8" si="2">C7*30</f>
        <v>0</v>
      </c>
      <c r="D8" s="173">
        <f t="shared" si="2"/>
        <v>0</v>
      </c>
      <c r="E8" s="173">
        <f t="shared" si="2"/>
        <v>0</v>
      </c>
      <c r="F8" s="173">
        <f t="shared" si="2"/>
        <v>0</v>
      </c>
      <c r="G8" s="173">
        <f t="shared" si="2"/>
        <v>0</v>
      </c>
      <c r="H8" s="173">
        <f t="shared" si="2"/>
        <v>0</v>
      </c>
      <c r="I8" s="173">
        <f t="shared" si="2"/>
        <v>0</v>
      </c>
      <c r="J8" s="173">
        <f t="shared" si="2"/>
        <v>0</v>
      </c>
      <c r="K8" s="173">
        <f t="shared" si="2"/>
        <v>0</v>
      </c>
      <c r="L8" s="173">
        <f t="shared" si="2"/>
        <v>0</v>
      </c>
      <c r="M8" s="173">
        <f t="shared" si="2"/>
        <v>0</v>
      </c>
    </row>
    <row r="9" spans="1:13" ht="14.4" customHeight="1" x14ac:dyDescent="0.3">
      <c r="A9" s="172" t="s">
        <v>79</v>
      </c>
      <c r="B9" s="172"/>
      <c r="C9" s="172">
        <v>0</v>
      </c>
      <c r="D9" s="172">
        <v>0</v>
      </c>
      <c r="E9" s="172">
        <v>0</v>
      </c>
      <c r="F9" s="172">
        <v>0</v>
      </c>
      <c r="G9" s="172">
        <v>0</v>
      </c>
      <c r="H9" s="172">
        <v>0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</row>
    <row r="10" spans="1:13" ht="14.4" customHeight="1" x14ac:dyDescent="0.3">
      <c r="A10" s="172" t="s">
        <v>54</v>
      </c>
      <c r="B10" s="173">
        <f>B9/1000</f>
        <v>0</v>
      </c>
      <c r="C10" s="173">
        <f t="shared" ref="C10:M10" si="3">C9/1000+B10</f>
        <v>0</v>
      </c>
      <c r="D10" s="173">
        <f t="shared" si="3"/>
        <v>0</v>
      </c>
      <c r="E10" s="173">
        <f t="shared" si="3"/>
        <v>0</v>
      </c>
      <c r="F10" s="173">
        <f t="shared" si="3"/>
        <v>0</v>
      </c>
      <c r="G10" s="173">
        <f t="shared" si="3"/>
        <v>0</v>
      </c>
      <c r="H10" s="173">
        <f t="shared" si="3"/>
        <v>0</v>
      </c>
      <c r="I10" s="173">
        <f t="shared" si="3"/>
        <v>0</v>
      </c>
      <c r="J10" s="173">
        <f t="shared" si="3"/>
        <v>0</v>
      </c>
      <c r="K10" s="173">
        <f t="shared" si="3"/>
        <v>0</v>
      </c>
      <c r="L10" s="173">
        <f t="shared" si="3"/>
        <v>0</v>
      </c>
      <c r="M10" s="173">
        <f t="shared" si="3"/>
        <v>0</v>
      </c>
    </row>
    <row r="11" spans="1:13" ht="14.4" customHeight="1" x14ac:dyDescent="0.3">
      <c r="A11" s="168"/>
      <c r="B11" s="168" t="s">
        <v>69</v>
      </c>
      <c r="C11" s="168">
        <f ca="1">IF(MONTH(TODAY())=1,12,MONTH(TODAY())-1)</f>
        <v>3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ht="14.4" customHeight="1" x14ac:dyDescent="0.3">
      <c r="A12" s="168">
        <v>0</v>
      </c>
      <c r="B12" s="171">
        <f>IF(ISERROR(HI!F15),#REF!,HI!F15)</f>
        <v>0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</row>
    <row r="13" spans="1:13" ht="14.4" customHeight="1" x14ac:dyDescent="0.3">
      <c r="A13" s="168">
        <v>1</v>
      </c>
      <c r="B13" s="171">
        <f>IF(ISERROR(HI!F15),#REF!,HI!F15)</f>
        <v>0</v>
      </c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2" bestFit="1" customWidth="1"/>
    <col min="2" max="2" width="12.77734375" style="102" bestFit="1" customWidth="1"/>
    <col min="3" max="3" width="13.6640625" style="102" bestFit="1" customWidth="1"/>
    <col min="4" max="15" width="7.77734375" style="102" bestFit="1" customWidth="1"/>
    <col min="16" max="16" width="8.88671875" style="102" customWidth="1"/>
    <col min="17" max="17" width="6.6640625" style="102" bestFit="1" customWidth="1"/>
    <col min="18" max="16384" width="8.88671875" style="102"/>
  </cols>
  <sheetData>
    <row r="1" spans="1:17" s="174" customFormat="1" ht="18.600000000000001" customHeight="1" thickBot="1" x14ac:dyDescent="0.4">
      <c r="A1" s="272" t="s">
        <v>217</v>
      </c>
      <c r="B1" s="272"/>
      <c r="C1" s="272"/>
      <c r="D1" s="272"/>
      <c r="E1" s="272"/>
      <c r="F1" s="272"/>
      <c r="G1" s="272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4" customFormat="1" ht="14.4" customHeight="1" thickBot="1" x14ac:dyDescent="0.3">
      <c r="A2" s="192" t="s">
        <v>215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4.4" customHeight="1" x14ac:dyDescent="0.3">
      <c r="A3" s="59"/>
      <c r="B3" s="273" t="s">
        <v>4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110"/>
      <c r="Q3" s="112"/>
    </row>
    <row r="4" spans="1:17" ht="14.4" customHeight="1" x14ac:dyDescent="0.3">
      <c r="A4" s="60"/>
      <c r="B4" s="20">
        <v>2015</v>
      </c>
      <c r="C4" s="111" t="s">
        <v>5</v>
      </c>
      <c r="D4" s="101" t="s">
        <v>193</v>
      </c>
      <c r="E4" s="101" t="s">
        <v>194</v>
      </c>
      <c r="F4" s="101" t="s">
        <v>195</v>
      </c>
      <c r="G4" s="101" t="s">
        <v>196</v>
      </c>
      <c r="H4" s="101" t="s">
        <v>197</v>
      </c>
      <c r="I4" s="101" t="s">
        <v>198</v>
      </c>
      <c r="J4" s="101" t="s">
        <v>199</v>
      </c>
      <c r="K4" s="101" t="s">
        <v>200</v>
      </c>
      <c r="L4" s="101" t="s">
        <v>201</v>
      </c>
      <c r="M4" s="101" t="s">
        <v>202</v>
      </c>
      <c r="N4" s="101" t="s">
        <v>203</v>
      </c>
      <c r="O4" s="101" t="s">
        <v>204</v>
      </c>
      <c r="P4" s="275" t="s">
        <v>1</v>
      </c>
      <c r="Q4" s="276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216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216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216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216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216</v>
      </c>
    </row>
    <row r="11" spans="1:17" ht="14.4" customHeight="1" x14ac:dyDescent="0.3">
      <c r="A11" s="15" t="s">
        <v>14</v>
      </c>
      <c r="B11" s="46">
        <v>4.3062894542860004</v>
      </c>
      <c r="C11" s="47">
        <v>0.358857454523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</v>
      </c>
      <c r="Q11" s="70">
        <v>0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216</v>
      </c>
    </row>
    <row r="13" spans="1:17" ht="14.4" customHeight="1" x14ac:dyDescent="0.3">
      <c r="A13" s="15" t="s">
        <v>16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 t="s">
        <v>216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216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216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216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216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216</v>
      </c>
    </row>
    <row r="19" spans="1:17" ht="14.4" customHeight="1" x14ac:dyDescent="0.3">
      <c r="A19" s="15" t="s">
        <v>22</v>
      </c>
      <c r="B19" s="46">
        <v>6.8329062649999999E-3</v>
      </c>
      <c r="C19" s="47">
        <v>5.6940885500000003E-4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1693.5435198791599</v>
      </c>
      <c r="C20" s="47">
        <v>141.12862665659699</v>
      </c>
      <c r="D20" s="47">
        <v>127.03761</v>
      </c>
      <c r="E20" s="47">
        <v>114.08555</v>
      </c>
      <c r="F20" s="47">
        <v>114.91518000000001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356.03834000000001</v>
      </c>
      <c r="Q20" s="70">
        <v>0.84093106748199997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216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216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216</v>
      </c>
    </row>
    <row r="24" spans="1:17" ht="14.4" customHeight="1" x14ac:dyDescent="0.3">
      <c r="A24" s="16" t="s">
        <v>27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70" t="s">
        <v>216</v>
      </c>
    </row>
    <row r="25" spans="1:17" ht="14.4" customHeight="1" x14ac:dyDescent="0.3">
      <c r="A25" s="17" t="s">
        <v>28</v>
      </c>
      <c r="B25" s="49">
        <v>1697.85664223972</v>
      </c>
      <c r="C25" s="50">
        <v>141.48805351997601</v>
      </c>
      <c r="D25" s="50">
        <v>127.03761</v>
      </c>
      <c r="E25" s="50">
        <v>114.08555</v>
      </c>
      <c r="F25" s="50">
        <v>114.91518000000001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356.03834000000001</v>
      </c>
      <c r="Q25" s="71">
        <v>0.83879482199400002</v>
      </c>
    </row>
    <row r="26" spans="1:17" ht="14.4" customHeight="1" x14ac:dyDescent="0.3">
      <c r="A26" s="15" t="s">
        <v>29</v>
      </c>
      <c r="B26" s="46">
        <v>0</v>
      </c>
      <c r="C26" s="47">
        <v>0</v>
      </c>
      <c r="D26" s="47">
        <v>21.42699</v>
      </c>
      <c r="E26" s="47">
        <v>19.515450000000001</v>
      </c>
      <c r="F26" s="47">
        <v>22.171420000000001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63.113860000000003</v>
      </c>
      <c r="Q26" s="70" t="s">
        <v>216</v>
      </c>
    </row>
    <row r="27" spans="1:17" ht="14.4" customHeight="1" x14ac:dyDescent="0.3">
      <c r="A27" s="18" t="s">
        <v>30</v>
      </c>
      <c r="B27" s="49">
        <v>1697.85664223972</v>
      </c>
      <c r="C27" s="50">
        <v>141.48805351997601</v>
      </c>
      <c r="D27" s="50">
        <v>148.46459999999999</v>
      </c>
      <c r="E27" s="50">
        <v>133.601</v>
      </c>
      <c r="F27" s="50">
        <v>137.0866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419.15219999999999</v>
      </c>
      <c r="Q27" s="71">
        <v>0.98748549099399996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216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216</v>
      </c>
    </row>
    <row r="32" spans="1:17" ht="14.4" customHeight="1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ht="14.4" customHeight="1" x14ac:dyDescent="0.3">
      <c r="A33" s="85" t="s">
        <v>110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17" ht="14.4" customHeight="1" x14ac:dyDescent="0.3">
      <c r="A34" s="108" t="s">
        <v>213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ht="14.4" customHeight="1" x14ac:dyDescent="0.3">
      <c r="A35" s="109" t="s">
        <v>35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6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2" customWidth="1"/>
    <col min="2" max="11" width="10" style="102" customWidth="1"/>
    <col min="12" max="16384" width="8.88671875" style="102"/>
  </cols>
  <sheetData>
    <row r="1" spans="1:11" s="55" customFormat="1" ht="18.600000000000001" customHeight="1" thickBot="1" x14ac:dyDescent="0.4">
      <c r="A1" s="272" t="s">
        <v>36</v>
      </c>
      <c r="B1" s="272"/>
      <c r="C1" s="272"/>
      <c r="D1" s="272"/>
      <c r="E1" s="272"/>
      <c r="F1" s="272"/>
      <c r="G1" s="272"/>
      <c r="H1" s="277"/>
      <c r="I1" s="277"/>
      <c r="J1" s="277"/>
      <c r="K1" s="277"/>
    </row>
    <row r="2" spans="1:11" s="55" customFormat="1" ht="14.4" customHeight="1" thickBot="1" x14ac:dyDescent="0.35">
      <c r="A2" s="192" t="s">
        <v>215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3" t="s">
        <v>37</v>
      </c>
      <c r="C3" s="274"/>
      <c r="D3" s="274"/>
      <c r="E3" s="274"/>
      <c r="F3" s="280" t="s">
        <v>38</v>
      </c>
      <c r="G3" s="274"/>
      <c r="H3" s="274"/>
      <c r="I3" s="274"/>
      <c r="J3" s="274"/>
      <c r="K3" s="281"/>
    </row>
    <row r="4" spans="1:11" ht="14.4" customHeight="1" x14ac:dyDescent="0.3">
      <c r="A4" s="60"/>
      <c r="B4" s="278"/>
      <c r="C4" s="279"/>
      <c r="D4" s="279"/>
      <c r="E4" s="279"/>
      <c r="F4" s="282" t="s">
        <v>209</v>
      </c>
      <c r="G4" s="284" t="s">
        <v>39</v>
      </c>
      <c r="H4" s="113" t="s">
        <v>102</v>
      </c>
      <c r="I4" s="282" t="s">
        <v>40</v>
      </c>
      <c r="J4" s="284" t="s">
        <v>211</v>
      </c>
      <c r="K4" s="285" t="s">
        <v>212</v>
      </c>
    </row>
    <row r="5" spans="1:11" ht="42" thickBot="1" x14ac:dyDescent="0.35">
      <c r="A5" s="61"/>
      <c r="B5" s="24" t="s">
        <v>205</v>
      </c>
      <c r="C5" s="25" t="s">
        <v>206</v>
      </c>
      <c r="D5" s="26" t="s">
        <v>207</v>
      </c>
      <c r="E5" s="26" t="s">
        <v>208</v>
      </c>
      <c r="F5" s="283"/>
      <c r="G5" s="283"/>
      <c r="H5" s="25" t="s">
        <v>210</v>
      </c>
      <c r="I5" s="283"/>
      <c r="J5" s="283"/>
      <c r="K5" s="286"/>
    </row>
    <row r="6" spans="1:11" ht="14.4" customHeight="1" thickBot="1" x14ac:dyDescent="0.35">
      <c r="A6" s="329" t="s">
        <v>218</v>
      </c>
      <c r="B6" s="311">
        <v>1732.96179687734</v>
      </c>
      <c r="C6" s="311">
        <v>1540.22019</v>
      </c>
      <c r="D6" s="312">
        <v>-192.74160687733601</v>
      </c>
      <c r="E6" s="313">
        <v>0.88877907913200005</v>
      </c>
      <c r="F6" s="311">
        <v>1697.85664223972</v>
      </c>
      <c r="G6" s="312">
        <v>424.46416055992898</v>
      </c>
      <c r="H6" s="314">
        <v>114.91518000000001</v>
      </c>
      <c r="I6" s="311">
        <v>356.03834000000001</v>
      </c>
      <c r="J6" s="312">
        <v>-68.425820559927999</v>
      </c>
      <c r="K6" s="315">
        <v>0.20969870549799999</v>
      </c>
    </row>
    <row r="7" spans="1:11" ht="14.4" customHeight="1" thickBot="1" x14ac:dyDescent="0.35">
      <c r="A7" s="330" t="s">
        <v>219</v>
      </c>
      <c r="B7" s="311">
        <v>0.95855070338299997</v>
      </c>
      <c r="C7" s="311">
        <v>1.60684</v>
      </c>
      <c r="D7" s="312">
        <v>0.64828929661599999</v>
      </c>
      <c r="E7" s="313">
        <v>1.676322383707</v>
      </c>
      <c r="F7" s="311">
        <v>4.3062894542860004</v>
      </c>
      <c r="G7" s="312">
        <v>1.0765723635710001</v>
      </c>
      <c r="H7" s="314">
        <v>0</v>
      </c>
      <c r="I7" s="311">
        <v>0</v>
      </c>
      <c r="J7" s="312">
        <v>-1.0765723635710001</v>
      </c>
      <c r="K7" s="315">
        <v>0</v>
      </c>
    </row>
    <row r="8" spans="1:11" ht="14.4" customHeight="1" thickBot="1" x14ac:dyDescent="0.35">
      <c r="A8" s="331" t="s">
        <v>220</v>
      </c>
      <c r="B8" s="311">
        <v>0.95855070338299997</v>
      </c>
      <c r="C8" s="311">
        <v>1.60684</v>
      </c>
      <c r="D8" s="312">
        <v>0.64828929661599999</v>
      </c>
      <c r="E8" s="313">
        <v>1.676322383707</v>
      </c>
      <c r="F8" s="311">
        <v>4.3062894542860004</v>
      </c>
      <c r="G8" s="312">
        <v>1.0765723635710001</v>
      </c>
      <c r="H8" s="314">
        <v>0</v>
      </c>
      <c r="I8" s="311">
        <v>0</v>
      </c>
      <c r="J8" s="312">
        <v>-1.0765723635710001</v>
      </c>
      <c r="K8" s="315">
        <v>0</v>
      </c>
    </row>
    <row r="9" spans="1:11" ht="14.4" customHeight="1" thickBot="1" x14ac:dyDescent="0.35">
      <c r="A9" s="332" t="s">
        <v>221</v>
      </c>
      <c r="B9" s="316">
        <v>0.33331868456199998</v>
      </c>
      <c r="C9" s="316">
        <v>1.60684</v>
      </c>
      <c r="D9" s="317">
        <v>1.273521315437</v>
      </c>
      <c r="E9" s="318">
        <v>4.820731853391</v>
      </c>
      <c r="F9" s="316">
        <v>4.3062894542860004</v>
      </c>
      <c r="G9" s="317">
        <v>1.0765723635710001</v>
      </c>
      <c r="H9" s="319">
        <v>0</v>
      </c>
      <c r="I9" s="316">
        <v>0</v>
      </c>
      <c r="J9" s="317">
        <v>-1.0765723635710001</v>
      </c>
      <c r="K9" s="320">
        <v>0</v>
      </c>
    </row>
    <row r="10" spans="1:11" ht="14.4" customHeight="1" thickBot="1" x14ac:dyDescent="0.35">
      <c r="A10" s="333" t="s">
        <v>222</v>
      </c>
      <c r="B10" s="311">
        <v>0</v>
      </c>
      <c r="C10" s="311">
        <v>0.18</v>
      </c>
      <c r="D10" s="312">
        <v>0.18</v>
      </c>
      <c r="E10" s="321" t="s">
        <v>223</v>
      </c>
      <c r="F10" s="311">
        <v>0.31905168952099999</v>
      </c>
      <c r="G10" s="312">
        <v>7.9762922380000004E-2</v>
      </c>
      <c r="H10" s="314">
        <v>0</v>
      </c>
      <c r="I10" s="311">
        <v>0</v>
      </c>
      <c r="J10" s="312">
        <v>-7.9762922380000004E-2</v>
      </c>
      <c r="K10" s="315">
        <v>0</v>
      </c>
    </row>
    <row r="11" spans="1:11" ht="14.4" customHeight="1" thickBot="1" x14ac:dyDescent="0.35">
      <c r="A11" s="333" t="s">
        <v>224</v>
      </c>
      <c r="B11" s="311">
        <v>0</v>
      </c>
      <c r="C11" s="311">
        <v>0</v>
      </c>
      <c r="D11" s="312">
        <v>0</v>
      </c>
      <c r="E11" s="313">
        <v>1</v>
      </c>
      <c r="F11" s="311">
        <v>1</v>
      </c>
      <c r="G11" s="312">
        <v>0.25</v>
      </c>
      <c r="H11" s="314">
        <v>0</v>
      </c>
      <c r="I11" s="311">
        <v>0</v>
      </c>
      <c r="J11" s="312">
        <v>-0.25</v>
      </c>
      <c r="K11" s="315">
        <v>0</v>
      </c>
    </row>
    <row r="12" spans="1:11" ht="14.4" customHeight="1" thickBot="1" x14ac:dyDescent="0.35">
      <c r="A12" s="333" t="s">
        <v>225</v>
      </c>
      <c r="B12" s="311">
        <v>0.33331868456199998</v>
      </c>
      <c r="C12" s="311">
        <v>0.34644000000000003</v>
      </c>
      <c r="D12" s="312">
        <v>1.3121315437E-2</v>
      </c>
      <c r="E12" s="313">
        <v>1.039365676289</v>
      </c>
      <c r="F12" s="311">
        <v>1</v>
      </c>
      <c r="G12" s="312">
        <v>0.25</v>
      </c>
      <c r="H12" s="314">
        <v>0</v>
      </c>
      <c r="I12" s="311">
        <v>0</v>
      </c>
      <c r="J12" s="312">
        <v>-0.25</v>
      </c>
      <c r="K12" s="315">
        <v>0</v>
      </c>
    </row>
    <row r="13" spans="1:11" ht="14.4" customHeight="1" thickBot="1" x14ac:dyDescent="0.35">
      <c r="A13" s="333" t="s">
        <v>226</v>
      </c>
      <c r="B13" s="311">
        <v>0</v>
      </c>
      <c r="C13" s="311">
        <v>0.99839999999999995</v>
      </c>
      <c r="D13" s="312">
        <v>0.99839999999999995</v>
      </c>
      <c r="E13" s="321" t="s">
        <v>216</v>
      </c>
      <c r="F13" s="311">
        <v>0.98723776476500003</v>
      </c>
      <c r="G13" s="312">
        <v>0.24680944119100001</v>
      </c>
      <c r="H13" s="314">
        <v>0</v>
      </c>
      <c r="I13" s="311">
        <v>0</v>
      </c>
      <c r="J13" s="312">
        <v>-0.24680944119100001</v>
      </c>
      <c r="K13" s="315">
        <v>0</v>
      </c>
    </row>
    <row r="14" spans="1:11" ht="14.4" customHeight="1" thickBot="1" x14ac:dyDescent="0.35">
      <c r="A14" s="333" t="s">
        <v>227</v>
      </c>
      <c r="B14" s="311">
        <v>0</v>
      </c>
      <c r="C14" s="311">
        <v>8.2000000000000003E-2</v>
      </c>
      <c r="D14" s="312">
        <v>8.2000000000000003E-2</v>
      </c>
      <c r="E14" s="321" t="s">
        <v>223</v>
      </c>
      <c r="F14" s="311">
        <v>1</v>
      </c>
      <c r="G14" s="312">
        <v>0.25</v>
      </c>
      <c r="H14" s="314">
        <v>0</v>
      </c>
      <c r="I14" s="311">
        <v>0</v>
      </c>
      <c r="J14" s="312">
        <v>-0.25</v>
      </c>
      <c r="K14" s="315">
        <v>0</v>
      </c>
    </row>
    <row r="15" spans="1:11" ht="14.4" customHeight="1" thickBot="1" x14ac:dyDescent="0.35">
      <c r="A15" s="332" t="s">
        <v>228</v>
      </c>
      <c r="B15" s="316">
        <v>0.62523201882000001</v>
      </c>
      <c r="C15" s="316">
        <v>0</v>
      </c>
      <c r="D15" s="317">
        <v>-0.62523201882000001</v>
      </c>
      <c r="E15" s="318">
        <v>0</v>
      </c>
      <c r="F15" s="316">
        <v>0</v>
      </c>
      <c r="G15" s="317">
        <v>0</v>
      </c>
      <c r="H15" s="319">
        <v>0</v>
      </c>
      <c r="I15" s="316">
        <v>0</v>
      </c>
      <c r="J15" s="317">
        <v>0</v>
      </c>
      <c r="K15" s="320">
        <v>3</v>
      </c>
    </row>
    <row r="16" spans="1:11" ht="14.4" customHeight="1" thickBot="1" x14ac:dyDescent="0.35">
      <c r="A16" s="333" t="s">
        <v>229</v>
      </c>
      <c r="B16" s="311">
        <v>0.62523201882000001</v>
      </c>
      <c r="C16" s="311">
        <v>0</v>
      </c>
      <c r="D16" s="312">
        <v>-0.62523201882000001</v>
      </c>
      <c r="E16" s="313">
        <v>0</v>
      </c>
      <c r="F16" s="311">
        <v>0</v>
      </c>
      <c r="G16" s="312">
        <v>0</v>
      </c>
      <c r="H16" s="314">
        <v>0</v>
      </c>
      <c r="I16" s="311">
        <v>0</v>
      </c>
      <c r="J16" s="312">
        <v>0</v>
      </c>
      <c r="K16" s="315">
        <v>3</v>
      </c>
    </row>
    <row r="17" spans="1:11" ht="14.4" customHeight="1" thickBot="1" x14ac:dyDescent="0.35">
      <c r="A17" s="334" t="s">
        <v>230</v>
      </c>
      <c r="B17" s="316">
        <v>-5.3815686699999997E-3</v>
      </c>
      <c r="C17" s="316">
        <v>6.1199999999999996E-3</v>
      </c>
      <c r="D17" s="317">
        <v>1.150156867E-2</v>
      </c>
      <c r="E17" s="318">
        <v>-1.137214885581</v>
      </c>
      <c r="F17" s="316">
        <v>6.8329062649999999E-3</v>
      </c>
      <c r="G17" s="317">
        <v>1.7082265660000001E-3</v>
      </c>
      <c r="H17" s="319">
        <v>0</v>
      </c>
      <c r="I17" s="316">
        <v>0</v>
      </c>
      <c r="J17" s="317">
        <v>-1.7082265660000001E-3</v>
      </c>
      <c r="K17" s="320">
        <v>0</v>
      </c>
    </row>
    <row r="18" spans="1:11" ht="14.4" customHeight="1" thickBot="1" x14ac:dyDescent="0.35">
      <c r="A18" s="331" t="s">
        <v>22</v>
      </c>
      <c r="B18" s="311">
        <v>-5.3815686699999997E-3</v>
      </c>
      <c r="C18" s="311">
        <v>6.1199999999999996E-3</v>
      </c>
      <c r="D18" s="312">
        <v>1.150156867E-2</v>
      </c>
      <c r="E18" s="313">
        <v>-1.137214885581</v>
      </c>
      <c r="F18" s="311">
        <v>6.8329062649999999E-3</v>
      </c>
      <c r="G18" s="312">
        <v>1.7082265660000001E-3</v>
      </c>
      <c r="H18" s="314">
        <v>0</v>
      </c>
      <c r="I18" s="311">
        <v>0</v>
      </c>
      <c r="J18" s="312">
        <v>-1.7082265660000001E-3</v>
      </c>
      <c r="K18" s="315">
        <v>0</v>
      </c>
    </row>
    <row r="19" spans="1:11" ht="14.4" customHeight="1" thickBot="1" x14ac:dyDescent="0.35">
      <c r="A19" s="332" t="s">
        <v>231</v>
      </c>
      <c r="B19" s="316">
        <v>-5.3815686699999997E-3</v>
      </c>
      <c r="C19" s="316">
        <v>6.1199999999999996E-3</v>
      </c>
      <c r="D19" s="317">
        <v>1.150156867E-2</v>
      </c>
      <c r="E19" s="318">
        <v>-1.137214885581</v>
      </c>
      <c r="F19" s="316">
        <v>6.8329062649999999E-3</v>
      </c>
      <c r="G19" s="317">
        <v>1.7082265660000001E-3</v>
      </c>
      <c r="H19" s="319">
        <v>0</v>
      </c>
      <c r="I19" s="316">
        <v>0</v>
      </c>
      <c r="J19" s="317">
        <v>-1.7082265660000001E-3</v>
      </c>
      <c r="K19" s="320">
        <v>0</v>
      </c>
    </row>
    <row r="20" spans="1:11" ht="14.4" customHeight="1" thickBot="1" x14ac:dyDescent="0.35">
      <c r="A20" s="333" t="s">
        <v>232</v>
      </c>
      <c r="B20" s="311">
        <v>-5.3815686699999997E-3</v>
      </c>
      <c r="C20" s="311">
        <v>6.1199999999999996E-3</v>
      </c>
      <c r="D20" s="312">
        <v>1.150156867E-2</v>
      </c>
      <c r="E20" s="313">
        <v>-1.137214885581</v>
      </c>
      <c r="F20" s="311">
        <v>6.8329062649999999E-3</v>
      </c>
      <c r="G20" s="312">
        <v>1.7082265660000001E-3</v>
      </c>
      <c r="H20" s="314">
        <v>0</v>
      </c>
      <c r="I20" s="311">
        <v>0</v>
      </c>
      <c r="J20" s="312">
        <v>-1.7082265660000001E-3</v>
      </c>
      <c r="K20" s="315">
        <v>0</v>
      </c>
    </row>
    <row r="21" spans="1:11" ht="14.4" customHeight="1" thickBot="1" x14ac:dyDescent="0.35">
      <c r="A21" s="330" t="s">
        <v>23</v>
      </c>
      <c r="B21" s="311">
        <v>1732.0086277426201</v>
      </c>
      <c r="C21" s="311">
        <v>1535.1072300000001</v>
      </c>
      <c r="D21" s="312">
        <v>-196.901397742623</v>
      </c>
      <c r="E21" s="313">
        <v>0.88631615651899998</v>
      </c>
      <c r="F21" s="311">
        <v>1693.5435198791599</v>
      </c>
      <c r="G21" s="312">
        <v>423.38587996979101</v>
      </c>
      <c r="H21" s="314">
        <v>114.91518000000001</v>
      </c>
      <c r="I21" s="311">
        <v>356.03834000000001</v>
      </c>
      <c r="J21" s="312">
        <v>-67.347539969790006</v>
      </c>
      <c r="K21" s="315">
        <v>0.21023276687</v>
      </c>
    </row>
    <row r="22" spans="1:11" ht="14.4" customHeight="1" thickBot="1" x14ac:dyDescent="0.35">
      <c r="A22" s="335" t="s">
        <v>233</v>
      </c>
      <c r="B22" s="316">
        <v>1282.99999999998</v>
      </c>
      <c r="C22" s="316">
        <v>1144.5319999999999</v>
      </c>
      <c r="D22" s="317">
        <v>-138.467999999976</v>
      </c>
      <c r="E22" s="318">
        <v>0.89207482462900001</v>
      </c>
      <c r="F22" s="316">
        <v>1254.12876931146</v>
      </c>
      <c r="G22" s="317">
        <v>313.53219232786603</v>
      </c>
      <c r="H22" s="319">
        <v>85.775999999999996</v>
      </c>
      <c r="I22" s="316">
        <v>265.42700000000002</v>
      </c>
      <c r="J22" s="317">
        <v>-48.105192327866</v>
      </c>
      <c r="K22" s="320">
        <v>0.211642541416</v>
      </c>
    </row>
    <row r="23" spans="1:11" ht="14.4" customHeight="1" thickBot="1" x14ac:dyDescent="0.35">
      <c r="A23" s="332" t="s">
        <v>234</v>
      </c>
      <c r="B23" s="316">
        <v>1277.99999999998</v>
      </c>
      <c r="C23" s="316">
        <v>1144.5319999999999</v>
      </c>
      <c r="D23" s="317">
        <v>-133.467999999976</v>
      </c>
      <c r="E23" s="318">
        <v>0.89556494522600005</v>
      </c>
      <c r="F23" s="316">
        <v>1249.9999606280301</v>
      </c>
      <c r="G23" s="317">
        <v>312.49999015700701</v>
      </c>
      <c r="H23" s="319">
        <v>85.537000000000006</v>
      </c>
      <c r="I23" s="316">
        <v>265.18799999999999</v>
      </c>
      <c r="J23" s="317">
        <v>-47.311990157007003</v>
      </c>
      <c r="K23" s="320">
        <v>0.212150406682</v>
      </c>
    </row>
    <row r="24" spans="1:11" ht="14.4" customHeight="1" thickBot="1" x14ac:dyDescent="0.35">
      <c r="A24" s="333" t="s">
        <v>235</v>
      </c>
      <c r="B24" s="311">
        <v>1277.99999999998</v>
      </c>
      <c r="C24" s="311">
        <v>1144.5319999999999</v>
      </c>
      <c r="D24" s="312">
        <v>-133.467999999976</v>
      </c>
      <c r="E24" s="313">
        <v>0.89556494522600005</v>
      </c>
      <c r="F24" s="311">
        <v>1249.9999606280301</v>
      </c>
      <c r="G24" s="312">
        <v>312.49999015700701</v>
      </c>
      <c r="H24" s="314">
        <v>85.537000000000006</v>
      </c>
      <c r="I24" s="311">
        <v>265.18799999999999</v>
      </c>
      <c r="J24" s="312">
        <v>-47.311990157007003</v>
      </c>
      <c r="K24" s="315">
        <v>0.212150406682</v>
      </c>
    </row>
    <row r="25" spans="1:11" ht="14.4" customHeight="1" thickBot="1" x14ac:dyDescent="0.35">
      <c r="A25" s="332" t="s">
        <v>236</v>
      </c>
      <c r="B25" s="316">
        <v>4.9999999999989999</v>
      </c>
      <c r="C25" s="316">
        <v>0</v>
      </c>
      <c r="D25" s="317">
        <v>-4.9999999999989999</v>
      </c>
      <c r="E25" s="318">
        <v>0</v>
      </c>
      <c r="F25" s="316">
        <v>4.1288086834350004</v>
      </c>
      <c r="G25" s="317">
        <v>1.032202170858</v>
      </c>
      <c r="H25" s="319">
        <v>0.23899999999999999</v>
      </c>
      <c r="I25" s="316">
        <v>0.23899999999999999</v>
      </c>
      <c r="J25" s="317">
        <v>-0.79320217085800004</v>
      </c>
      <c r="K25" s="320">
        <v>5.7885946849000003E-2</v>
      </c>
    </row>
    <row r="26" spans="1:11" ht="14.4" customHeight="1" thickBot="1" x14ac:dyDescent="0.35">
      <c r="A26" s="333" t="s">
        <v>237</v>
      </c>
      <c r="B26" s="311">
        <v>4.9999999999989999</v>
      </c>
      <c r="C26" s="311">
        <v>0</v>
      </c>
      <c r="D26" s="312">
        <v>-4.9999999999989999</v>
      </c>
      <c r="E26" s="313">
        <v>0</v>
      </c>
      <c r="F26" s="311">
        <v>4.1288086834350004</v>
      </c>
      <c r="G26" s="312">
        <v>1.032202170858</v>
      </c>
      <c r="H26" s="314">
        <v>0.23899999999999999</v>
      </c>
      <c r="I26" s="311">
        <v>0.23899999999999999</v>
      </c>
      <c r="J26" s="312">
        <v>-0.79320217085800004</v>
      </c>
      <c r="K26" s="315">
        <v>5.7885946849000003E-2</v>
      </c>
    </row>
    <row r="27" spans="1:11" ht="14.4" customHeight="1" thickBot="1" x14ac:dyDescent="0.35">
      <c r="A27" s="331" t="s">
        <v>238</v>
      </c>
      <c r="B27" s="311">
        <v>436.00862774264698</v>
      </c>
      <c r="C27" s="311">
        <v>379.08800000000002</v>
      </c>
      <c r="D27" s="312">
        <v>-56.920627742645998</v>
      </c>
      <c r="E27" s="313">
        <v>0.86945068486900001</v>
      </c>
      <c r="F27" s="311">
        <v>425.99998658203202</v>
      </c>
      <c r="G27" s="312">
        <v>106.49999664550801</v>
      </c>
      <c r="H27" s="314">
        <v>28.281500000000001</v>
      </c>
      <c r="I27" s="311">
        <v>87.957999999999998</v>
      </c>
      <c r="J27" s="312">
        <v>-18.541996645508</v>
      </c>
      <c r="K27" s="315">
        <v>0.20647418490700001</v>
      </c>
    </row>
    <row r="28" spans="1:11" ht="14.4" customHeight="1" thickBot="1" x14ac:dyDescent="0.35">
      <c r="A28" s="332" t="s">
        <v>239</v>
      </c>
      <c r="B28" s="316">
        <v>116.008627742653</v>
      </c>
      <c r="C28" s="316">
        <v>103.002</v>
      </c>
      <c r="D28" s="317">
        <v>-13.006627742653</v>
      </c>
      <c r="E28" s="318">
        <v>0.88788223776300002</v>
      </c>
      <c r="F28" s="316">
        <v>112.999996440774</v>
      </c>
      <c r="G28" s="317">
        <v>28.249999110192999</v>
      </c>
      <c r="H28" s="319">
        <v>7.6980000000000004</v>
      </c>
      <c r="I28" s="316">
        <v>23.867000000000001</v>
      </c>
      <c r="J28" s="317">
        <v>-4.3829991101930004</v>
      </c>
      <c r="K28" s="320">
        <v>0.21121239603299999</v>
      </c>
    </row>
    <row r="29" spans="1:11" ht="14.4" customHeight="1" thickBot="1" x14ac:dyDescent="0.35">
      <c r="A29" s="333" t="s">
        <v>240</v>
      </c>
      <c r="B29" s="311">
        <v>116.008627742653</v>
      </c>
      <c r="C29" s="311">
        <v>103.002</v>
      </c>
      <c r="D29" s="312">
        <v>-13.006627742653</v>
      </c>
      <c r="E29" s="313">
        <v>0.88788223776300002</v>
      </c>
      <c r="F29" s="311">
        <v>112.999996440774</v>
      </c>
      <c r="G29" s="312">
        <v>28.249999110192999</v>
      </c>
      <c r="H29" s="314">
        <v>7.6980000000000004</v>
      </c>
      <c r="I29" s="311">
        <v>23.867000000000001</v>
      </c>
      <c r="J29" s="312">
        <v>-4.3829991101930004</v>
      </c>
      <c r="K29" s="315">
        <v>0.21121239603299999</v>
      </c>
    </row>
    <row r="30" spans="1:11" ht="14.4" customHeight="1" thickBot="1" x14ac:dyDescent="0.35">
      <c r="A30" s="332" t="s">
        <v>241</v>
      </c>
      <c r="B30" s="316">
        <v>319.99999999999301</v>
      </c>
      <c r="C30" s="316">
        <v>276.08600000000001</v>
      </c>
      <c r="D30" s="317">
        <v>-43.913999999993003</v>
      </c>
      <c r="E30" s="318">
        <v>0.86276874999999997</v>
      </c>
      <c r="F30" s="316">
        <v>312.99999014125899</v>
      </c>
      <c r="G30" s="317">
        <v>78.249997535313994</v>
      </c>
      <c r="H30" s="319">
        <v>20.583500000000001</v>
      </c>
      <c r="I30" s="316">
        <v>64.090999999999994</v>
      </c>
      <c r="J30" s="317">
        <v>-14.158997535314001</v>
      </c>
      <c r="K30" s="320">
        <v>0.204763584724</v>
      </c>
    </row>
    <row r="31" spans="1:11" ht="14.4" customHeight="1" thickBot="1" x14ac:dyDescent="0.35">
      <c r="A31" s="333" t="s">
        <v>242</v>
      </c>
      <c r="B31" s="311">
        <v>319.99999999999301</v>
      </c>
      <c r="C31" s="311">
        <v>276.08600000000001</v>
      </c>
      <c r="D31" s="312">
        <v>-43.913999999993003</v>
      </c>
      <c r="E31" s="313">
        <v>0.86276874999999997</v>
      </c>
      <c r="F31" s="311">
        <v>312.99999014125899</v>
      </c>
      <c r="G31" s="312">
        <v>78.249997535313994</v>
      </c>
      <c r="H31" s="314">
        <v>20.583500000000001</v>
      </c>
      <c r="I31" s="311">
        <v>64.090999999999994</v>
      </c>
      <c r="J31" s="312">
        <v>-14.158997535314001</v>
      </c>
      <c r="K31" s="315">
        <v>0.204763584724</v>
      </c>
    </row>
    <row r="32" spans="1:11" ht="14.4" customHeight="1" thickBot="1" x14ac:dyDescent="0.35">
      <c r="A32" s="331" t="s">
        <v>243</v>
      </c>
      <c r="B32" s="311">
        <v>12.999999999999</v>
      </c>
      <c r="C32" s="311">
        <v>11.48723</v>
      </c>
      <c r="D32" s="312">
        <v>-1.5127699999990001</v>
      </c>
      <c r="E32" s="313">
        <v>0.88363307692299997</v>
      </c>
      <c r="F32" s="311">
        <v>13.414763985666999</v>
      </c>
      <c r="G32" s="312">
        <v>3.3536909964160002</v>
      </c>
      <c r="H32" s="314">
        <v>0.85768</v>
      </c>
      <c r="I32" s="311">
        <v>2.65334</v>
      </c>
      <c r="J32" s="312">
        <v>-0.70035099641599996</v>
      </c>
      <c r="K32" s="315">
        <v>0.19779252194300001</v>
      </c>
    </row>
    <row r="33" spans="1:11" ht="14.4" customHeight="1" thickBot="1" x14ac:dyDescent="0.35">
      <c r="A33" s="332" t="s">
        <v>244</v>
      </c>
      <c r="B33" s="316">
        <v>12.999999999999</v>
      </c>
      <c r="C33" s="316">
        <v>11.48723</v>
      </c>
      <c r="D33" s="317">
        <v>-1.5127699999990001</v>
      </c>
      <c r="E33" s="318">
        <v>0.88363307692299997</v>
      </c>
      <c r="F33" s="316">
        <v>13.414763985666999</v>
      </c>
      <c r="G33" s="317">
        <v>3.3536909964160002</v>
      </c>
      <c r="H33" s="319">
        <v>0.85768</v>
      </c>
      <c r="I33" s="316">
        <v>2.65334</v>
      </c>
      <c r="J33" s="317">
        <v>-0.70035099641599996</v>
      </c>
      <c r="K33" s="320">
        <v>0.19779252194300001</v>
      </c>
    </row>
    <row r="34" spans="1:11" ht="14.4" customHeight="1" thickBot="1" x14ac:dyDescent="0.35">
      <c r="A34" s="333" t="s">
        <v>245</v>
      </c>
      <c r="B34" s="311">
        <v>12.999999999999</v>
      </c>
      <c r="C34" s="311">
        <v>11.48723</v>
      </c>
      <c r="D34" s="312">
        <v>-1.5127699999990001</v>
      </c>
      <c r="E34" s="313">
        <v>0.88363307692299997</v>
      </c>
      <c r="F34" s="311">
        <v>13.414763985666999</v>
      </c>
      <c r="G34" s="312">
        <v>3.3536909964160002</v>
      </c>
      <c r="H34" s="314">
        <v>0.85768</v>
      </c>
      <c r="I34" s="311">
        <v>2.65334</v>
      </c>
      <c r="J34" s="312">
        <v>-0.70035099641599996</v>
      </c>
      <c r="K34" s="315">
        <v>0.19779252194300001</v>
      </c>
    </row>
    <row r="35" spans="1:11" ht="14.4" customHeight="1" thickBot="1" x14ac:dyDescent="0.35">
      <c r="A35" s="330" t="s">
        <v>246</v>
      </c>
      <c r="B35" s="311">
        <v>0</v>
      </c>
      <c r="C35" s="311">
        <v>3.5</v>
      </c>
      <c r="D35" s="312">
        <v>3.5</v>
      </c>
      <c r="E35" s="321" t="s">
        <v>216</v>
      </c>
      <c r="F35" s="311">
        <v>0</v>
      </c>
      <c r="G35" s="312">
        <v>0</v>
      </c>
      <c r="H35" s="314">
        <v>0</v>
      </c>
      <c r="I35" s="311">
        <v>0</v>
      </c>
      <c r="J35" s="312">
        <v>0</v>
      </c>
      <c r="K35" s="322" t="s">
        <v>216</v>
      </c>
    </row>
    <row r="36" spans="1:11" ht="14.4" customHeight="1" thickBot="1" x14ac:dyDescent="0.35">
      <c r="A36" s="331" t="s">
        <v>247</v>
      </c>
      <c r="B36" s="311">
        <v>0</v>
      </c>
      <c r="C36" s="311">
        <v>3.5</v>
      </c>
      <c r="D36" s="312">
        <v>3.5</v>
      </c>
      <c r="E36" s="321" t="s">
        <v>216</v>
      </c>
      <c r="F36" s="311">
        <v>0</v>
      </c>
      <c r="G36" s="312">
        <v>0</v>
      </c>
      <c r="H36" s="314">
        <v>0</v>
      </c>
      <c r="I36" s="311">
        <v>0</v>
      </c>
      <c r="J36" s="312">
        <v>0</v>
      </c>
      <c r="K36" s="322" t="s">
        <v>216</v>
      </c>
    </row>
    <row r="37" spans="1:11" ht="14.4" customHeight="1" thickBot="1" x14ac:dyDescent="0.35">
      <c r="A37" s="332" t="s">
        <v>248</v>
      </c>
      <c r="B37" s="316">
        <v>0</v>
      </c>
      <c r="C37" s="316">
        <v>3.5</v>
      </c>
      <c r="D37" s="317">
        <v>3.5</v>
      </c>
      <c r="E37" s="323" t="s">
        <v>216</v>
      </c>
      <c r="F37" s="316">
        <v>0</v>
      </c>
      <c r="G37" s="317">
        <v>0</v>
      </c>
      <c r="H37" s="319">
        <v>0</v>
      </c>
      <c r="I37" s="316">
        <v>0</v>
      </c>
      <c r="J37" s="317">
        <v>0</v>
      </c>
      <c r="K37" s="324" t="s">
        <v>216</v>
      </c>
    </row>
    <row r="38" spans="1:11" ht="14.4" customHeight="1" thickBot="1" x14ac:dyDescent="0.35">
      <c r="A38" s="333" t="s">
        <v>249</v>
      </c>
      <c r="B38" s="311">
        <v>0</v>
      </c>
      <c r="C38" s="311">
        <v>3.5</v>
      </c>
      <c r="D38" s="312">
        <v>3.5</v>
      </c>
      <c r="E38" s="321" t="s">
        <v>216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22" t="s">
        <v>216</v>
      </c>
    </row>
    <row r="39" spans="1:11" ht="14.4" customHeight="1" thickBot="1" x14ac:dyDescent="0.35">
      <c r="A39" s="329" t="s">
        <v>250</v>
      </c>
      <c r="B39" s="311">
        <v>66.057504682323</v>
      </c>
      <c r="C39" s="311">
        <v>90.79177</v>
      </c>
      <c r="D39" s="312">
        <v>24.734265317676002</v>
      </c>
      <c r="E39" s="313">
        <v>1.374435356537</v>
      </c>
      <c r="F39" s="311">
        <v>44.000000000010999</v>
      </c>
      <c r="G39" s="312">
        <v>11.000000000002</v>
      </c>
      <c r="H39" s="314">
        <v>7.1619099999999998</v>
      </c>
      <c r="I39" s="311">
        <v>15.211869999999999</v>
      </c>
      <c r="J39" s="312">
        <v>4.211869999997</v>
      </c>
      <c r="K39" s="315">
        <v>0.34572431818100002</v>
      </c>
    </row>
    <row r="40" spans="1:11" ht="14.4" customHeight="1" thickBot="1" x14ac:dyDescent="0.35">
      <c r="A40" s="330" t="s">
        <v>251</v>
      </c>
      <c r="B40" s="311">
        <v>63</v>
      </c>
      <c r="C40" s="311">
        <v>44.062980000000003</v>
      </c>
      <c r="D40" s="312">
        <v>-18.93702</v>
      </c>
      <c r="E40" s="313">
        <v>0.69941238095199998</v>
      </c>
      <c r="F40" s="311">
        <v>44.000000000010999</v>
      </c>
      <c r="G40" s="312">
        <v>11.000000000002</v>
      </c>
      <c r="H40" s="314">
        <v>7.1619099999999998</v>
      </c>
      <c r="I40" s="311">
        <v>15.211869999999999</v>
      </c>
      <c r="J40" s="312">
        <v>4.211869999997</v>
      </c>
      <c r="K40" s="315">
        <v>0.34572431818100002</v>
      </c>
    </row>
    <row r="41" spans="1:11" ht="14.4" customHeight="1" thickBot="1" x14ac:dyDescent="0.35">
      <c r="A41" s="331" t="s">
        <v>252</v>
      </c>
      <c r="B41" s="311">
        <v>63</v>
      </c>
      <c r="C41" s="311">
        <v>44.062980000000003</v>
      </c>
      <c r="D41" s="312">
        <v>-18.93702</v>
      </c>
      <c r="E41" s="313">
        <v>0.69941238095199998</v>
      </c>
      <c r="F41" s="311">
        <v>44.000000000010999</v>
      </c>
      <c r="G41" s="312">
        <v>11.000000000002</v>
      </c>
      <c r="H41" s="314">
        <v>7.1619099999999998</v>
      </c>
      <c r="I41" s="311">
        <v>15.211869999999999</v>
      </c>
      <c r="J41" s="312">
        <v>4.211869999997</v>
      </c>
      <c r="K41" s="315">
        <v>0.34572431818100002</v>
      </c>
    </row>
    <row r="42" spans="1:11" ht="14.4" customHeight="1" thickBot="1" x14ac:dyDescent="0.35">
      <c r="A42" s="332" t="s">
        <v>253</v>
      </c>
      <c r="B42" s="316">
        <v>63</v>
      </c>
      <c r="C42" s="316">
        <v>39.99259</v>
      </c>
      <c r="D42" s="317">
        <v>-23.00741</v>
      </c>
      <c r="E42" s="318">
        <v>0.63480301587300003</v>
      </c>
      <c r="F42" s="316">
        <v>44.000000000010999</v>
      </c>
      <c r="G42" s="317">
        <v>11.000000000002</v>
      </c>
      <c r="H42" s="319">
        <v>7.1619099999999998</v>
      </c>
      <c r="I42" s="316">
        <v>15.223129999999999</v>
      </c>
      <c r="J42" s="317">
        <v>4.223129999997</v>
      </c>
      <c r="K42" s="320">
        <v>0.34598022727200001</v>
      </c>
    </row>
    <row r="43" spans="1:11" ht="14.4" customHeight="1" thickBot="1" x14ac:dyDescent="0.35">
      <c r="A43" s="333" t="s">
        <v>254</v>
      </c>
      <c r="B43" s="311">
        <v>31</v>
      </c>
      <c r="C43" s="311">
        <v>19.9404</v>
      </c>
      <c r="D43" s="312">
        <v>-11.0596</v>
      </c>
      <c r="E43" s="313">
        <v>0.64323870967700003</v>
      </c>
      <c r="F43" s="311">
        <v>23.000000000006001</v>
      </c>
      <c r="G43" s="312">
        <v>5.7500000000010001</v>
      </c>
      <c r="H43" s="314">
        <v>3.5814699999999999</v>
      </c>
      <c r="I43" s="311">
        <v>5.6985400000000004</v>
      </c>
      <c r="J43" s="312">
        <v>-5.1460000000999997E-2</v>
      </c>
      <c r="K43" s="315">
        <v>0.247762608695</v>
      </c>
    </row>
    <row r="44" spans="1:11" ht="14.4" customHeight="1" thickBot="1" x14ac:dyDescent="0.35">
      <c r="A44" s="333" t="s">
        <v>255</v>
      </c>
      <c r="B44" s="311">
        <v>32</v>
      </c>
      <c r="C44" s="311">
        <v>20.05219</v>
      </c>
      <c r="D44" s="312">
        <v>-11.94781</v>
      </c>
      <c r="E44" s="313">
        <v>0.62663093749999998</v>
      </c>
      <c r="F44" s="311">
        <v>21.000000000004999</v>
      </c>
      <c r="G44" s="312">
        <v>5.2500000000010001</v>
      </c>
      <c r="H44" s="314">
        <v>3.5804399999999998</v>
      </c>
      <c r="I44" s="311">
        <v>9.5245899999999999</v>
      </c>
      <c r="J44" s="312">
        <v>4.2745899999979997</v>
      </c>
      <c r="K44" s="315">
        <v>0.45355190476099999</v>
      </c>
    </row>
    <row r="45" spans="1:11" ht="14.4" customHeight="1" thickBot="1" x14ac:dyDescent="0.35">
      <c r="A45" s="332" t="s">
        <v>256</v>
      </c>
      <c r="B45" s="316">
        <v>0</v>
      </c>
      <c r="C45" s="316">
        <v>4.0703899999999997</v>
      </c>
      <c r="D45" s="317">
        <v>4.0703899999999997</v>
      </c>
      <c r="E45" s="323" t="s">
        <v>216</v>
      </c>
      <c r="F45" s="316">
        <v>0</v>
      </c>
      <c r="G45" s="317">
        <v>0</v>
      </c>
      <c r="H45" s="319">
        <v>0</v>
      </c>
      <c r="I45" s="316">
        <v>-1.1259999999999999E-2</v>
      </c>
      <c r="J45" s="317">
        <v>-1.1259999999999999E-2</v>
      </c>
      <c r="K45" s="324" t="s">
        <v>216</v>
      </c>
    </row>
    <row r="46" spans="1:11" ht="14.4" customHeight="1" thickBot="1" x14ac:dyDescent="0.35">
      <c r="A46" s="333" t="s">
        <v>257</v>
      </c>
      <c r="B46" s="311">
        <v>0</v>
      </c>
      <c r="C46" s="311">
        <v>0.19932</v>
      </c>
      <c r="D46" s="312">
        <v>0.19932</v>
      </c>
      <c r="E46" s="321" t="s">
        <v>216</v>
      </c>
      <c r="F46" s="311">
        <v>0</v>
      </c>
      <c r="G46" s="312">
        <v>0</v>
      </c>
      <c r="H46" s="314">
        <v>0</v>
      </c>
      <c r="I46" s="311">
        <v>0</v>
      </c>
      <c r="J46" s="312">
        <v>0</v>
      </c>
      <c r="K46" s="322" t="s">
        <v>216</v>
      </c>
    </row>
    <row r="47" spans="1:11" ht="14.4" customHeight="1" thickBot="1" x14ac:dyDescent="0.35">
      <c r="A47" s="333" t="s">
        <v>258</v>
      </c>
      <c r="B47" s="311">
        <v>0</v>
      </c>
      <c r="C47" s="311">
        <v>3.87107</v>
      </c>
      <c r="D47" s="312">
        <v>3.87107</v>
      </c>
      <c r="E47" s="321" t="s">
        <v>216</v>
      </c>
      <c r="F47" s="311">
        <v>0</v>
      </c>
      <c r="G47" s="312">
        <v>0</v>
      </c>
      <c r="H47" s="314">
        <v>0</v>
      </c>
      <c r="I47" s="311">
        <v>-1.1259999999999999E-2</v>
      </c>
      <c r="J47" s="312">
        <v>-1.1259999999999999E-2</v>
      </c>
      <c r="K47" s="322" t="s">
        <v>216</v>
      </c>
    </row>
    <row r="48" spans="1:11" ht="14.4" customHeight="1" thickBot="1" x14ac:dyDescent="0.35">
      <c r="A48" s="330" t="s">
        <v>259</v>
      </c>
      <c r="B48" s="311">
        <v>3.0575046823230001</v>
      </c>
      <c r="C48" s="311">
        <v>0</v>
      </c>
      <c r="D48" s="312">
        <v>-3.0575046823230001</v>
      </c>
      <c r="E48" s="313">
        <v>0</v>
      </c>
      <c r="F48" s="311">
        <v>0</v>
      </c>
      <c r="G48" s="312">
        <v>0</v>
      </c>
      <c r="H48" s="314">
        <v>0</v>
      </c>
      <c r="I48" s="311">
        <v>0</v>
      </c>
      <c r="J48" s="312">
        <v>0</v>
      </c>
      <c r="K48" s="322" t="s">
        <v>216</v>
      </c>
    </row>
    <row r="49" spans="1:11" ht="14.4" customHeight="1" thickBot="1" x14ac:dyDescent="0.35">
      <c r="A49" s="335" t="s">
        <v>260</v>
      </c>
      <c r="B49" s="316">
        <v>3.0575046823230001</v>
      </c>
      <c r="C49" s="316">
        <v>0</v>
      </c>
      <c r="D49" s="317">
        <v>-3.0575046823230001</v>
      </c>
      <c r="E49" s="318">
        <v>0</v>
      </c>
      <c r="F49" s="316">
        <v>0</v>
      </c>
      <c r="G49" s="317">
        <v>0</v>
      </c>
      <c r="H49" s="319">
        <v>0</v>
      </c>
      <c r="I49" s="316">
        <v>0</v>
      </c>
      <c r="J49" s="317">
        <v>0</v>
      </c>
      <c r="K49" s="324" t="s">
        <v>216</v>
      </c>
    </row>
    <row r="50" spans="1:11" ht="14.4" customHeight="1" thickBot="1" x14ac:dyDescent="0.35">
      <c r="A50" s="332" t="s">
        <v>261</v>
      </c>
      <c r="B50" s="316">
        <v>3.0575046823230001</v>
      </c>
      <c r="C50" s="316">
        <v>0</v>
      </c>
      <c r="D50" s="317">
        <v>-3.0575046823230001</v>
      </c>
      <c r="E50" s="318">
        <v>0</v>
      </c>
      <c r="F50" s="316">
        <v>0</v>
      </c>
      <c r="G50" s="317">
        <v>0</v>
      </c>
      <c r="H50" s="319">
        <v>0</v>
      </c>
      <c r="I50" s="316">
        <v>0</v>
      </c>
      <c r="J50" s="317">
        <v>0</v>
      </c>
      <c r="K50" s="320">
        <v>3</v>
      </c>
    </row>
    <row r="51" spans="1:11" ht="14.4" customHeight="1" thickBot="1" x14ac:dyDescent="0.35">
      <c r="A51" s="333" t="s">
        <v>262</v>
      </c>
      <c r="B51" s="311">
        <v>3.0575046823230001</v>
      </c>
      <c r="C51" s="311">
        <v>0</v>
      </c>
      <c r="D51" s="312">
        <v>-3.0575046823230001</v>
      </c>
      <c r="E51" s="313">
        <v>0</v>
      </c>
      <c r="F51" s="311">
        <v>0</v>
      </c>
      <c r="G51" s="312">
        <v>0</v>
      </c>
      <c r="H51" s="314">
        <v>0</v>
      </c>
      <c r="I51" s="311">
        <v>0</v>
      </c>
      <c r="J51" s="312">
        <v>0</v>
      </c>
      <c r="K51" s="315">
        <v>3</v>
      </c>
    </row>
    <row r="52" spans="1:11" ht="14.4" customHeight="1" thickBot="1" x14ac:dyDescent="0.35">
      <c r="A52" s="330" t="s">
        <v>263</v>
      </c>
      <c r="B52" s="311">
        <v>0</v>
      </c>
      <c r="C52" s="311">
        <v>46.728789999999996</v>
      </c>
      <c r="D52" s="312">
        <v>46.728789999999996</v>
      </c>
      <c r="E52" s="321" t="s">
        <v>223</v>
      </c>
      <c r="F52" s="311">
        <v>0</v>
      </c>
      <c r="G52" s="312">
        <v>0</v>
      </c>
      <c r="H52" s="314">
        <v>0</v>
      </c>
      <c r="I52" s="311">
        <v>0</v>
      </c>
      <c r="J52" s="312">
        <v>0</v>
      </c>
      <c r="K52" s="315">
        <v>3</v>
      </c>
    </row>
    <row r="53" spans="1:11" ht="14.4" customHeight="1" thickBot="1" x14ac:dyDescent="0.35">
      <c r="A53" s="335" t="s">
        <v>264</v>
      </c>
      <c r="B53" s="316">
        <v>0</v>
      </c>
      <c r="C53" s="316">
        <v>46.728789999999996</v>
      </c>
      <c r="D53" s="317">
        <v>46.728789999999996</v>
      </c>
      <c r="E53" s="323" t="s">
        <v>223</v>
      </c>
      <c r="F53" s="316">
        <v>0</v>
      </c>
      <c r="G53" s="317">
        <v>0</v>
      </c>
      <c r="H53" s="319">
        <v>0</v>
      </c>
      <c r="I53" s="316">
        <v>0</v>
      </c>
      <c r="J53" s="317">
        <v>0</v>
      </c>
      <c r="K53" s="320">
        <v>3</v>
      </c>
    </row>
    <row r="54" spans="1:11" ht="14.4" customHeight="1" thickBot="1" x14ac:dyDescent="0.35">
      <c r="A54" s="332" t="s">
        <v>265</v>
      </c>
      <c r="B54" s="316">
        <v>0</v>
      </c>
      <c r="C54" s="316">
        <v>46.728789999999996</v>
      </c>
      <c r="D54" s="317">
        <v>46.728789999999996</v>
      </c>
      <c r="E54" s="323" t="s">
        <v>223</v>
      </c>
      <c r="F54" s="316">
        <v>0</v>
      </c>
      <c r="G54" s="317">
        <v>0</v>
      </c>
      <c r="H54" s="319">
        <v>0</v>
      </c>
      <c r="I54" s="316">
        <v>0</v>
      </c>
      <c r="J54" s="317">
        <v>0</v>
      </c>
      <c r="K54" s="320">
        <v>3</v>
      </c>
    </row>
    <row r="55" spans="1:11" ht="14.4" customHeight="1" thickBot="1" x14ac:dyDescent="0.35">
      <c r="A55" s="333" t="s">
        <v>266</v>
      </c>
      <c r="B55" s="311">
        <v>0</v>
      </c>
      <c r="C55" s="311">
        <v>46.728789999999996</v>
      </c>
      <c r="D55" s="312">
        <v>46.728789999999996</v>
      </c>
      <c r="E55" s="321" t="s">
        <v>223</v>
      </c>
      <c r="F55" s="311">
        <v>0</v>
      </c>
      <c r="G55" s="312">
        <v>0</v>
      </c>
      <c r="H55" s="314">
        <v>0</v>
      </c>
      <c r="I55" s="311">
        <v>0</v>
      </c>
      <c r="J55" s="312">
        <v>0</v>
      </c>
      <c r="K55" s="315">
        <v>3</v>
      </c>
    </row>
    <row r="56" spans="1:11" ht="14.4" customHeight="1" thickBot="1" x14ac:dyDescent="0.35">
      <c r="A56" s="329" t="s">
        <v>267</v>
      </c>
      <c r="B56" s="311">
        <v>367</v>
      </c>
      <c r="C56" s="311">
        <v>328.03831000000002</v>
      </c>
      <c r="D56" s="312">
        <v>-38.961689999999997</v>
      </c>
      <c r="E56" s="313">
        <v>0.89383735694800004</v>
      </c>
      <c r="F56" s="311">
        <v>0</v>
      </c>
      <c r="G56" s="312">
        <v>0</v>
      </c>
      <c r="H56" s="314">
        <v>22.171420000000001</v>
      </c>
      <c r="I56" s="311">
        <v>63.113860000000003</v>
      </c>
      <c r="J56" s="312">
        <v>63.113860000000003</v>
      </c>
      <c r="K56" s="322" t="s">
        <v>216</v>
      </c>
    </row>
    <row r="57" spans="1:11" ht="14.4" customHeight="1" thickBot="1" x14ac:dyDescent="0.35">
      <c r="A57" s="334" t="s">
        <v>268</v>
      </c>
      <c r="B57" s="316">
        <v>367</v>
      </c>
      <c r="C57" s="316">
        <v>328.03831000000002</v>
      </c>
      <c r="D57" s="317">
        <v>-38.961689999999997</v>
      </c>
      <c r="E57" s="318">
        <v>0.89383735694800004</v>
      </c>
      <c r="F57" s="316">
        <v>0</v>
      </c>
      <c r="G57" s="317">
        <v>0</v>
      </c>
      <c r="H57" s="319">
        <v>22.171420000000001</v>
      </c>
      <c r="I57" s="316">
        <v>63.113860000000003</v>
      </c>
      <c r="J57" s="317">
        <v>63.113860000000003</v>
      </c>
      <c r="K57" s="324" t="s">
        <v>216</v>
      </c>
    </row>
    <row r="58" spans="1:11" ht="14.4" customHeight="1" thickBot="1" x14ac:dyDescent="0.35">
      <c r="A58" s="335" t="s">
        <v>29</v>
      </c>
      <c r="B58" s="316">
        <v>367</v>
      </c>
      <c r="C58" s="316">
        <v>328.03831000000002</v>
      </c>
      <c r="D58" s="317">
        <v>-38.961689999999997</v>
      </c>
      <c r="E58" s="318">
        <v>0.89383735694800004</v>
      </c>
      <c r="F58" s="316">
        <v>0</v>
      </c>
      <c r="G58" s="317">
        <v>0</v>
      </c>
      <c r="H58" s="319">
        <v>22.171420000000001</v>
      </c>
      <c r="I58" s="316">
        <v>63.113860000000003</v>
      </c>
      <c r="J58" s="317">
        <v>63.113860000000003</v>
      </c>
      <c r="K58" s="324" t="s">
        <v>216</v>
      </c>
    </row>
    <row r="59" spans="1:11" ht="14.4" customHeight="1" thickBot="1" x14ac:dyDescent="0.35">
      <c r="A59" s="332" t="s">
        <v>269</v>
      </c>
      <c r="B59" s="316">
        <v>179</v>
      </c>
      <c r="C59" s="316">
        <v>157.04347999999999</v>
      </c>
      <c r="D59" s="317">
        <v>-21.956520000000001</v>
      </c>
      <c r="E59" s="318">
        <v>0.87733787709400002</v>
      </c>
      <c r="F59" s="316">
        <v>0</v>
      </c>
      <c r="G59" s="317">
        <v>0</v>
      </c>
      <c r="H59" s="319">
        <v>8.4391499999999997</v>
      </c>
      <c r="I59" s="316">
        <v>23.981079999999999</v>
      </c>
      <c r="J59" s="317">
        <v>23.981079999999999</v>
      </c>
      <c r="K59" s="324" t="s">
        <v>216</v>
      </c>
    </row>
    <row r="60" spans="1:11" ht="14.4" customHeight="1" thickBot="1" x14ac:dyDescent="0.35">
      <c r="A60" s="333" t="s">
        <v>270</v>
      </c>
      <c r="B60" s="311">
        <v>178</v>
      </c>
      <c r="C60" s="311">
        <v>155.70818</v>
      </c>
      <c r="D60" s="312">
        <v>-22.291820000000001</v>
      </c>
      <c r="E60" s="313">
        <v>0.87476505617900002</v>
      </c>
      <c r="F60" s="311">
        <v>0</v>
      </c>
      <c r="G60" s="312">
        <v>0</v>
      </c>
      <c r="H60" s="314">
        <v>8.4391499999999997</v>
      </c>
      <c r="I60" s="311">
        <v>23.981079999999999</v>
      </c>
      <c r="J60" s="312">
        <v>23.981079999999999</v>
      </c>
      <c r="K60" s="322" t="s">
        <v>216</v>
      </c>
    </row>
    <row r="61" spans="1:11" ht="14.4" customHeight="1" thickBot="1" x14ac:dyDescent="0.35">
      <c r="A61" s="333" t="s">
        <v>271</v>
      </c>
      <c r="B61" s="311">
        <v>1</v>
      </c>
      <c r="C61" s="311">
        <v>1.3352999999999999</v>
      </c>
      <c r="D61" s="312">
        <v>0.33529999999900001</v>
      </c>
      <c r="E61" s="313">
        <v>1.3352999999999999</v>
      </c>
      <c r="F61" s="311">
        <v>0</v>
      </c>
      <c r="G61" s="312">
        <v>0</v>
      </c>
      <c r="H61" s="314">
        <v>0</v>
      </c>
      <c r="I61" s="311">
        <v>0</v>
      </c>
      <c r="J61" s="312">
        <v>0</v>
      </c>
      <c r="K61" s="322" t="s">
        <v>216</v>
      </c>
    </row>
    <row r="62" spans="1:11" ht="14.4" customHeight="1" thickBot="1" x14ac:dyDescent="0.35">
      <c r="A62" s="332" t="s">
        <v>272</v>
      </c>
      <c r="B62" s="316">
        <v>188</v>
      </c>
      <c r="C62" s="316">
        <v>170.99483000000001</v>
      </c>
      <c r="D62" s="317">
        <v>-17.00517</v>
      </c>
      <c r="E62" s="318">
        <v>0.90954696808500002</v>
      </c>
      <c r="F62" s="316">
        <v>0</v>
      </c>
      <c r="G62" s="317">
        <v>0</v>
      </c>
      <c r="H62" s="319">
        <v>13.73227</v>
      </c>
      <c r="I62" s="316">
        <v>39.132779999999997</v>
      </c>
      <c r="J62" s="317">
        <v>39.132779999999997</v>
      </c>
      <c r="K62" s="324" t="s">
        <v>216</v>
      </c>
    </row>
    <row r="63" spans="1:11" ht="14.4" customHeight="1" thickBot="1" x14ac:dyDescent="0.35">
      <c r="A63" s="333" t="s">
        <v>273</v>
      </c>
      <c r="B63" s="311">
        <v>188</v>
      </c>
      <c r="C63" s="311">
        <v>170.99483000000001</v>
      </c>
      <c r="D63" s="312">
        <v>-17.00517</v>
      </c>
      <c r="E63" s="313">
        <v>0.90954696808500002</v>
      </c>
      <c r="F63" s="311">
        <v>0</v>
      </c>
      <c r="G63" s="312">
        <v>0</v>
      </c>
      <c r="H63" s="314">
        <v>13.73227</v>
      </c>
      <c r="I63" s="311">
        <v>39.132779999999997</v>
      </c>
      <c r="J63" s="312">
        <v>39.132779999999997</v>
      </c>
      <c r="K63" s="322" t="s">
        <v>216</v>
      </c>
    </row>
    <row r="64" spans="1:11" ht="14.4" customHeight="1" thickBot="1" x14ac:dyDescent="0.35">
      <c r="A64" s="336"/>
      <c r="B64" s="311">
        <v>-2033.9042921950099</v>
      </c>
      <c r="C64" s="311">
        <v>-1777.4667300000001</v>
      </c>
      <c r="D64" s="312">
        <v>256.43756219501199</v>
      </c>
      <c r="E64" s="313">
        <v>0.87391856972799997</v>
      </c>
      <c r="F64" s="311">
        <v>-1653.85664223971</v>
      </c>
      <c r="G64" s="312">
        <v>-413.46416055992597</v>
      </c>
      <c r="H64" s="314">
        <v>-129.92469</v>
      </c>
      <c r="I64" s="311">
        <v>-403.94033000000002</v>
      </c>
      <c r="J64" s="312">
        <v>9.5238305599259991</v>
      </c>
      <c r="K64" s="315">
        <v>0.24424144129700001</v>
      </c>
    </row>
    <row r="65" spans="1:11" ht="14.4" customHeight="1" thickBot="1" x14ac:dyDescent="0.35">
      <c r="A65" s="337" t="s">
        <v>41</v>
      </c>
      <c r="B65" s="325">
        <v>-2033.9042921950099</v>
      </c>
      <c r="C65" s="325">
        <v>-1777.4667300000001</v>
      </c>
      <c r="D65" s="326">
        <v>256.43756219501199</v>
      </c>
      <c r="E65" s="327">
        <v>-0.40818107954299998</v>
      </c>
      <c r="F65" s="325">
        <v>-1653.85664223971</v>
      </c>
      <c r="G65" s="326">
        <v>-413.46416055992597</v>
      </c>
      <c r="H65" s="325">
        <v>-129.92469</v>
      </c>
      <c r="I65" s="325">
        <v>-403.94033000000002</v>
      </c>
      <c r="J65" s="326">
        <v>9.5238305599259991</v>
      </c>
      <c r="K65" s="328">
        <v>0.24424144129700001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21" width="13.109375" hidden="1" customWidth="1"/>
    <col min="22" max="22" width="13.109375" customWidth="1"/>
    <col min="23" max="33" width="13.109375" hidden="1" customWidth="1"/>
    <col min="34" max="34" width="13.109375" customWidth="1"/>
  </cols>
  <sheetData>
    <row r="1" spans="1:35" ht="18.600000000000001" thickBot="1" x14ac:dyDescent="0.4">
      <c r="A1" s="288" t="s">
        <v>82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2" spans="1:35" ht="15" thickBot="1" x14ac:dyDescent="0.35">
      <c r="A2" s="192" t="s">
        <v>215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5" x14ac:dyDescent="0.3">
      <c r="A3" s="211" t="s">
        <v>151</v>
      </c>
      <c r="B3" s="289" t="s">
        <v>132</v>
      </c>
      <c r="C3" s="194">
        <v>0</v>
      </c>
      <c r="D3" s="195">
        <v>101</v>
      </c>
      <c r="E3" s="195">
        <v>102</v>
      </c>
      <c r="F3" s="214">
        <v>305</v>
      </c>
      <c r="G3" s="214">
        <v>306</v>
      </c>
      <c r="H3" s="214">
        <v>407</v>
      </c>
      <c r="I3" s="214">
        <v>408</v>
      </c>
      <c r="J3" s="214">
        <v>409</v>
      </c>
      <c r="K3" s="214">
        <v>410</v>
      </c>
      <c r="L3" s="214">
        <v>415</v>
      </c>
      <c r="M3" s="214">
        <v>416</v>
      </c>
      <c r="N3" s="214">
        <v>418</v>
      </c>
      <c r="O3" s="214">
        <v>419</v>
      </c>
      <c r="P3" s="214">
        <v>420</v>
      </c>
      <c r="Q3" s="214">
        <v>421</v>
      </c>
      <c r="R3" s="214">
        <v>522</v>
      </c>
      <c r="S3" s="214">
        <v>523</v>
      </c>
      <c r="T3" s="214">
        <v>524</v>
      </c>
      <c r="U3" s="214">
        <v>525</v>
      </c>
      <c r="V3" s="214">
        <v>526</v>
      </c>
      <c r="W3" s="214">
        <v>527</v>
      </c>
      <c r="X3" s="214">
        <v>528</v>
      </c>
      <c r="Y3" s="214">
        <v>629</v>
      </c>
      <c r="Z3" s="214">
        <v>630</v>
      </c>
      <c r="AA3" s="214">
        <v>636</v>
      </c>
      <c r="AB3" s="214">
        <v>637</v>
      </c>
      <c r="AC3" s="214">
        <v>640</v>
      </c>
      <c r="AD3" s="214">
        <v>642</v>
      </c>
      <c r="AE3" s="214">
        <v>743</v>
      </c>
      <c r="AF3" s="195">
        <v>745</v>
      </c>
      <c r="AG3" s="195">
        <v>746</v>
      </c>
      <c r="AH3" s="347">
        <v>930</v>
      </c>
      <c r="AI3" s="363"/>
    </row>
    <row r="4" spans="1:35" ht="36.6" outlineLevel="1" thickBot="1" x14ac:dyDescent="0.35">
      <c r="A4" s="212">
        <v>2015</v>
      </c>
      <c r="B4" s="290"/>
      <c r="C4" s="196" t="s">
        <v>133</v>
      </c>
      <c r="D4" s="197" t="s">
        <v>134</v>
      </c>
      <c r="E4" s="197" t="s">
        <v>135</v>
      </c>
      <c r="F4" s="215" t="s">
        <v>163</v>
      </c>
      <c r="G4" s="215" t="s">
        <v>164</v>
      </c>
      <c r="H4" s="215" t="s">
        <v>214</v>
      </c>
      <c r="I4" s="215" t="s">
        <v>165</v>
      </c>
      <c r="J4" s="215" t="s">
        <v>166</v>
      </c>
      <c r="K4" s="215" t="s">
        <v>167</v>
      </c>
      <c r="L4" s="215" t="s">
        <v>168</v>
      </c>
      <c r="M4" s="215" t="s">
        <v>169</v>
      </c>
      <c r="N4" s="215" t="s">
        <v>170</v>
      </c>
      <c r="O4" s="215" t="s">
        <v>171</v>
      </c>
      <c r="P4" s="215" t="s">
        <v>172</v>
      </c>
      <c r="Q4" s="215" t="s">
        <v>173</v>
      </c>
      <c r="R4" s="215" t="s">
        <v>174</v>
      </c>
      <c r="S4" s="215" t="s">
        <v>175</v>
      </c>
      <c r="T4" s="215" t="s">
        <v>176</v>
      </c>
      <c r="U4" s="215" t="s">
        <v>177</v>
      </c>
      <c r="V4" s="215" t="s">
        <v>178</v>
      </c>
      <c r="W4" s="215" t="s">
        <v>179</v>
      </c>
      <c r="X4" s="215" t="s">
        <v>188</v>
      </c>
      <c r="Y4" s="215" t="s">
        <v>180</v>
      </c>
      <c r="Z4" s="215" t="s">
        <v>189</v>
      </c>
      <c r="AA4" s="215" t="s">
        <v>181</v>
      </c>
      <c r="AB4" s="215" t="s">
        <v>182</v>
      </c>
      <c r="AC4" s="215" t="s">
        <v>183</v>
      </c>
      <c r="AD4" s="215" t="s">
        <v>184</v>
      </c>
      <c r="AE4" s="215" t="s">
        <v>185</v>
      </c>
      <c r="AF4" s="197" t="s">
        <v>186</v>
      </c>
      <c r="AG4" s="197" t="s">
        <v>187</v>
      </c>
      <c r="AH4" s="348" t="s">
        <v>153</v>
      </c>
      <c r="AI4" s="363"/>
    </row>
    <row r="5" spans="1:35" x14ac:dyDescent="0.3">
      <c r="A5" s="198" t="s">
        <v>136</v>
      </c>
      <c r="B5" s="234"/>
      <c r="C5" s="235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349"/>
      <c r="AI5" s="363"/>
    </row>
    <row r="6" spans="1:35" ht="15" collapsed="1" thickBot="1" x14ac:dyDescent="0.35">
      <c r="A6" s="199" t="s">
        <v>48</v>
      </c>
      <c r="B6" s="237">
        <f xml:space="preserve">
TRUNC(IF($A$4&lt;=12,SUMIFS('ON Data'!F:F,'ON Data'!$D:$D,$A$4,'ON Data'!$E:$E,1),SUMIFS('ON Data'!F:F,'ON Data'!$E:$E,1)/'ON Data'!$D$3),1)</f>
        <v>2.6</v>
      </c>
      <c r="C6" s="238">
        <f xml:space="preserve">
TRUNC(IF($A$4&lt;=12,SUMIFS('ON Data'!G:G,'ON Data'!$D:$D,$A$4,'ON Data'!$E:$E,1),SUMIFS('ON Data'!G:G,'ON Data'!$E:$E,1)/'ON Data'!$D$3),1)</f>
        <v>0</v>
      </c>
      <c r="D6" s="239">
        <f xml:space="preserve">
TRUNC(IF($A$4&lt;=12,SUMIFS('ON Data'!H:H,'ON Data'!$D:$D,$A$4,'ON Data'!$E:$E,1),SUMIFS('ON Data'!H:H,'ON Data'!$E:$E,1)/'ON Data'!$D$3),1)</f>
        <v>2</v>
      </c>
      <c r="E6" s="239">
        <f xml:space="preserve">
TRUNC(IF($A$4&lt;=12,SUMIFS('ON Data'!I:I,'ON Data'!$D:$D,$A$4,'ON Data'!$E:$E,1),SUMIFS('ON Data'!I:I,'ON Data'!$E:$E,1)/'ON Data'!$D$3),1)</f>
        <v>0</v>
      </c>
      <c r="F6" s="239">
        <f xml:space="preserve">
TRUNC(IF($A$4&lt;=12,SUMIFS('ON Data'!K:K,'ON Data'!$D:$D,$A$4,'ON Data'!$E:$E,1),SUMIFS('ON Data'!K:K,'ON Data'!$E:$E,1)/'ON Data'!$D$3),1)</f>
        <v>0</v>
      </c>
      <c r="G6" s="239">
        <f xml:space="preserve">
TRUNC(IF($A$4&lt;=12,SUMIFS('ON Data'!L:L,'ON Data'!$D:$D,$A$4,'ON Data'!$E:$E,1),SUMIFS('ON Data'!L:L,'ON Data'!$E:$E,1)/'ON Data'!$D$3),1)</f>
        <v>0</v>
      </c>
      <c r="H6" s="239">
        <f xml:space="preserve">
TRUNC(IF($A$4&lt;=12,SUMIFS('ON Data'!M:M,'ON Data'!$D:$D,$A$4,'ON Data'!$E:$E,1),SUMIFS('ON Data'!M:M,'ON Data'!$E:$E,1)/'ON Data'!$D$3),1)</f>
        <v>0</v>
      </c>
      <c r="I6" s="239">
        <f xml:space="preserve">
TRUNC(IF($A$4&lt;=12,SUMIFS('ON Data'!N:N,'ON Data'!$D:$D,$A$4,'ON Data'!$E:$E,1),SUMIFS('ON Data'!N:N,'ON Data'!$E:$E,1)/'ON Data'!$D$3),1)</f>
        <v>0</v>
      </c>
      <c r="J6" s="239">
        <f xml:space="preserve">
TRUNC(IF($A$4&lt;=12,SUMIFS('ON Data'!O:O,'ON Data'!$D:$D,$A$4,'ON Data'!$E:$E,1),SUMIFS('ON Data'!O:O,'ON Data'!$E:$E,1)/'ON Data'!$D$3),1)</f>
        <v>0</v>
      </c>
      <c r="K6" s="239">
        <f xml:space="preserve">
TRUNC(IF($A$4&lt;=12,SUMIFS('ON Data'!P:P,'ON Data'!$D:$D,$A$4,'ON Data'!$E:$E,1),SUMIFS('ON Data'!P:P,'ON Data'!$E:$E,1)/'ON Data'!$D$3),1)</f>
        <v>0</v>
      </c>
      <c r="L6" s="239">
        <f xml:space="preserve">
TRUNC(IF($A$4&lt;=12,SUMIFS('ON Data'!Q:Q,'ON Data'!$D:$D,$A$4,'ON Data'!$E:$E,1),SUMIFS('ON Data'!Q:Q,'ON Data'!$E:$E,1)/'ON Data'!$D$3),1)</f>
        <v>0</v>
      </c>
      <c r="M6" s="239">
        <f xml:space="preserve">
TRUNC(IF($A$4&lt;=12,SUMIFS('ON Data'!R:R,'ON Data'!$D:$D,$A$4,'ON Data'!$E:$E,1),SUMIFS('ON Data'!R:R,'ON Data'!$E:$E,1)/'ON Data'!$D$3),1)</f>
        <v>0</v>
      </c>
      <c r="N6" s="239">
        <f xml:space="preserve">
TRUNC(IF($A$4&lt;=12,SUMIFS('ON Data'!S:S,'ON Data'!$D:$D,$A$4,'ON Data'!$E:$E,1),SUMIFS('ON Data'!S:S,'ON Data'!$E:$E,1)/'ON Data'!$D$3),1)</f>
        <v>0</v>
      </c>
      <c r="O6" s="239">
        <f xml:space="preserve">
TRUNC(IF($A$4&lt;=12,SUMIFS('ON Data'!T:T,'ON Data'!$D:$D,$A$4,'ON Data'!$E:$E,1),SUMIFS('ON Data'!T:T,'ON Data'!$E:$E,1)/'ON Data'!$D$3),1)</f>
        <v>0</v>
      </c>
      <c r="P6" s="239">
        <f xml:space="preserve">
TRUNC(IF($A$4&lt;=12,SUMIFS('ON Data'!U:U,'ON Data'!$D:$D,$A$4,'ON Data'!$E:$E,1),SUMIFS('ON Data'!U:U,'ON Data'!$E:$E,1)/'ON Data'!$D$3),1)</f>
        <v>0</v>
      </c>
      <c r="Q6" s="239">
        <f xml:space="preserve">
TRUNC(IF($A$4&lt;=12,SUMIFS('ON Data'!V:V,'ON Data'!$D:$D,$A$4,'ON Data'!$E:$E,1),SUMIFS('ON Data'!V:V,'ON Data'!$E:$E,1)/'ON Data'!$D$3),1)</f>
        <v>0</v>
      </c>
      <c r="R6" s="239">
        <f xml:space="preserve">
TRUNC(IF($A$4&lt;=12,SUMIFS('ON Data'!W:W,'ON Data'!$D:$D,$A$4,'ON Data'!$E:$E,1),SUMIFS('ON Data'!W:W,'ON Data'!$E:$E,1)/'ON Data'!$D$3),1)</f>
        <v>0</v>
      </c>
      <c r="S6" s="239">
        <f xml:space="preserve">
TRUNC(IF($A$4&lt;=12,SUMIFS('ON Data'!X:X,'ON Data'!$D:$D,$A$4,'ON Data'!$E:$E,1),SUMIFS('ON Data'!X:X,'ON Data'!$E:$E,1)/'ON Data'!$D$3),1)</f>
        <v>0</v>
      </c>
      <c r="T6" s="239">
        <f xml:space="preserve">
TRUNC(IF($A$4&lt;=12,SUMIFS('ON Data'!Y:Y,'ON Data'!$D:$D,$A$4,'ON Data'!$E:$E,1),SUMIFS('ON Data'!Y:Y,'ON Data'!$E:$E,1)/'ON Data'!$D$3),1)</f>
        <v>0</v>
      </c>
      <c r="U6" s="239">
        <f xml:space="preserve">
TRUNC(IF($A$4&lt;=12,SUMIFS('ON Data'!Z:Z,'ON Data'!$D:$D,$A$4,'ON Data'!$E:$E,1),SUMIFS('ON Data'!Z:Z,'ON Data'!$E:$E,1)/'ON Data'!$D$3),1)</f>
        <v>0</v>
      </c>
      <c r="V6" s="239">
        <f xml:space="preserve">
TRUNC(IF($A$4&lt;=12,SUMIFS('ON Data'!AA:AA,'ON Data'!$D:$D,$A$4,'ON Data'!$E:$E,1),SUMIFS('ON Data'!AA:AA,'ON Data'!$E:$E,1)/'ON Data'!$D$3),1)</f>
        <v>0</v>
      </c>
      <c r="W6" s="239">
        <f xml:space="preserve">
TRUNC(IF($A$4&lt;=12,SUMIFS('ON Data'!AB:AB,'ON Data'!$D:$D,$A$4,'ON Data'!$E:$E,1),SUMIFS('ON Data'!AB:AB,'ON Data'!$E:$E,1)/'ON Data'!$D$3),1)</f>
        <v>0</v>
      </c>
      <c r="X6" s="239">
        <f xml:space="preserve">
TRUNC(IF($A$4&lt;=12,SUMIFS('ON Data'!AC:AC,'ON Data'!$D:$D,$A$4,'ON Data'!$E:$E,1),SUMIFS('ON Data'!AC:AC,'ON Data'!$E:$E,1)/'ON Data'!$D$3),1)</f>
        <v>0</v>
      </c>
      <c r="Y6" s="239">
        <f xml:space="preserve">
TRUNC(IF($A$4&lt;=12,SUMIFS('ON Data'!AD:AD,'ON Data'!$D:$D,$A$4,'ON Data'!$E:$E,1),SUMIFS('ON Data'!AD:AD,'ON Data'!$E:$E,1)/'ON Data'!$D$3),1)</f>
        <v>0</v>
      </c>
      <c r="Z6" s="239">
        <f xml:space="preserve">
TRUNC(IF($A$4&lt;=12,SUMIFS('ON Data'!AE:AE,'ON Data'!$D:$D,$A$4,'ON Data'!$E:$E,1),SUMIFS('ON Data'!AE:AE,'ON Data'!$E:$E,1)/'ON Data'!$D$3),1)</f>
        <v>0</v>
      </c>
      <c r="AA6" s="239">
        <f xml:space="preserve">
TRUNC(IF($A$4&lt;=12,SUMIFS('ON Data'!AF:AF,'ON Data'!$D:$D,$A$4,'ON Data'!$E:$E,1),SUMIFS('ON Data'!AF:AF,'ON Data'!$E:$E,1)/'ON Data'!$D$3),1)</f>
        <v>0</v>
      </c>
      <c r="AB6" s="239">
        <f xml:space="preserve">
TRUNC(IF($A$4&lt;=12,SUMIFS('ON Data'!AG:AG,'ON Data'!$D:$D,$A$4,'ON Data'!$E:$E,1),SUMIFS('ON Data'!AG:AG,'ON Data'!$E:$E,1)/'ON Data'!$D$3),1)</f>
        <v>0</v>
      </c>
      <c r="AC6" s="239">
        <f xml:space="preserve">
TRUNC(IF($A$4&lt;=12,SUMIFS('ON Data'!AH:AH,'ON Data'!$D:$D,$A$4,'ON Data'!$E:$E,1),SUMIFS('ON Data'!AH:AH,'ON Data'!$E:$E,1)/'ON Data'!$D$3),1)</f>
        <v>0</v>
      </c>
      <c r="AD6" s="239">
        <f xml:space="preserve">
TRUNC(IF($A$4&lt;=12,SUMIFS('ON Data'!AI:AI,'ON Data'!$D:$D,$A$4,'ON Data'!$E:$E,1),SUMIFS('ON Data'!AI:AI,'ON Data'!$E:$E,1)/'ON Data'!$D$3),1)</f>
        <v>0</v>
      </c>
      <c r="AE6" s="239">
        <f xml:space="preserve">
TRUNC(IF($A$4&lt;=12,SUMIFS('ON Data'!AJ:AJ,'ON Data'!$D:$D,$A$4,'ON Data'!$E:$E,1),SUMIFS('ON Data'!AJ:AJ,'ON Data'!$E:$E,1)/'ON Data'!$D$3),1)</f>
        <v>0</v>
      </c>
      <c r="AF6" s="239">
        <f xml:space="preserve">
TRUNC(IF($A$4&lt;=12,SUMIFS('ON Data'!AK:AK,'ON Data'!$D:$D,$A$4,'ON Data'!$E:$E,1),SUMIFS('ON Data'!AK:AK,'ON Data'!$E:$E,1)/'ON Data'!$D$3),1)</f>
        <v>0</v>
      </c>
      <c r="AG6" s="239">
        <f xml:space="preserve">
TRUNC(IF($A$4&lt;=12,SUMIFS('ON Data'!AL:AL,'ON Data'!$D:$D,$A$4,'ON Data'!$E:$E,1),SUMIFS('ON Data'!AL:AL,'ON Data'!$E:$E,1)/'ON Data'!$D$3),1)</f>
        <v>0</v>
      </c>
      <c r="AH6" s="350">
        <f xml:space="preserve">
TRUNC(IF($A$4&lt;=12,SUMIFS('ON Data'!AN:AN,'ON Data'!$D:$D,$A$4,'ON Data'!$E:$E,1),SUMIFS('ON Data'!AN:AN,'ON Data'!$E:$E,1)/'ON Data'!$D$3),1)</f>
        <v>0.6</v>
      </c>
      <c r="AI6" s="363"/>
    </row>
    <row r="7" spans="1:35" ht="15" hidden="1" outlineLevel="1" thickBot="1" x14ac:dyDescent="0.35">
      <c r="A7" s="199" t="s">
        <v>83</v>
      </c>
      <c r="B7" s="237"/>
      <c r="C7" s="240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350"/>
      <c r="AI7" s="363"/>
    </row>
    <row r="8" spans="1:35" ht="15" hidden="1" outlineLevel="1" thickBot="1" x14ac:dyDescent="0.35">
      <c r="A8" s="199" t="s">
        <v>50</v>
      </c>
      <c r="B8" s="237"/>
      <c r="C8" s="240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350"/>
      <c r="AI8" s="363"/>
    </row>
    <row r="9" spans="1:35" ht="15" hidden="1" outlineLevel="1" thickBot="1" x14ac:dyDescent="0.35">
      <c r="A9" s="200" t="s">
        <v>43</v>
      </c>
      <c r="B9" s="241"/>
      <c r="C9" s="242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351"/>
      <c r="AI9" s="363"/>
    </row>
    <row r="10" spans="1:35" x14ac:dyDescent="0.3">
      <c r="A10" s="201" t="s">
        <v>137</v>
      </c>
      <c r="B10" s="216"/>
      <c r="C10" s="217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352"/>
      <c r="AI10" s="363"/>
    </row>
    <row r="11" spans="1:35" x14ac:dyDescent="0.3">
      <c r="A11" s="202" t="s">
        <v>138</v>
      </c>
      <c r="B11" s="219">
        <f xml:space="preserve">
IF($A$4&lt;=12,SUMIFS('ON Data'!F:F,'ON Data'!$D:$D,$A$4,'ON Data'!$E:$E,2),SUMIFS('ON Data'!F:F,'ON Data'!$E:$E,2))</f>
        <v>1282.8</v>
      </c>
      <c r="C11" s="220">
        <f xml:space="preserve">
IF($A$4&lt;=12,SUMIFS('ON Data'!G:G,'ON Data'!$D:$D,$A$4,'ON Data'!$E:$E,2),SUMIFS('ON Data'!G:G,'ON Data'!$E:$E,2))</f>
        <v>0</v>
      </c>
      <c r="D11" s="221">
        <f xml:space="preserve">
IF($A$4&lt;=12,SUMIFS('ON Data'!H:H,'ON Data'!$D:$D,$A$4,'ON Data'!$E:$E,2),SUMIFS('ON Data'!H:H,'ON Data'!$E:$E,2))</f>
        <v>976</v>
      </c>
      <c r="E11" s="221">
        <f xml:space="preserve">
IF($A$4&lt;=12,SUMIFS('ON Data'!I:I,'ON Data'!$D:$D,$A$4,'ON Data'!$E:$E,2),SUMIFS('ON Data'!I:I,'ON Data'!$E:$E,2))</f>
        <v>0</v>
      </c>
      <c r="F11" s="221">
        <f xml:space="preserve">
IF($A$4&lt;=12,SUMIFS('ON Data'!K:K,'ON Data'!$D:$D,$A$4,'ON Data'!$E:$E,2),SUMIFS('ON Data'!K:K,'ON Data'!$E:$E,2))</f>
        <v>0</v>
      </c>
      <c r="G11" s="221">
        <f xml:space="preserve">
IF($A$4&lt;=12,SUMIFS('ON Data'!L:L,'ON Data'!$D:$D,$A$4,'ON Data'!$E:$E,2),SUMIFS('ON Data'!L:L,'ON Data'!$E:$E,2))</f>
        <v>0</v>
      </c>
      <c r="H11" s="221">
        <f xml:space="preserve">
IF($A$4&lt;=12,SUMIFS('ON Data'!M:M,'ON Data'!$D:$D,$A$4,'ON Data'!$E:$E,2),SUMIFS('ON Data'!M:M,'ON Data'!$E:$E,2))</f>
        <v>0</v>
      </c>
      <c r="I11" s="221">
        <f xml:space="preserve">
IF($A$4&lt;=12,SUMIFS('ON Data'!N:N,'ON Data'!$D:$D,$A$4,'ON Data'!$E:$E,2),SUMIFS('ON Data'!N:N,'ON Data'!$E:$E,2))</f>
        <v>0</v>
      </c>
      <c r="J11" s="221">
        <f xml:space="preserve">
IF($A$4&lt;=12,SUMIFS('ON Data'!O:O,'ON Data'!$D:$D,$A$4,'ON Data'!$E:$E,2),SUMIFS('ON Data'!O:O,'ON Data'!$E:$E,2))</f>
        <v>0</v>
      </c>
      <c r="K11" s="221">
        <f xml:space="preserve">
IF($A$4&lt;=12,SUMIFS('ON Data'!P:P,'ON Data'!$D:$D,$A$4,'ON Data'!$E:$E,2),SUMIFS('ON Data'!P:P,'ON Data'!$E:$E,2))</f>
        <v>0</v>
      </c>
      <c r="L11" s="221">
        <f xml:space="preserve">
IF($A$4&lt;=12,SUMIFS('ON Data'!Q:Q,'ON Data'!$D:$D,$A$4,'ON Data'!$E:$E,2),SUMIFS('ON Data'!Q:Q,'ON Data'!$E:$E,2))</f>
        <v>0</v>
      </c>
      <c r="M11" s="221">
        <f xml:space="preserve">
IF($A$4&lt;=12,SUMIFS('ON Data'!R:R,'ON Data'!$D:$D,$A$4,'ON Data'!$E:$E,2),SUMIFS('ON Data'!R:R,'ON Data'!$E:$E,2))</f>
        <v>0</v>
      </c>
      <c r="N11" s="221">
        <f xml:space="preserve">
IF($A$4&lt;=12,SUMIFS('ON Data'!S:S,'ON Data'!$D:$D,$A$4,'ON Data'!$E:$E,2),SUMIFS('ON Data'!S:S,'ON Data'!$E:$E,2))</f>
        <v>0</v>
      </c>
      <c r="O11" s="221">
        <f xml:space="preserve">
IF($A$4&lt;=12,SUMIFS('ON Data'!T:T,'ON Data'!$D:$D,$A$4,'ON Data'!$E:$E,2),SUMIFS('ON Data'!T:T,'ON Data'!$E:$E,2))</f>
        <v>0</v>
      </c>
      <c r="P11" s="221">
        <f xml:space="preserve">
IF($A$4&lt;=12,SUMIFS('ON Data'!U:U,'ON Data'!$D:$D,$A$4,'ON Data'!$E:$E,2),SUMIFS('ON Data'!U:U,'ON Data'!$E:$E,2))</f>
        <v>0</v>
      </c>
      <c r="Q11" s="221">
        <f xml:space="preserve">
IF($A$4&lt;=12,SUMIFS('ON Data'!V:V,'ON Data'!$D:$D,$A$4,'ON Data'!$E:$E,2),SUMIFS('ON Data'!V:V,'ON Data'!$E:$E,2))</f>
        <v>0</v>
      </c>
      <c r="R11" s="221">
        <f xml:space="preserve">
IF($A$4&lt;=12,SUMIFS('ON Data'!W:W,'ON Data'!$D:$D,$A$4,'ON Data'!$E:$E,2),SUMIFS('ON Data'!W:W,'ON Data'!$E:$E,2))</f>
        <v>0</v>
      </c>
      <c r="S11" s="221">
        <f xml:space="preserve">
IF($A$4&lt;=12,SUMIFS('ON Data'!X:X,'ON Data'!$D:$D,$A$4,'ON Data'!$E:$E,2),SUMIFS('ON Data'!X:X,'ON Data'!$E:$E,2))</f>
        <v>0</v>
      </c>
      <c r="T11" s="221">
        <f xml:space="preserve">
IF($A$4&lt;=12,SUMIFS('ON Data'!Y:Y,'ON Data'!$D:$D,$A$4,'ON Data'!$E:$E,2),SUMIFS('ON Data'!Y:Y,'ON Data'!$E:$E,2))</f>
        <v>0</v>
      </c>
      <c r="U11" s="221">
        <f xml:space="preserve">
IF($A$4&lt;=12,SUMIFS('ON Data'!Z:Z,'ON Data'!$D:$D,$A$4,'ON Data'!$E:$E,2),SUMIFS('ON Data'!Z:Z,'ON Data'!$E:$E,2))</f>
        <v>0</v>
      </c>
      <c r="V11" s="221">
        <f xml:space="preserve">
IF($A$4&lt;=12,SUMIFS('ON Data'!AA:AA,'ON Data'!$D:$D,$A$4,'ON Data'!$E:$E,2),SUMIFS('ON Data'!AA:AA,'ON Data'!$E:$E,2))</f>
        <v>18.8</v>
      </c>
      <c r="W11" s="221">
        <f xml:space="preserve">
IF($A$4&lt;=12,SUMIFS('ON Data'!AB:AB,'ON Data'!$D:$D,$A$4,'ON Data'!$E:$E,2),SUMIFS('ON Data'!AB:AB,'ON Data'!$E:$E,2))</f>
        <v>0</v>
      </c>
      <c r="X11" s="221">
        <f xml:space="preserve">
IF($A$4&lt;=12,SUMIFS('ON Data'!AC:AC,'ON Data'!$D:$D,$A$4,'ON Data'!$E:$E,2),SUMIFS('ON Data'!AC:AC,'ON Data'!$E:$E,2))</f>
        <v>0</v>
      </c>
      <c r="Y11" s="221">
        <f xml:space="preserve">
IF($A$4&lt;=12,SUMIFS('ON Data'!AD:AD,'ON Data'!$D:$D,$A$4,'ON Data'!$E:$E,2),SUMIFS('ON Data'!AD:AD,'ON Data'!$E:$E,2))</f>
        <v>0</v>
      </c>
      <c r="Z11" s="221">
        <f xml:space="preserve">
IF($A$4&lt;=12,SUMIFS('ON Data'!AE:AE,'ON Data'!$D:$D,$A$4,'ON Data'!$E:$E,2),SUMIFS('ON Data'!AE:AE,'ON Data'!$E:$E,2))</f>
        <v>0</v>
      </c>
      <c r="AA11" s="221">
        <f xml:space="preserve">
IF($A$4&lt;=12,SUMIFS('ON Data'!AF:AF,'ON Data'!$D:$D,$A$4,'ON Data'!$E:$E,2),SUMIFS('ON Data'!AF:AF,'ON Data'!$E:$E,2))</f>
        <v>0</v>
      </c>
      <c r="AB11" s="221">
        <f xml:space="preserve">
IF($A$4&lt;=12,SUMIFS('ON Data'!AG:AG,'ON Data'!$D:$D,$A$4,'ON Data'!$E:$E,2),SUMIFS('ON Data'!AG:AG,'ON Data'!$E:$E,2))</f>
        <v>0</v>
      </c>
      <c r="AC11" s="221">
        <f xml:space="preserve">
IF($A$4&lt;=12,SUMIFS('ON Data'!AH:AH,'ON Data'!$D:$D,$A$4,'ON Data'!$E:$E,2),SUMIFS('ON Data'!AH:AH,'ON Data'!$E:$E,2))</f>
        <v>0</v>
      </c>
      <c r="AD11" s="221">
        <f xml:space="preserve">
IF($A$4&lt;=12,SUMIFS('ON Data'!AI:AI,'ON Data'!$D:$D,$A$4,'ON Data'!$E:$E,2),SUMIFS('ON Data'!AI:AI,'ON Data'!$E:$E,2))</f>
        <v>0</v>
      </c>
      <c r="AE11" s="221">
        <f xml:space="preserve">
IF($A$4&lt;=12,SUMIFS('ON Data'!AJ:AJ,'ON Data'!$D:$D,$A$4,'ON Data'!$E:$E,2),SUMIFS('ON Data'!AJ:AJ,'ON Data'!$E:$E,2))</f>
        <v>0</v>
      </c>
      <c r="AF11" s="221">
        <f xml:space="preserve">
IF($A$4&lt;=12,SUMIFS('ON Data'!AK:AK,'ON Data'!$D:$D,$A$4,'ON Data'!$E:$E,2),SUMIFS('ON Data'!AK:AK,'ON Data'!$E:$E,2))</f>
        <v>0</v>
      </c>
      <c r="AG11" s="221">
        <f xml:space="preserve">
IF($A$4&lt;=12,SUMIFS('ON Data'!AL:AL,'ON Data'!$D:$D,$A$4,'ON Data'!$E:$E,2),SUMIFS('ON Data'!AL:AL,'ON Data'!$E:$E,2))</f>
        <v>0</v>
      </c>
      <c r="AH11" s="353">
        <f xml:space="preserve">
IF($A$4&lt;=12,SUMIFS('ON Data'!AN:AN,'ON Data'!$D:$D,$A$4,'ON Data'!$E:$E,2),SUMIFS('ON Data'!AN:AN,'ON Data'!$E:$E,2))</f>
        <v>288</v>
      </c>
      <c r="AI11" s="363"/>
    </row>
    <row r="12" spans="1:35" x14ac:dyDescent="0.3">
      <c r="A12" s="202" t="s">
        <v>139</v>
      </c>
      <c r="B12" s="219">
        <f xml:space="preserve">
IF($A$4&lt;=12,SUMIFS('ON Data'!F:F,'ON Data'!$D:$D,$A$4,'ON Data'!$E:$E,3),SUMIFS('ON Data'!F:F,'ON Data'!$E:$E,3))</f>
        <v>0</v>
      </c>
      <c r="C12" s="220">
        <f xml:space="preserve">
IF($A$4&lt;=12,SUMIFS('ON Data'!G:G,'ON Data'!$D:$D,$A$4,'ON Data'!$E:$E,3),SUMIFS('ON Data'!G:G,'ON Data'!$E:$E,3))</f>
        <v>0</v>
      </c>
      <c r="D12" s="221">
        <f xml:space="preserve">
IF($A$4&lt;=12,SUMIFS('ON Data'!H:H,'ON Data'!$D:$D,$A$4,'ON Data'!$E:$E,3),SUMIFS('ON Data'!H:H,'ON Data'!$E:$E,3))</f>
        <v>0</v>
      </c>
      <c r="E12" s="221">
        <f xml:space="preserve">
IF($A$4&lt;=12,SUMIFS('ON Data'!I:I,'ON Data'!$D:$D,$A$4,'ON Data'!$E:$E,3),SUMIFS('ON Data'!I:I,'ON Data'!$E:$E,3))</f>
        <v>0</v>
      </c>
      <c r="F12" s="221">
        <f xml:space="preserve">
IF($A$4&lt;=12,SUMIFS('ON Data'!K:K,'ON Data'!$D:$D,$A$4,'ON Data'!$E:$E,3),SUMIFS('ON Data'!K:K,'ON Data'!$E:$E,3))</f>
        <v>0</v>
      </c>
      <c r="G12" s="221">
        <f xml:space="preserve">
IF($A$4&lt;=12,SUMIFS('ON Data'!L:L,'ON Data'!$D:$D,$A$4,'ON Data'!$E:$E,3),SUMIFS('ON Data'!L:L,'ON Data'!$E:$E,3))</f>
        <v>0</v>
      </c>
      <c r="H12" s="221">
        <f xml:space="preserve">
IF($A$4&lt;=12,SUMIFS('ON Data'!M:M,'ON Data'!$D:$D,$A$4,'ON Data'!$E:$E,3),SUMIFS('ON Data'!M:M,'ON Data'!$E:$E,3))</f>
        <v>0</v>
      </c>
      <c r="I12" s="221">
        <f xml:space="preserve">
IF($A$4&lt;=12,SUMIFS('ON Data'!N:N,'ON Data'!$D:$D,$A$4,'ON Data'!$E:$E,3),SUMIFS('ON Data'!N:N,'ON Data'!$E:$E,3))</f>
        <v>0</v>
      </c>
      <c r="J12" s="221">
        <f xml:space="preserve">
IF($A$4&lt;=12,SUMIFS('ON Data'!O:O,'ON Data'!$D:$D,$A$4,'ON Data'!$E:$E,3),SUMIFS('ON Data'!O:O,'ON Data'!$E:$E,3))</f>
        <v>0</v>
      </c>
      <c r="K12" s="221">
        <f xml:space="preserve">
IF($A$4&lt;=12,SUMIFS('ON Data'!P:P,'ON Data'!$D:$D,$A$4,'ON Data'!$E:$E,3),SUMIFS('ON Data'!P:P,'ON Data'!$E:$E,3))</f>
        <v>0</v>
      </c>
      <c r="L12" s="221">
        <f xml:space="preserve">
IF($A$4&lt;=12,SUMIFS('ON Data'!Q:Q,'ON Data'!$D:$D,$A$4,'ON Data'!$E:$E,3),SUMIFS('ON Data'!Q:Q,'ON Data'!$E:$E,3))</f>
        <v>0</v>
      </c>
      <c r="M12" s="221">
        <f xml:space="preserve">
IF($A$4&lt;=12,SUMIFS('ON Data'!R:R,'ON Data'!$D:$D,$A$4,'ON Data'!$E:$E,3),SUMIFS('ON Data'!R:R,'ON Data'!$E:$E,3))</f>
        <v>0</v>
      </c>
      <c r="N12" s="221">
        <f xml:space="preserve">
IF($A$4&lt;=12,SUMIFS('ON Data'!S:S,'ON Data'!$D:$D,$A$4,'ON Data'!$E:$E,3),SUMIFS('ON Data'!S:S,'ON Data'!$E:$E,3))</f>
        <v>0</v>
      </c>
      <c r="O12" s="221">
        <f xml:space="preserve">
IF($A$4&lt;=12,SUMIFS('ON Data'!T:T,'ON Data'!$D:$D,$A$4,'ON Data'!$E:$E,3),SUMIFS('ON Data'!T:T,'ON Data'!$E:$E,3))</f>
        <v>0</v>
      </c>
      <c r="P12" s="221">
        <f xml:space="preserve">
IF($A$4&lt;=12,SUMIFS('ON Data'!U:U,'ON Data'!$D:$D,$A$4,'ON Data'!$E:$E,3),SUMIFS('ON Data'!U:U,'ON Data'!$E:$E,3))</f>
        <v>0</v>
      </c>
      <c r="Q12" s="221">
        <f xml:space="preserve">
IF($A$4&lt;=12,SUMIFS('ON Data'!V:V,'ON Data'!$D:$D,$A$4,'ON Data'!$E:$E,3),SUMIFS('ON Data'!V:V,'ON Data'!$E:$E,3))</f>
        <v>0</v>
      </c>
      <c r="R12" s="221">
        <f xml:space="preserve">
IF($A$4&lt;=12,SUMIFS('ON Data'!W:W,'ON Data'!$D:$D,$A$4,'ON Data'!$E:$E,3),SUMIFS('ON Data'!W:W,'ON Data'!$E:$E,3))</f>
        <v>0</v>
      </c>
      <c r="S12" s="221">
        <f xml:space="preserve">
IF($A$4&lt;=12,SUMIFS('ON Data'!X:X,'ON Data'!$D:$D,$A$4,'ON Data'!$E:$E,3),SUMIFS('ON Data'!X:X,'ON Data'!$E:$E,3))</f>
        <v>0</v>
      </c>
      <c r="T12" s="221">
        <f xml:space="preserve">
IF($A$4&lt;=12,SUMIFS('ON Data'!Y:Y,'ON Data'!$D:$D,$A$4,'ON Data'!$E:$E,3),SUMIFS('ON Data'!Y:Y,'ON Data'!$E:$E,3))</f>
        <v>0</v>
      </c>
      <c r="U12" s="221">
        <f xml:space="preserve">
IF($A$4&lt;=12,SUMIFS('ON Data'!Z:Z,'ON Data'!$D:$D,$A$4,'ON Data'!$E:$E,3),SUMIFS('ON Data'!Z:Z,'ON Data'!$E:$E,3))</f>
        <v>0</v>
      </c>
      <c r="V12" s="221">
        <f xml:space="preserve">
IF($A$4&lt;=12,SUMIFS('ON Data'!AA:AA,'ON Data'!$D:$D,$A$4,'ON Data'!$E:$E,3),SUMIFS('ON Data'!AA:AA,'ON Data'!$E:$E,3))</f>
        <v>0</v>
      </c>
      <c r="W12" s="221">
        <f xml:space="preserve">
IF($A$4&lt;=12,SUMIFS('ON Data'!AB:AB,'ON Data'!$D:$D,$A$4,'ON Data'!$E:$E,3),SUMIFS('ON Data'!AB:AB,'ON Data'!$E:$E,3))</f>
        <v>0</v>
      </c>
      <c r="X12" s="221">
        <f xml:space="preserve">
IF($A$4&lt;=12,SUMIFS('ON Data'!AC:AC,'ON Data'!$D:$D,$A$4,'ON Data'!$E:$E,3),SUMIFS('ON Data'!AC:AC,'ON Data'!$E:$E,3))</f>
        <v>0</v>
      </c>
      <c r="Y12" s="221">
        <f xml:space="preserve">
IF($A$4&lt;=12,SUMIFS('ON Data'!AD:AD,'ON Data'!$D:$D,$A$4,'ON Data'!$E:$E,3),SUMIFS('ON Data'!AD:AD,'ON Data'!$E:$E,3))</f>
        <v>0</v>
      </c>
      <c r="Z12" s="221">
        <f xml:space="preserve">
IF($A$4&lt;=12,SUMIFS('ON Data'!AE:AE,'ON Data'!$D:$D,$A$4,'ON Data'!$E:$E,3),SUMIFS('ON Data'!AE:AE,'ON Data'!$E:$E,3))</f>
        <v>0</v>
      </c>
      <c r="AA12" s="221">
        <f xml:space="preserve">
IF($A$4&lt;=12,SUMIFS('ON Data'!AF:AF,'ON Data'!$D:$D,$A$4,'ON Data'!$E:$E,3),SUMIFS('ON Data'!AF:AF,'ON Data'!$E:$E,3))</f>
        <v>0</v>
      </c>
      <c r="AB12" s="221">
        <f xml:space="preserve">
IF($A$4&lt;=12,SUMIFS('ON Data'!AG:AG,'ON Data'!$D:$D,$A$4,'ON Data'!$E:$E,3),SUMIFS('ON Data'!AG:AG,'ON Data'!$E:$E,3))</f>
        <v>0</v>
      </c>
      <c r="AC12" s="221">
        <f xml:space="preserve">
IF($A$4&lt;=12,SUMIFS('ON Data'!AH:AH,'ON Data'!$D:$D,$A$4,'ON Data'!$E:$E,3),SUMIFS('ON Data'!AH:AH,'ON Data'!$E:$E,3))</f>
        <v>0</v>
      </c>
      <c r="AD12" s="221">
        <f xml:space="preserve">
IF($A$4&lt;=12,SUMIFS('ON Data'!AI:AI,'ON Data'!$D:$D,$A$4,'ON Data'!$E:$E,3),SUMIFS('ON Data'!AI:AI,'ON Data'!$E:$E,3))</f>
        <v>0</v>
      </c>
      <c r="AE12" s="221">
        <f xml:space="preserve">
IF($A$4&lt;=12,SUMIFS('ON Data'!AJ:AJ,'ON Data'!$D:$D,$A$4,'ON Data'!$E:$E,3),SUMIFS('ON Data'!AJ:AJ,'ON Data'!$E:$E,3))</f>
        <v>0</v>
      </c>
      <c r="AF12" s="221">
        <f xml:space="preserve">
IF($A$4&lt;=12,SUMIFS('ON Data'!AK:AK,'ON Data'!$D:$D,$A$4,'ON Data'!$E:$E,3),SUMIFS('ON Data'!AK:AK,'ON Data'!$E:$E,3))</f>
        <v>0</v>
      </c>
      <c r="AG12" s="221">
        <f xml:space="preserve">
IF($A$4&lt;=12,SUMIFS('ON Data'!AL:AL,'ON Data'!$D:$D,$A$4,'ON Data'!$E:$E,3),SUMIFS('ON Data'!AL:AL,'ON Data'!$E:$E,3))</f>
        <v>0</v>
      </c>
      <c r="AH12" s="353">
        <f xml:space="preserve">
IF($A$4&lt;=12,SUMIFS('ON Data'!AN:AN,'ON Data'!$D:$D,$A$4,'ON Data'!$E:$E,3),SUMIFS('ON Data'!AN:AN,'ON Data'!$E:$E,3))</f>
        <v>0</v>
      </c>
      <c r="AI12" s="363"/>
    </row>
    <row r="13" spans="1:35" x14ac:dyDescent="0.3">
      <c r="A13" s="202" t="s">
        <v>146</v>
      </c>
      <c r="B13" s="219">
        <f xml:space="preserve">
IF($A$4&lt;=12,SUMIFS('ON Data'!F:F,'ON Data'!$D:$D,$A$4,'ON Data'!$E:$E,4),SUMIFS('ON Data'!F:F,'ON Data'!$E:$E,4))</f>
        <v>0</v>
      </c>
      <c r="C13" s="220">
        <f xml:space="preserve">
IF($A$4&lt;=12,SUMIFS('ON Data'!G:G,'ON Data'!$D:$D,$A$4,'ON Data'!$E:$E,4),SUMIFS('ON Data'!G:G,'ON Data'!$E:$E,4))</f>
        <v>0</v>
      </c>
      <c r="D13" s="221">
        <f xml:space="preserve">
IF($A$4&lt;=12,SUMIFS('ON Data'!H:H,'ON Data'!$D:$D,$A$4,'ON Data'!$E:$E,4),SUMIFS('ON Data'!H:H,'ON Data'!$E:$E,4))</f>
        <v>0</v>
      </c>
      <c r="E13" s="221">
        <f xml:space="preserve">
IF($A$4&lt;=12,SUMIFS('ON Data'!I:I,'ON Data'!$D:$D,$A$4,'ON Data'!$E:$E,4),SUMIFS('ON Data'!I:I,'ON Data'!$E:$E,4))</f>
        <v>0</v>
      </c>
      <c r="F13" s="221">
        <f xml:space="preserve">
IF($A$4&lt;=12,SUMIFS('ON Data'!K:K,'ON Data'!$D:$D,$A$4,'ON Data'!$E:$E,4),SUMIFS('ON Data'!K:K,'ON Data'!$E:$E,4))</f>
        <v>0</v>
      </c>
      <c r="G13" s="221">
        <f xml:space="preserve">
IF($A$4&lt;=12,SUMIFS('ON Data'!L:L,'ON Data'!$D:$D,$A$4,'ON Data'!$E:$E,4),SUMIFS('ON Data'!L:L,'ON Data'!$E:$E,4))</f>
        <v>0</v>
      </c>
      <c r="H13" s="221">
        <f xml:space="preserve">
IF($A$4&lt;=12,SUMIFS('ON Data'!M:M,'ON Data'!$D:$D,$A$4,'ON Data'!$E:$E,4),SUMIFS('ON Data'!M:M,'ON Data'!$E:$E,4))</f>
        <v>0</v>
      </c>
      <c r="I13" s="221">
        <f xml:space="preserve">
IF($A$4&lt;=12,SUMIFS('ON Data'!N:N,'ON Data'!$D:$D,$A$4,'ON Data'!$E:$E,4),SUMIFS('ON Data'!N:N,'ON Data'!$E:$E,4))</f>
        <v>0</v>
      </c>
      <c r="J13" s="221">
        <f xml:space="preserve">
IF($A$4&lt;=12,SUMIFS('ON Data'!O:O,'ON Data'!$D:$D,$A$4,'ON Data'!$E:$E,4),SUMIFS('ON Data'!O:O,'ON Data'!$E:$E,4))</f>
        <v>0</v>
      </c>
      <c r="K13" s="221">
        <f xml:space="preserve">
IF($A$4&lt;=12,SUMIFS('ON Data'!P:P,'ON Data'!$D:$D,$A$4,'ON Data'!$E:$E,4),SUMIFS('ON Data'!P:P,'ON Data'!$E:$E,4))</f>
        <v>0</v>
      </c>
      <c r="L13" s="221">
        <f xml:space="preserve">
IF($A$4&lt;=12,SUMIFS('ON Data'!Q:Q,'ON Data'!$D:$D,$A$4,'ON Data'!$E:$E,4),SUMIFS('ON Data'!Q:Q,'ON Data'!$E:$E,4))</f>
        <v>0</v>
      </c>
      <c r="M13" s="221">
        <f xml:space="preserve">
IF($A$4&lt;=12,SUMIFS('ON Data'!R:R,'ON Data'!$D:$D,$A$4,'ON Data'!$E:$E,4),SUMIFS('ON Data'!R:R,'ON Data'!$E:$E,4))</f>
        <v>0</v>
      </c>
      <c r="N13" s="221">
        <f xml:space="preserve">
IF($A$4&lt;=12,SUMIFS('ON Data'!S:S,'ON Data'!$D:$D,$A$4,'ON Data'!$E:$E,4),SUMIFS('ON Data'!S:S,'ON Data'!$E:$E,4))</f>
        <v>0</v>
      </c>
      <c r="O13" s="221">
        <f xml:space="preserve">
IF($A$4&lt;=12,SUMIFS('ON Data'!T:T,'ON Data'!$D:$D,$A$4,'ON Data'!$E:$E,4),SUMIFS('ON Data'!T:T,'ON Data'!$E:$E,4))</f>
        <v>0</v>
      </c>
      <c r="P13" s="221">
        <f xml:space="preserve">
IF($A$4&lt;=12,SUMIFS('ON Data'!U:U,'ON Data'!$D:$D,$A$4,'ON Data'!$E:$E,4),SUMIFS('ON Data'!U:U,'ON Data'!$E:$E,4))</f>
        <v>0</v>
      </c>
      <c r="Q13" s="221">
        <f xml:space="preserve">
IF($A$4&lt;=12,SUMIFS('ON Data'!V:V,'ON Data'!$D:$D,$A$4,'ON Data'!$E:$E,4),SUMIFS('ON Data'!V:V,'ON Data'!$E:$E,4))</f>
        <v>0</v>
      </c>
      <c r="R13" s="221">
        <f xml:space="preserve">
IF($A$4&lt;=12,SUMIFS('ON Data'!W:W,'ON Data'!$D:$D,$A$4,'ON Data'!$E:$E,4),SUMIFS('ON Data'!W:W,'ON Data'!$E:$E,4))</f>
        <v>0</v>
      </c>
      <c r="S13" s="221">
        <f xml:space="preserve">
IF($A$4&lt;=12,SUMIFS('ON Data'!X:X,'ON Data'!$D:$D,$A$4,'ON Data'!$E:$E,4),SUMIFS('ON Data'!X:X,'ON Data'!$E:$E,4))</f>
        <v>0</v>
      </c>
      <c r="T13" s="221">
        <f xml:space="preserve">
IF($A$4&lt;=12,SUMIFS('ON Data'!Y:Y,'ON Data'!$D:$D,$A$4,'ON Data'!$E:$E,4),SUMIFS('ON Data'!Y:Y,'ON Data'!$E:$E,4))</f>
        <v>0</v>
      </c>
      <c r="U13" s="221">
        <f xml:space="preserve">
IF($A$4&lt;=12,SUMIFS('ON Data'!Z:Z,'ON Data'!$D:$D,$A$4,'ON Data'!$E:$E,4),SUMIFS('ON Data'!Z:Z,'ON Data'!$E:$E,4))</f>
        <v>0</v>
      </c>
      <c r="V13" s="221">
        <f xml:space="preserve">
IF($A$4&lt;=12,SUMIFS('ON Data'!AA:AA,'ON Data'!$D:$D,$A$4,'ON Data'!$E:$E,4),SUMIFS('ON Data'!AA:AA,'ON Data'!$E:$E,4))</f>
        <v>0</v>
      </c>
      <c r="W13" s="221">
        <f xml:space="preserve">
IF($A$4&lt;=12,SUMIFS('ON Data'!AB:AB,'ON Data'!$D:$D,$A$4,'ON Data'!$E:$E,4),SUMIFS('ON Data'!AB:AB,'ON Data'!$E:$E,4))</f>
        <v>0</v>
      </c>
      <c r="X13" s="221">
        <f xml:space="preserve">
IF($A$4&lt;=12,SUMIFS('ON Data'!AC:AC,'ON Data'!$D:$D,$A$4,'ON Data'!$E:$E,4),SUMIFS('ON Data'!AC:AC,'ON Data'!$E:$E,4))</f>
        <v>0</v>
      </c>
      <c r="Y13" s="221">
        <f xml:space="preserve">
IF($A$4&lt;=12,SUMIFS('ON Data'!AD:AD,'ON Data'!$D:$D,$A$4,'ON Data'!$E:$E,4),SUMIFS('ON Data'!AD:AD,'ON Data'!$E:$E,4))</f>
        <v>0</v>
      </c>
      <c r="Z13" s="221">
        <f xml:space="preserve">
IF($A$4&lt;=12,SUMIFS('ON Data'!AE:AE,'ON Data'!$D:$D,$A$4,'ON Data'!$E:$E,4),SUMIFS('ON Data'!AE:AE,'ON Data'!$E:$E,4))</f>
        <v>0</v>
      </c>
      <c r="AA13" s="221">
        <f xml:space="preserve">
IF($A$4&lt;=12,SUMIFS('ON Data'!AF:AF,'ON Data'!$D:$D,$A$4,'ON Data'!$E:$E,4),SUMIFS('ON Data'!AF:AF,'ON Data'!$E:$E,4))</f>
        <v>0</v>
      </c>
      <c r="AB13" s="221">
        <f xml:space="preserve">
IF($A$4&lt;=12,SUMIFS('ON Data'!AG:AG,'ON Data'!$D:$D,$A$4,'ON Data'!$E:$E,4),SUMIFS('ON Data'!AG:AG,'ON Data'!$E:$E,4))</f>
        <v>0</v>
      </c>
      <c r="AC13" s="221">
        <f xml:space="preserve">
IF($A$4&lt;=12,SUMIFS('ON Data'!AH:AH,'ON Data'!$D:$D,$A$4,'ON Data'!$E:$E,4),SUMIFS('ON Data'!AH:AH,'ON Data'!$E:$E,4))</f>
        <v>0</v>
      </c>
      <c r="AD13" s="221">
        <f xml:space="preserve">
IF($A$4&lt;=12,SUMIFS('ON Data'!AI:AI,'ON Data'!$D:$D,$A$4,'ON Data'!$E:$E,4),SUMIFS('ON Data'!AI:AI,'ON Data'!$E:$E,4))</f>
        <v>0</v>
      </c>
      <c r="AE13" s="221">
        <f xml:space="preserve">
IF($A$4&lt;=12,SUMIFS('ON Data'!AJ:AJ,'ON Data'!$D:$D,$A$4,'ON Data'!$E:$E,4),SUMIFS('ON Data'!AJ:AJ,'ON Data'!$E:$E,4))</f>
        <v>0</v>
      </c>
      <c r="AF13" s="221">
        <f xml:space="preserve">
IF($A$4&lt;=12,SUMIFS('ON Data'!AK:AK,'ON Data'!$D:$D,$A$4,'ON Data'!$E:$E,4),SUMIFS('ON Data'!AK:AK,'ON Data'!$E:$E,4))</f>
        <v>0</v>
      </c>
      <c r="AG13" s="221">
        <f xml:space="preserve">
IF($A$4&lt;=12,SUMIFS('ON Data'!AL:AL,'ON Data'!$D:$D,$A$4,'ON Data'!$E:$E,4),SUMIFS('ON Data'!AL:AL,'ON Data'!$E:$E,4))</f>
        <v>0</v>
      </c>
      <c r="AH13" s="353">
        <f xml:space="preserve">
IF($A$4&lt;=12,SUMIFS('ON Data'!AN:AN,'ON Data'!$D:$D,$A$4,'ON Data'!$E:$E,4),SUMIFS('ON Data'!AN:AN,'ON Data'!$E:$E,4))</f>
        <v>0</v>
      </c>
      <c r="AI13" s="363"/>
    </row>
    <row r="14" spans="1:35" ht="15" thickBot="1" x14ac:dyDescent="0.35">
      <c r="A14" s="203" t="s">
        <v>140</v>
      </c>
      <c r="B14" s="222">
        <f xml:space="preserve">
IF($A$4&lt;=12,SUMIFS('ON Data'!F:F,'ON Data'!$D:$D,$A$4,'ON Data'!$E:$E,5),SUMIFS('ON Data'!F:F,'ON Data'!$E:$E,5))</f>
        <v>0</v>
      </c>
      <c r="C14" s="223">
        <f xml:space="preserve">
IF($A$4&lt;=12,SUMIFS('ON Data'!G:G,'ON Data'!$D:$D,$A$4,'ON Data'!$E:$E,5),SUMIFS('ON Data'!G:G,'ON Data'!$E:$E,5))</f>
        <v>0</v>
      </c>
      <c r="D14" s="224">
        <f xml:space="preserve">
IF($A$4&lt;=12,SUMIFS('ON Data'!H:H,'ON Data'!$D:$D,$A$4,'ON Data'!$E:$E,5),SUMIFS('ON Data'!H:H,'ON Data'!$E:$E,5))</f>
        <v>0</v>
      </c>
      <c r="E14" s="224">
        <f xml:space="preserve">
IF($A$4&lt;=12,SUMIFS('ON Data'!I:I,'ON Data'!$D:$D,$A$4,'ON Data'!$E:$E,5),SUMIFS('ON Data'!I:I,'ON Data'!$E:$E,5))</f>
        <v>0</v>
      </c>
      <c r="F14" s="224">
        <f xml:space="preserve">
IF($A$4&lt;=12,SUMIFS('ON Data'!K:K,'ON Data'!$D:$D,$A$4,'ON Data'!$E:$E,5),SUMIFS('ON Data'!K:K,'ON Data'!$E:$E,5))</f>
        <v>0</v>
      </c>
      <c r="G14" s="224">
        <f xml:space="preserve">
IF($A$4&lt;=12,SUMIFS('ON Data'!L:L,'ON Data'!$D:$D,$A$4,'ON Data'!$E:$E,5),SUMIFS('ON Data'!L:L,'ON Data'!$E:$E,5))</f>
        <v>0</v>
      </c>
      <c r="H14" s="224">
        <f xml:space="preserve">
IF($A$4&lt;=12,SUMIFS('ON Data'!M:M,'ON Data'!$D:$D,$A$4,'ON Data'!$E:$E,5),SUMIFS('ON Data'!M:M,'ON Data'!$E:$E,5))</f>
        <v>0</v>
      </c>
      <c r="I14" s="224">
        <f xml:space="preserve">
IF($A$4&lt;=12,SUMIFS('ON Data'!N:N,'ON Data'!$D:$D,$A$4,'ON Data'!$E:$E,5),SUMIFS('ON Data'!N:N,'ON Data'!$E:$E,5))</f>
        <v>0</v>
      </c>
      <c r="J14" s="224">
        <f xml:space="preserve">
IF($A$4&lt;=12,SUMIFS('ON Data'!O:O,'ON Data'!$D:$D,$A$4,'ON Data'!$E:$E,5),SUMIFS('ON Data'!O:O,'ON Data'!$E:$E,5))</f>
        <v>0</v>
      </c>
      <c r="K14" s="224">
        <f xml:space="preserve">
IF($A$4&lt;=12,SUMIFS('ON Data'!P:P,'ON Data'!$D:$D,$A$4,'ON Data'!$E:$E,5),SUMIFS('ON Data'!P:P,'ON Data'!$E:$E,5))</f>
        <v>0</v>
      </c>
      <c r="L14" s="224">
        <f xml:space="preserve">
IF($A$4&lt;=12,SUMIFS('ON Data'!Q:Q,'ON Data'!$D:$D,$A$4,'ON Data'!$E:$E,5),SUMIFS('ON Data'!Q:Q,'ON Data'!$E:$E,5))</f>
        <v>0</v>
      </c>
      <c r="M14" s="224">
        <f xml:space="preserve">
IF($A$4&lt;=12,SUMIFS('ON Data'!R:R,'ON Data'!$D:$D,$A$4,'ON Data'!$E:$E,5),SUMIFS('ON Data'!R:R,'ON Data'!$E:$E,5))</f>
        <v>0</v>
      </c>
      <c r="N14" s="224">
        <f xml:space="preserve">
IF($A$4&lt;=12,SUMIFS('ON Data'!S:S,'ON Data'!$D:$D,$A$4,'ON Data'!$E:$E,5),SUMIFS('ON Data'!S:S,'ON Data'!$E:$E,5))</f>
        <v>0</v>
      </c>
      <c r="O14" s="224">
        <f xml:space="preserve">
IF($A$4&lt;=12,SUMIFS('ON Data'!T:T,'ON Data'!$D:$D,$A$4,'ON Data'!$E:$E,5),SUMIFS('ON Data'!T:T,'ON Data'!$E:$E,5))</f>
        <v>0</v>
      </c>
      <c r="P14" s="224">
        <f xml:space="preserve">
IF($A$4&lt;=12,SUMIFS('ON Data'!U:U,'ON Data'!$D:$D,$A$4,'ON Data'!$E:$E,5),SUMIFS('ON Data'!U:U,'ON Data'!$E:$E,5))</f>
        <v>0</v>
      </c>
      <c r="Q14" s="224">
        <f xml:space="preserve">
IF($A$4&lt;=12,SUMIFS('ON Data'!V:V,'ON Data'!$D:$D,$A$4,'ON Data'!$E:$E,5),SUMIFS('ON Data'!V:V,'ON Data'!$E:$E,5))</f>
        <v>0</v>
      </c>
      <c r="R14" s="224">
        <f xml:space="preserve">
IF($A$4&lt;=12,SUMIFS('ON Data'!W:W,'ON Data'!$D:$D,$A$4,'ON Data'!$E:$E,5),SUMIFS('ON Data'!W:W,'ON Data'!$E:$E,5))</f>
        <v>0</v>
      </c>
      <c r="S14" s="224">
        <f xml:space="preserve">
IF($A$4&lt;=12,SUMIFS('ON Data'!X:X,'ON Data'!$D:$D,$A$4,'ON Data'!$E:$E,5),SUMIFS('ON Data'!X:X,'ON Data'!$E:$E,5))</f>
        <v>0</v>
      </c>
      <c r="T14" s="224">
        <f xml:space="preserve">
IF($A$4&lt;=12,SUMIFS('ON Data'!Y:Y,'ON Data'!$D:$D,$A$4,'ON Data'!$E:$E,5),SUMIFS('ON Data'!Y:Y,'ON Data'!$E:$E,5))</f>
        <v>0</v>
      </c>
      <c r="U14" s="224">
        <f xml:space="preserve">
IF($A$4&lt;=12,SUMIFS('ON Data'!Z:Z,'ON Data'!$D:$D,$A$4,'ON Data'!$E:$E,5),SUMIFS('ON Data'!Z:Z,'ON Data'!$E:$E,5))</f>
        <v>0</v>
      </c>
      <c r="V14" s="224">
        <f xml:space="preserve">
IF($A$4&lt;=12,SUMIFS('ON Data'!AA:AA,'ON Data'!$D:$D,$A$4,'ON Data'!$E:$E,5),SUMIFS('ON Data'!AA:AA,'ON Data'!$E:$E,5))</f>
        <v>0</v>
      </c>
      <c r="W14" s="224">
        <f xml:space="preserve">
IF($A$4&lt;=12,SUMIFS('ON Data'!AB:AB,'ON Data'!$D:$D,$A$4,'ON Data'!$E:$E,5),SUMIFS('ON Data'!AB:AB,'ON Data'!$E:$E,5))</f>
        <v>0</v>
      </c>
      <c r="X14" s="224">
        <f xml:space="preserve">
IF($A$4&lt;=12,SUMIFS('ON Data'!AC:AC,'ON Data'!$D:$D,$A$4,'ON Data'!$E:$E,5),SUMIFS('ON Data'!AC:AC,'ON Data'!$E:$E,5))</f>
        <v>0</v>
      </c>
      <c r="Y14" s="224">
        <f xml:space="preserve">
IF($A$4&lt;=12,SUMIFS('ON Data'!AD:AD,'ON Data'!$D:$D,$A$4,'ON Data'!$E:$E,5),SUMIFS('ON Data'!AD:AD,'ON Data'!$E:$E,5))</f>
        <v>0</v>
      </c>
      <c r="Z14" s="224">
        <f xml:space="preserve">
IF($A$4&lt;=12,SUMIFS('ON Data'!AE:AE,'ON Data'!$D:$D,$A$4,'ON Data'!$E:$E,5),SUMIFS('ON Data'!AE:AE,'ON Data'!$E:$E,5))</f>
        <v>0</v>
      </c>
      <c r="AA14" s="224">
        <f xml:space="preserve">
IF($A$4&lt;=12,SUMIFS('ON Data'!AF:AF,'ON Data'!$D:$D,$A$4,'ON Data'!$E:$E,5),SUMIFS('ON Data'!AF:AF,'ON Data'!$E:$E,5))</f>
        <v>0</v>
      </c>
      <c r="AB14" s="224">
        <f xml:space="preserve">
IF($A$4&lt;=12,SUMIFS('ON Data'!AG:AG,'ON Data'!$D:$D,$A$4,'ON Data'!$E:$E,5),SUMIFS('ON Data'!AG:AG,'ON Data'!$E:$E,5))</f>
        <v>0</v>
      </c>
      <c r="AC14" s="224">
        <f xml:space="preserve">
IF($A$4&lt;=12,SUMIFS('ON Data'!AH:AH,'ON Data'!$D:$D,$A$4,'ON Data'!$E:$E,5),SUMIFS('ON Data'!AH:AH,'ON Data'!$E:$E,5))</f>
        <v>0</v>
      </c>
      <c r="AD14" s="224">
        <f xml:space="preserve">
IF($A$4&lt;=12,SUMIFS('ON Data'!AI:AI,'ON Data'!$D:$D,$A$4,'ON Data'!$E:$E,5),SUMIFS('ON Data'!AI:AI,'ON Data'!$E:$E,5))</f>
        <v>0</v>
      </c>
      <c r="AE14" s="224">
        <f xml:space="preserve">
IF($A$4&lt;=12,SUMIFS('ON Data'!AJ:AJ,'ON Data'!$D:$D,$A$4,'ON Data'!$E:$E,5),SUMIFS('ON Data'!AJ:AJ,'ON Data'!$E:$E,5))</f>
        <v>0</v>
      </c>
      <c r="AF14" s="224">
        <f xml:space="preserve">
IF($A$4&lt;=12,SUMIFS('ON Data'!AK:AK,'ON Data'!$D:$D,$A$4,'ON Data'!$E:$E,5),SUMIFS('ON Data'!AK:AK,'ON Data'!$E:$E,5))</f>
        <v>0</v>
      </c>
      <c r="AG14" s="224">
        <f xml:space="preserve">
IF($A$4&lt;=12,SUMIFS('ON Data'!AL:AL,'ON Data'!$D:$D,$A$4,'ON Data'!$E:$E,5),SUMIFS('ON Data'!AL:AL,'ON Data'!$E:$E,5))</f>
        <v>0</v>
      </c>
      <c r="AH14" s="354">
        <f xml:space="preserve">
IF($A$4&lt;=12,SUMIFS('ON Data'!AN:AN,'ON Data'!$D:$D,$A$4,'ON Data'!$E:$E,5),SUMIFS('ON Data'!AN:AN,'ON Data'!$E:$E,5))</f>
        <v>0</v>
      </c>
      <c r="AI14" s="363"/>
    </row>
    <row r="15" spans="1:35" x14ac:dyDescent="0.3">
      <c r="A15" s="132" t="s">
        <v>150</v>
      </c>
      <c r="B15" s="225"/>
      <c r="C15" s="226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355"/>
      <c r="AI15" s="363"/>
    </row>
    <row r="16" spans="1:35" x14ac:dyDescent="0.3">
      <c r="A16" s="204" t="s">
        <v>141</v>
      </c>
      <c r="B16" s="219">
        <f xml:space="preserve">
IF($A$4&lt;=12,SUMIFS('ON Data'!F:F,'ON Data'!$D:$D,$A$4,'ON Data'!$E:$E,7),SUMIFS('ON Data'!F:F,'ON Data'!$E:$E,7))</f>
        <v>0</v>
      </c>
      <c r="C16" s="220">
        <f xml:space="preserve">
IF($A$4&lt;=12,SUMIFS('ON Data'!G:G,'ON Data'!$D:$D,$A$4,'ON Data'!$E:$E,7),SUMIFS('ON Data'!G:G,'ON Data'!$E:$E,7))</f>
        <v>0</v>
      </c>
      <c r="D16" s="221">
        <f xml:space="preserve">
IF($A$4&lt;=12,SUMIFS('ON Data'!H:H,'ON Data'!$D:$D,$A$4,'ON Data'!$E:$E,7),SUMIFS('ON Data'!H:H,'ON Data'!$E:$E,7))</f>
        <v>0</v>
      </c>
      <c r="E16" s="221">
        <f xml:space="preserve">
IF($A$4&lt;=12,SUMIFS('ON Data'!I:I,'ON Data'!$D:$D,$A$4,'ON Data'!$E:$E,7),SUMIFS('ON Data'!I:I,'ON Data'!$E:$E,7))</f>
        <v>0</v>
      </c>
      <c r="F16" s="221">
        <f xml:space="preserve">
IF($A$4&lt;=12,SUMIFS('ON Data'!K:K,'ON Data'!$D:$D,$A$4,'ON Data'!$E:$E,7),SUMIFS('ON Data'!K:K,'ON Data'!$E:$E,7))</f>
        <v>0</v>
      </c>
      <c r="G16" s="221">
        <f xml:space="preserve">
IF($A$4&lt;=12,SUMIFS('ON Data'!L:L,'ON Data'!$D:$D,$A$4,'ON Data'!$E:$E,7),SUMIFS('ON Data'!L:L,'ON Data'!$E:$E,7))</f>
        <v>0</v>
      </c>
      <c r="H16" s="221">
        <f xml:space="preserve">
IF($A$4&lt;=12,SUMIFS('ON Data'!M:M,'ON Data'!$D:$D,$A$4,'ON Data'!$E:$E,7),SUMIFS('ON Data'!M:M,'ON Data'!$E:$E,7))</f>
        <v>0</v>
      </c>
      <c r="I16" s="221">
        <f xml:space="preserve">
IF($A$4&lt;=12,SUMIFS('ON Data'!N:N,'ON Data'!$D:$D,$A$4,'ON Data'!$E:$E,7),SUMIFS('ON Data'!N:N,'ON Data'!$E:$E,7))</f>
        <v>0</v>
      </c>
      <c r="J16" s="221">
        <f xml:space="preserve">
IF($A$4&lt;=12,SUMIFS('ON Data'!O:O,'ON Data'!$D:$D,$A$4,'ON Data'!$E:$E,7),SUMIFS('ON Data'!O:O,'ON Data'!$E:$E,7))</f>
        <v>0</v>
      </c>
      <c r="K16" s="221">
        <f xml:space="preserve">
IF($A$4&lt;=12,SUMIFS('ON Data'!P:P,'ON Data'!$D:$D,$A$4,'ON Data'!$E:$E,7),SUMIFS('ON Data'!P:P,'ON Data'!$E:$E,7))</f>
        <v>0</v>
      </c>
      <c r="L16" s="221">
        <f xml:space="preserve">
IF($A$4&lt;=12,SUMIFS('ON Data'!Q:Q,'ON Data'!$D:$D,$A$4,'ON Data'!$E:$E,7),SUMIFS('ON Data'!Q:Q,'ON Data'!$E:$E,7))</f>
        <v>0</v>
      </c>
      <c r="M16" s="221">
        <f xml:space="preserve">
IF($A$4&lt;=12,SUMIFS('ON Data'!R:R,'ON Data'!$D:$D,$A$4,'ON Data'!$E:$E,7),SUMIFS('ON Data'!R:R,'ON Data'!$E:$E,7))</f>
        <v>0</v>
      </c>
      <c r="N16" s="221">
        <f xml:space="preserve">
IF($A$4&lt;=12,SUMIFS('ON Data'!S:S,'ON Data'!$D:$D,$A$4,'ON Data'!$E:$E,7),SUMIFS('ON Data'!S:S,'ON Data'!$E:$E,7))</f>
        <v>0</v>
      </c>
      <c r="O16" s="221">
        <f xml:space="preserve">
IF($A$4&lt;=12,SUMIFS('ON Data'!T:T,'ON Data'!$D:$D,$A$4,'ON Data'!$E:$E,7),SUMIFS('ON Data'!T:T,'ON Data'!$E:$E,7))</f>
        <v>0</v>
      </c>
      <c r="P16" s="221">
        <f xml:space="preserve">
IF($A$4&lt;=12,SUMIFS('ON Data'!U:U,'ON Data'!$D:$D,$A$4,'ON Data'!$E:$E,7),SUMIFS('ON Data'!U:U,'ON Data'!$E:$E,7))</f>
        <v>0</v>
      </c>
      <c r="Q16" s="221">
        <f xml:space="preserve">
IF($A$4&lt;=12,SUMIFS('ON Data'!V:V,'ON Data'!$D:$D,$A$4,'ON Data'!$E:$E,7),SUMIFS('ON Data'!V:V,'ON Data'!$E:$E,7))</f>
        <v>0</v>
      </c>
      <c r="R16" s="221">
        <f xml:space="preserve">
IF($A$4&lt;=12,SUMIFS('ON Data'!W:W,'ON Data'!$D:$D,$A$4,'ON Data'!$E:$E,7),SUMIFS('ON Data'!W:W,'ON Data'!$E:$E,7))</f>
        <v>0</v>
      </c>
      <c r="S16" s="221">
        <f xml:space="preserve">
IF($A$4&lt;=12,SUMIFS('ON Data'!X:X,'ON Data'!$D:$D,$A$4,'ON Data'!$E:$E,7),SUMIFS('ON Data'!X:X,'ON Data'!$E:$E,7))</f>
        <v>0</v>
      </c>
      <c r="T16" s="221">
        <f xml:space="preserve">
IF($A$4&lt;=12,SUMIFS('ON Data'!Y:Y,'ON Data'!$D:$D,$A$4,'ON Data'!$E:$E,7),SUMIFS('ON Data'!Y:Y,'ON Data'!$E:$E,7))</f>
        <v>0</v>
      </c>
      <c r="U16" s="221">
        <f xml:space="preserve">
IF($A$4&lt;=12,SUMIFS('ON Data'!Z:Z,'ON Data'!$D:$D,$A$4,'ON Data'!$E:$E,7),SUMIFS('ON Data'!Z:Z,'ON Data'!$E:$E,7))</f>
        <v>0</v>
      </c>
      <c r="V16" s="221">
        <f xml:space="preserve">
IF($A$4&lt;=12,SUMIFS('ON Data'!AA:AA,'ON Data'!$D:$D,$A$4,'ON Data'!$E:$E,7),SUMIFS('ON Data'!AA:AA,'ON Data'!$E:$E,7))</f>
        <v>0</v>
      </c>
      <c r="W16" s="221">
        <f xml:space="preserve">
IF($A$4&lt;=12,SUMIFS('ON Data'!AB:AB,'ON Data'!$D:$D,$A$4,'ON Data'!$E:$E,7),SUMIFS('ON Data'!AB:AB,'ON Data'!$E:$E,7))</f>
        <v>0</v>
      </c>
      <c r="X16" s="221">
        <f xml:space="preserve">
IF($A$4&lt;=12,SUMIFS('ON Data'!AC:AC,'ON Data'!$D:$D,$A$4,'ON Data'!$E:$E,7),SUMIFS('ON Data'!AC:AC,'ON Data'!$E:$E,7))</f>
        <v>0</v>
      </c>
      <c r="Y16" s="221">
        <f xml:space="preserve">
IF($A$4&lt;=12,SUMIFS('ON Data'!AD:AD,'ON Data'!$D:$D,$A$4,'ON Data'!$E:$E,7),SUMIFS('ON Data'!AD:AD,'ON Data'!$E:$E,7))</f>
        <v>0</v>
      </c>
      <c r="Z16" s="221">
        <f xml:space="preserve">
IF($A$4&lt;=12,SUMIFS('ON Data'!AE:AE,'ON Data'!$D:$D,$A$4,'ON Data'!$E:$E,7),SUMIFS('ON Data'!AE:AE,'ON Data'!$E:$E,7))</f>
        <v>0</v>
      </c>
      <c r="AA16" s="221">
        <f xml:space="preserve">
IF($A$4&lt;=12,SUMIFS('ON Data'!AF:AF,'ON Data'!$D:$D,$A$4,'ON Data'!$E:$E,7),SUMIFS('ON Data'!AF:AF,'ON Data'!$E:$E,7))</f>
        <v>0</v>
      </c>
      <c r="AB16" s="221">
        <f xml:space="preserve">
IF($A$4&lt;=12,SUMIFS('ON Data'!AG:AG,'ON Data'!$D:$D,$A$4,'ON Data'!$E:$E,7),SUMIFS('ON Data'!AG:AG,'ON Data'!$E:$E,7))</f>
        <v>0</v>
      </c>
      <c r="AC16" s="221">
        <f xml:space="preserve">
IF($A$4&lt;=12,SUMIFS('ON Data'!AH:AH,'ON Data'!$D:$D,$A$4,'ON Data'!$E:$E,7),SUMIFS('ON Data'!AH:AH,'ON Data'!$E:$E,7))</f>
        <v>0</v>
      </c>
      <c r="AD16" s="221">
        <f xml:space="preserve">
IF($A$4&lt;=12,SUMIFS('ON Data'!AI:AI,'ON Data'!$D:$D,$A$4,'ON Data'!$E:$E,7),SUMIFS('ON Data'!AI:AI,'ON Data'!$E:$E,7))</f>
        <v>0</v>
      </c>
      <c r="AE16" s="221">
        <f xml:space="preserve">
IF($A$4&lt;=12,SUMIFS('ON Data'!AJ:AJ,'ON Data'!$D:$D,$A$4,'ON Data'!$E:$E,7),SUMIFS('ON Data'!AJ:AJ,'ON Data'!$E:$E,7))</f>
        <v>0</v>
      </c>
      <c r="AF16" s="221">
        <f xml:space="preserve">
IF($A$4&lt;=12,SUMIFS('ON Data'!AK:AK,'ON Data'!$D:$D,$A$4,'ON Data'!$E:$E,7),SUMIFS('ON Data'!AK:AK,'ON Data'!$E:$E,7))</f>
        <v>0</v>
      </c>
      <c r="AG16" s="221">
        <f xml:space="preserve">
IF($A$4&lt;=12,SUMIFS('ON Data'!AL:AL,'ON Data'!$D:$D,$A$4,'ON Data'!$E:$E,7),SUMIFS('ON Data'!AL:AL,'ON Data'!$E:$E,7))</f>
        <v>0</v>
      </c>
      <c r="AH16" s="353">
        <f xml:space="preserve">
IF($A$4&lt;=12,SUMIFS('ON Data'!AN:AN,'ON Data'!$D:$D,$A$4,'ON Data'!$E:$E,7),SUMIFS('ON Data'!AN:AN,'ON Data'!$E:$E,7))</f>
        <v>0</v>
      </c>
      <c r="AI16" s="363"/>
    </row>
    <row r="17" spans="1:35" x14ac:dyDescent="0.3">
      <c r="A17" s="204" t="s">
        <v>142</v>
      </c>
      <c r="B17" s="219">
        <f xml:space="preserve">
IF($A$4&lt;=12,SUMIFS('ON Data'!F:F,'ON Data'!$D:$D,$A$4,'ON Data'!$E:$E,8),SUMIFS('ON Data'!F:F,'ON Data'!$E:$E,8))</f>
        <v>0</v>
      </c>
      <c r="C17" s="220">
        <f xml:space="preserve">
IF($A$4&lt;=12,SUMIFS('ON Data'!G:G,'ON Data'!$D:$D,$A$4,'ON Data'!$E:$E,8),SUMIFS('ON Data'!G:G,'ON Data'!$E:$E,8))</f>
        <v>0</v>
      </c>
      <c r="D17" s="221">
        <f xml:space="preserve">
IF($A$4&lt;=12,SUMIFS('ON Data'!H:H,'ON Data'!$D:$D,$A$4,'ON Data'!$E:$E,8),SUMIFS('ON Data'!H:H,'ON Data'!$E:$E,8))</f>
        <v>0</v>
      </c>
      <c r="E17" s="221">
        <f xml:space="preserve">
IF($A$4&lt;=12,SUMIFS('ON Data'!I:I,'ON Data'!$D:$D,$A$4,'ON Data'!$E:$E,8),SUMIFS('ON Data'!I:I,'ON Data'!$E:$E,8))</f>
        <v>0</v>
      </c>
      <c r="F17" s="221">
        <f xml:space="preserve">
IF($A$4&lt;=12,SUMIFS('ON Data'!K:K,'ON Data'!$D:$D,$A$4,'ON Data'!$E:$E,8),SUMIFS('ON Data'!K:K,'ON Data'!$E:$E,8))</f>
        <v>0</v>
      </c>
      <c r="G17" s="221">
        <f xml:space="preserve">
IF($A$4&lt;=12,SUMIFS('ON Data'!L:L,'ON Data'!$D:$D,$A$4,'ON Data'!$E:$E,8),SUMIFS('ON Data'!L:L,'ON Data'!$E:$E,8))</f>
        <v>0</v>
      </c>
      <c r="H17" s="221">
        <f xml:space="preserve">
IF($A$4&lt;=12,SUMIFS('ON Data'!M:M,'ON Data'!$D:$D,$A$4,'ON Data'!$E:$E,8),SUMIFS('ON Data'!M:M,'ON Data'!$E:$E,8))</f>
        <v>0</v>
      </c>
      <c r="I17" s="221">
        <f xml:space="preserve">
IF($A$4&lt;=12,SUMIFS('ON Data'!N:N,'ON Data'!$D:$D,$A$4,'ON Data'!$E:$E,8),SUMIFS('ON Data'!N:N,'ON Data'!$E:$E,8))</f>
        <v>0</v>
      </c>
      <c r="J17" s="221">
        <f xml:space="preserve">
IF($A$4&lt;=12,SUMIFS('ON Data'!O:O,'ON Data'!$D:$D,$A$4,'ON Data'!$E:$E,8),SUMIFS('ON Data'!O:O,'ON Data'!$E:$E,8))</f>
        <v>0</v>
      </c>
      <c r="K17" s="221">
        <f xml:space="preserve">
IF($A$4&lt;=12,SUMIFS('ON Data'!P:P,'ON Data'!$D:$D,$A$4,'ON Data'!$E:$E,8),SUMIFS('ON Data'!P:P,'ON Data'!$E:$E,8))</f>
        <v>0</v>
      </c>
      <c r="L17" s="221">
        <f xml:space="preserve">
IF($A$4&lt;=12,SUMIFS('ON Data'!Q:Q,'ON Data'!$D:$D,$A$4,'ON Data'!$E:$E,8),SUMIFS('ON Data'!Q:Q,'ON Data'!$E:$E,8))</f>
        <v>0</v>
      </c>
      <c r="M17" s="221">
        <f xml:space="preserve">
IF($A$4&lt;=12,SUMIFS('ON Data'!R:R,'ON Data'!$D:$D,$A$4,'ON Data'!$E:$E,8),SUMIFS('ON Data'!R:R,'ON Data'!$E:$E,8))</f>
        <v>0</v>
      </c>
      <c r="N17" s="221">
        <f xml:space="preserve">
IF($A$4&lt;=12,SUMIFS('ON Data'!S:S,'ON Data'!$D:$D,$A$4,'ON Data'!$E:$E,8),SUMIFS('ON Data'!S:S,'ON Data'!$E:$E,8))</f>
        <v>0</v>
      </c>
      <c r="O17" s="221">
        <f xml:space="preserve">
IF($A$4&lt;=12,SUMIFS('ON Data'!T:T,'ON Data'!$D:$D,$A$4,'ON Data'!$E:$E,8),SUMIFS('ON Data'!T:T,'ON Data'!$E:$E,8))</f>
        <v>0</v>
      </c>
      <c r="P17" s="221">
        <f xml:space="preserve">
IF($A$4&lt;=12,SUMIFS('ON Data'!U:U,'ON Data'!$D:$D,$A$4,'ON Data'!$E:$E,8),SUMIFS('ON Data'!U:U,'ON Data'!$E:$E,8))</f>
        <v>0</v>
      </c>
      <c r="Q17" s="221">
        <f xml:space="preserve">
IF($A$4&lt;=12,SUMIFS('ON Data'!V:V,'ON Data'!$D:$D,$A$4,'ON Data'!$E:$E,8),SUMIFS('ON Data'!V:V,'ON Data'!$E:$E,8))</f>
        <v>0</v>
      </c>
      <c r="R17" s="221">
        <f xml:space="preserve">
IF($A$4&lt;=12,SUMIFS('ON Data'!W:W,'ON Data'!$D:$D,$A$4,'ON Data'!$E:$E,8),SUMIFS('ON Data'!W:W,'ON Data'!$E:$E,8))</f>
        <v>0</v>
      </c>
      <c r="S17" s="221">
        <f xml:space="preserve">
IF($A$4&lt;=12,SUMIFS('ON Data'!X:X,'ON Data'!$D:$D,$A$4,'ON Data'!$E:$E,8),SUMIFS('ON Data'!X:X,'ON Data'!$E:$E,8))</f>
        <v>0</v>
      </c>
      <c r="T17" s="221">
        <f xml:space="preserve">
IF($A$4&lt;=12,SUMIFS('ON Data'!Y:Y,'ON Data'!$D:$D,$A$4,'ON Data'!$E:$E,8),SUMIFS('ON Data'!Y:Y,'ON Data'!$E:$E,8))</f>
        <v>0</v>
      </c>
      <c r="U17" s="221">
        <f xml:space="preserve">
IF($A$4&lt;=12,SUMIFS('ON Data'!Z:Z,'ON Data'!$D:$D,$A$4,'ON Data'!$E:$E,8),SUMIFS('ON Data'!Z:Z,'ON Data'!$E:$E,8))</f>
        <v>0</v>
      </c>
      <c r="V17" s="221">
        <f xml:space="preserve">
IF($A$4&lt;=12,SUMIFS('ON Data'!AA:AA,'ON Data'!$D:$D,$A$4,'ON Data'!$E:$E,8),SUMIFS('ON Data'!AA:AA,'ON Data'!$E:$E,8))</f>
        <v>0</v>
      </c>
      <c r="W17" s="221">
        <f xml:space="preserve">
IF($A$4&lt;=12,SUMIFS('ON Data'!AB:AB,'ON Data'!$D:$D,$A$4,'ON Data'!$E:$E,8),SUMIFS('ON Data'!AB:AB,'ON Data'!$E:$E,8))</f>
        <v>0</v>
      </c>
      <c r="X17" s="221">
        <f xml:space="preserve">
IF($A$4&lt;=12,SUMIFS('ON Data'!AC:AC,'ON Data'!$D:$D,$A$4,'ON Data'!$E:$E,8),SUMIFS('ON Data'!AC:AC,'ON Data'!$E:$E,8))</f>
        <v>0</v>
      </c>
      <c r="Y17" s="221">
        <f xml:space="preserve">
IF($A$4&lt;=12,SUMIFS('ON Data'!AD:AD,'ON Data'!$D:$D,$A$4,'ON Data'!$E:$E,8),SUMIFS('ON Data'!AD:AD,'ON Data'!$E:$E,8))</f>
        <v>0</v>
      </c>
      <c r="Z17" s="221">
        <f xml:space="preserve">
IF($A$4&lt;=12,SUMIFS('ON Data'!AE:AE,'ON Data'!$D:$D,$A$4,'ON Data'!$E:$E,8),SUMIFS('ON Data'!AE:AE,'ON Data'!$E:$E,8))</f>
        <v>0</v>
      </c>
      <c r="AA17" s="221">
        <f xml:space="preserve">
IF($A$4&lt;=12,SUMIFS('ON Data'!AF:AF,'ON Data'!$D:$D,$A$4,'ON Data'!$E:$E,8),SUMIFS('ON Data'!AF:AF,'ON Data'!$E:$E,8))</f>
        <v>0</v>
      </c>
      <c r="AB17" s="221">
        <f xml:space="preserve">
IF($A$4&lt;=12,SUMIFS('ON Data'!AG:AG,'ON Data'!$D:$D,$A$4,'ON Data'!$E:$E,8),SUMIFS('ON Data'!AG:AG,'ON Data'!$E:$E,8))</f>
        <v>0</v>
      </c>
      <c r="AC17" s="221">
        <f xml:space="preserve">
IF($A$4&lt;=12,SUMIFS('ON Data'!AH:AH,'ON Data'!$D:$D,$A$4,'ON Data'!$E:$E,8),SUMIFS('ON Data'!AH:AH,'ON Data'!$E:$E,8))</f>
        <v>0</v>
      </c>
      <c r="AD17" s="221">
        <f xml:space="preserve">
IF($A$4&lt;=12,SUMIFS('ON Data'!AI:AI,'ON Data'!$D:$D,$A$4,'ON Data'!$E:$E,8),SUMIFS('ON Data'!AI:AI,'ON Data'!$E:$E,8))</f>
        <v>0</v>
      </c>
      <c r="AE17" s="221">
        <f xml:space="preserve">
IF($A$4&lt;=12,SUMIFS('ON Data'!AJ:AJ,'ON Data'!$D:$D,$A$4,'ON Data'!$E:$E,8),SUMIFS('ON Data'!AJ:AJ,'ON Data'!$E:$E,8))</f>
        <v>0</v>
      </c>
      <c r="AF17" s="221">
        <f xml:space="preserve">
IF($A$4&lt;=12,SUMIFS('ON Data'!AK:AK,'ON Data'!$D:$D,$A$4,'ON Data'!$E:$E,8),SUMIFS('ON Data'!AK:AK,'ON Data'!$E:$E,8))</f>
        <v>0</v>
      </c>
      <c r="AG17" s="221">
        <f xml:space="preserve">
IF($A$4&lt;=12,SUMIFS('ON Data'!AL:AL,'ON Data'!$D:$D,$A$4,'ON Data'!$E:$E,8),SUMIFS('ON Data'!AL:AL,'ON Data'!$E:$E,8))</f>
        <v>0</v>
      </c>
      <c r="AH17" s="353">
        <f xml:space="preserve">
IF($A$4&lt;=12,SUMIFS('ON Data'!AN:AN,'ON Data'!$D:$D,$A$4,'ON Data'!$E:$E,8),SUMIFS('ON Data'!AN:AN,'ON Data'!$E:$E,8))</f>
        <v>0</v>
      </c>
      <c r="AI17" s="363"/>
    </row>
    <row r="18" spans="1:35" x14ac:dyDescent="0.3">
      <c r="A18" s="204" t="s">
        <v>143</v>
      </c>
      <c r="B18" s="219">
        <f xml:space="preserve">
B19-B16-B17</f>
        <v>5000</v>
      </c>
      <c r="C18" s="220">
        <f t="shared" ref="C18:G18" si="0" xml:space="preserve">
C19-C16-C17</f>
        <v>0</v>
      </c>
      <c r="D18" s="221">
        <f t="shared" si="0"/>
        <v>5000</v>
      </c>
      <c r="E18" s="221">
        <f t="shared" si="0"/>
        <v>0</v>
      </c>
      <c r="F18" s="221">
        <f t="shared" si="0"/>
        <v>0</v>
      </c>
      <c r="G18" s="221">
        <f t="shared" si="0"/>
        <v>0</v>
      </c>
      <c r="H18" s="221">
        <f t="shared" ref="H18:AH18" si="1" xml:space="preserve">
H19-H16-H17</f>
        <v>0</v>
      </c>
      <c r="I18" s="221">
        <f t="shared" si="1"/>
        <v>0</v>
      </c>
      <c r="J18" s="221">
        <f t="shared" si="1"/>
        <v>0</v>
      </c>
      <c r="K18" s="221">
        <f t="shared" si="1"/>
        <v>0</v>
      </c>
      <c r="L18" s="221">
        <f t="shared" si="1"/>
        <v>0</v>
      </c>
      <c r="M18" s="221">
        <f t="shared" si="1"/>
        <v>0</v>
      </c>
      <c r="N18" s="221">
        <f t="shared" si="1"/>
        <v>0</v>
      </c>
      <c r="O18" s="221">
        <f t="shared" si="1"/>
        <v>0</v>
      </c>
      <c r="P18" s="221">
        <f t="shared" si="1"/>
        <v>0</v>
      </c>
      <c r="Q18" s="221">
        <f t="shared" si="1"/>
        <v>0</v>
      </c>
      <c r="R18" s="221">
        <f t="shared" si="1"/>
        <v>0</v>
      </c>
      <c r="S18" s="221">
        <f t="shared" si="1"/>
        <v>0</v>
      </c>
      <c r="T18" s="221">
        <f t="shared" si="1"/>
        <v>0</v>
      </c>
      <c r="U18" s="221">
        <f t="shared" si="1"/>
        <v>0</v>
      </c>
      <c r="V18" s="221">
        <f t="shared" si="1"/>
        <v>0</v>
      </c>
      <c r="W18" s="221">
        <f t="shared" si="1"/>
        <v>0</v>
      </c>
      <c r="X18" s="221">
        <f t="shared" si="1"/>
        <v>0</v>
      </c>
      <c r="Y18" s="221">
        <f t="shared" si="1"/>
        <v>0</v>
      </c>
      <c r="Z18" s="221">
        <f t="shared" si="1"/>
        <v>0</v>
      </c>
      <c r="AA18" s="221">
        <f t="shared" si="1"/>
        <v>0</v>
      </c>
      <c r="AB18" s="221">
        <f t="shared" si="1"/>
        <v>0</v>
      </c>
      <c r="AC18" s="221">
        <f t="shared" si="1"/>
        <v>0</v>
      </c>
      <c r="AD18" s="221">
        <f t="shared" si="1"/>
        <v>0</v>
      </c>
      <c r="AE18" s="221">
        <f t="shared" si="1"/>
        <v>0</v>
      </c>
      <c r="AF18" s="221">
        <f t="shared" si="1"/>
        <v>0</v>
      </c>
      <c r="AG18" s="221">
        <f t="shared" si="1"/>
        <v>0</v>
      </c>
      <c r="AH18" s="353">
        <f t="shared" si="1"/>
        <v>0</v>
      </c>
      <c r="AI18" s="363"/>
    </row>
    <row r="19" spans="1:35" ht="15" thickBot="1" x14ac:dyDescent="0.35">
      <c r="A19" s="205" t="s">
        <v>144</v>
      </c>
      <c r="B19" s="228">
        <f xml:space="preserve">
IF($A$4&lt;=12,SUMIFS('ON Data'!F:F,'ON Data'!$D:$D,$A$4,'ON Data'!$E:$E,9),SUMIFS('ON Data'!F:F,'ON Data'!$E:$E,9))</f>
        <v>5000</v>
      </c>
      <c r="C19" s="229">
        <f xml:space="preserve">
IF($A$4&lt;=12,SUMIFS('ON Data'!G:G,'ON Data'!$D:$D,$A$4,'ON Data'!$E:$E,9),SUMIFS('ON Data'!G:G,'ON Data'!$E:$E,9))</f>
        <v>0</v>
      </c>
      <c r="D19" s="230">
        <f xml:space="preserve">
IF($A$4&lt;=12,SUMIFS('ON Data'!H:H,'ON Data'!$D:$D,$A$4,'ON Data'!$E:$E,9),SUMIFS('ON Data'!H:H,'ON Data'!$E:$E,9))</f>
        <v>5000</v>
      </c>
      <c r="E19" s="230">
        <f xml:space="preserve">
IF($A$4&lt;=12,SUMIFS('ON Data'!I:I,'ON Data'!$D:$D,$A$4,'ON Data'!$E:$E,9),SUMIFS('ON Data'!I:I,'ON Data'!$E:$E,9))</f>
        <v>0</v>
      </c>
      <c r="F19" s="230">
        <f xml:space="preserve">
IF($A$4&lt;=12,SUMIFS('ON Data'!K:K,'ON Data'!$D:$D,$A$4,'ON Data'!$E:$E,9),SUMIFS('ON Data'!K:K,'ON Data'!$E:$E,9))</f>
        <v>0</v>
      </c>
      <c r="G19" s="230">
        <f xml:space="preserve">
IF($A$4&lt;=12,SUMIFS('ON Data'!L:L,'ON Data'!$D:$D,$A$4,'ON Data'!$E:$E,9),SUMIFS('ON Data'!L:L,'ON Data'!$E:$E,9))</f>
        <v>0</v>
      </c>
      <c r="H19" s="230">
        <f xml:space="preserve">
IF($A$4&lt;=12,SUMIFS('ON Data'!M:M,'ON Data'!$D:$D,$A$4,'ON Data'!$E:$E,9),SUMIFS('ON Data'!M:M,'ON Data'!$E:$E,9))</f>
        <v>0</v>
      </c>
      <c r="I19" s="230">
        <f xml:space="preserve">
IF($A$4&lt;=12,SUMIFS('ON Data'!N:N,'ON Data'!$D:$D,$A$4,'ON Data'!$E:$E,9),SUMIFS('ON Data'!N:N,'ON Data'!$E:$E,9))</f>
        <v>0</v>
      </c>
      <c r="J19" s="230">
        <f xml:space="preserve">
IF($A$4&lt;=12,SUMIFS('ON Data'!O:O,'ON Data'!$D:$D,$A$4,'ON Data'!$E:$E,9),SUMIFS('ON Data'!O:O,'ON Data'!$E:$E,9))</f>
        <v>0</v>
      </c>
      <c r="K19" s="230">
        <f xml:space="preserve">
IF($A$4&lt;=12,SUMIFS('ON Data'!P:P,'ON Data'!$D:$D,$A$4,'ON Data'!$E:$E,9),SUMIFS('ON Data'!P:P,'ON Data'!$E:$E,9))</f>
        <v>0</v>
      </c>
      <c r="L19" s="230">
        <f xml:space="preserve">
IF($A$4&lt;=12,SUMIFS('ON Data'!Q:Q,'ON Data'!$D:$D,$A$4,'ON Data'!$E:$E,9),SUMIFS('ON Data'!Q:Q,'ON Data'!$E:$E,9))</f>
        <v>0</v>
      </c>
      <c r="M19" s="230">
        <f xml:space="preserve">
IF($A$4&lt;=12,SUMIFS('ON Data'!R:R,'ON Data'!$D:$D,$A$4,'ON Data'!$E:$E,9),SUMIFS('ON Data'!R:R,'ON Data'!$E:$E,9))</f>
        <v>0</v>
      </c>
      <c r="N19" s="230">
        <f xml:space="preserve">
IF($A$4&lt;=12,SUMIFS('ON Data'!S:S,'ON Data'!$D:$D,$A$4,'ON Data'!$E:$E,9),SUMIFS('ON Data'!S:S,'ON Data'!$E:$E,9))</f>
        <v>0</v>
      </c>
      <c r="O19" s="230">
        <f xml:space="preserve">
IF($A$4&lt;=12,SUMIFS('ON Data'!T:T,'ON Data'!$D:$D,$A$4,'ON Data'!$E:$E,9),SUMIFS('ON Data'!T:T,'ON Data'!$E:$E,9))</f>
        <v>0</v>
      </c>
      <c r="P19" s="230">
        <f xml:space="preserve">
IF($A$4&lt;=12,SUMIFS('ON Data'!U:U,'ON Data'!$D:$D,$A$4,'ON Data'!$E:$E,9),SUMIFS('ON Data'!U:U,'ON Data'!$E:$E,9))</f>
        <v>0</v>
      </c>
      <c r="Q19" s="230">
        <f xml:space="preserve">
IF($A$4&lt;=12,SUMIFS('ON Data'!V:V,'ON Data'!$D:$D,$A$4,'ON Data'!$E:$E,9),SUMIFS('ON Data'!V:V,'ON Data'!$E:$E,9))</f>
        <v>0</v>
      </c>
      <c r="R19" s="230">
        <f xml:space="preserve">
IF($A$4&lt;=12,SUMIFS('ON Data'!W:W,'ON Data'!$D:$D,$A$4,'ON Data'!$E:$E,9),SUMIFS('ON Data'!W:W,'ON Data'!$E:$E,9))</f>
        <v>0</v>
      </c>
      <c r="S19" s="230">
        <f xml:space="preserve">
IF($A$4&lt;=12,SUMIFS('ON Data'!X:X,'ON Data'!$D:$D,$A$4,'ON Data'!$E:$E,9),SUMIFS('ON Data'!X:X,'ON Data'!$E:$E,9))</f>
        <v>0</v>
      </c>
      <c r="T19" s="230">
        <f xml:space="preserve">
IF($A$4&lt;=12,SUMIFS('ON Data'!Y:Y,'ON Data'!$D:$D,$A$4,'ON Data'!$E:$E,9),SUMIFS('ON Data'!Y:Y,'ON Data'!$E:$E,9))</f>
        <v>0</v>
      </c>
      <c r="U19" s="230">
        <f xml:space="preserve">
IF($A$4&lt;=12,SUMIFS('ON Data'!Z:Z,'ON Data'!$D:$D,$A$4,'ON Data'!$E:$E,9),SUMIFS('ON Data'!Z:Z,'ON Data'!$E:$E,9))</f>
        <v>0</v>
      </c>
      <c r="V19" s="230">
        <f xml:space="preserve">
IF($A$4&lt;=12,SUMIFS('ON Data'!AA:AA,'ON Data'!$D:$D,$A$4,'ON Data'!$E:$E,9),SUMIFS('ON Data'!AA:AA,'ON Data'!$E:$E,9))</f>
        <v>0</v>
      </c>
      <c r="W19" s="230">
        <f xml:space="preserve">
IF($A$4&lt;=12,SUMIFS('ON Data'!AB:AB,'ON Data'!$D:$D,$A$4,'ON Data'!$E:$E,9),SUMIFS('ON Data'!AB:AB,'ON Data'!$E:$E,9))</f>
        <v>0</v>
      </c>
      <c r="X19" s="230">
        <f xml:space="preserve">
IF($A$4&lt;=12,SUMIFS('ON Data'!AC:AC,'ON Data'!$D:$D,$A$4,'ON Data'!$E:$E,9),SUMIFS('ON Data'!AC:AC,'ON Data'!$E:$E,9))</f>
        <v>0</v>
      </c>
      <c r="Y19" s="230">
        <f xml:space="preserve">
IF($A$4&lt;=12,SUMIFS('ON Data'!AD:AD,'ON Data'!$D:$D,$A$4,'ON Data'!$E:$E,9),SUMIFS('ON Data'!AD:AD,'ON Data'!$E:$E,9))</f>
        <v>0</v>
      </c>
      <c r="Z19" s="230">
        <f xml:space="preserve">
IF($A$4&lt;=12,SUMIFS('ON Data'!AE:AE,'ON Data'!$D:$D,$A$4,'ON Data'!$E:$E,9),SUMIFS('ON Data'!AE:AE,'ON Data'!$E:$E,9))</f>
        <v>0</v>
      </c>
      <c r="AA19" s="230">
        <f xml:space="preserve">
IF($A$4&lt;=12,SUMIFS('ON Data'!AF:AF,'ON Data'!$D:$D,$A$4,'ON Data'!$E:$E,9),SUMIFS('ON Data'!AF:AF,'ON Data'!$E:$E,9))</f>
        <v>0</v>
      </c>
      <c r="AB19" s="230">
        <f xml:space="preserve">
IF($A$4&lt;=12,SUMIFS('ON Data'!AG:AG,'ON Data'!$D:$D,$A$4,'ON Data'!$E:$E,9),SUMIFS('ON Data'!AG:AG,'ON Data'!$E:$E,9))</f>
        <v>0</v>
      </c>
      <c r="AC19" s="230">
        <f xml:space="preserve">
IF($A$4&lt;=12,SUMIFS('ON Data'!AH:AH,'ON Data'!$D:$D,$A$4,'ON Data'!$E:$E,9),SUMIFS('ON Data'!AH:AH,'ON Data'!$E:$E,9))</f>
        <v>0</v>
      </c>
      <c r="AD19" s="230">
        <f xml:space="preserve">
IF($A$4&lt;=12,SUMIFS('ON Data'!AI:AI,'ON Data'!$D:$D,$A$4,'ON Data'!$E:$E,9),SUMIFS('ON Data'!AI:AI,'ON Data'!$E:$E,9))</f>
        <v>0</v>
      </c>
      <c r="AE19" s="230">
        <f xml:space="preserve">
IF($A$4&lt;=12,SUMIFS('ON Data'!AJ:AJ,'ON Data'!$D:$D,$A$4,'ON Data'!$E:$E,9),SUMIFS('ON Data'!AJ:AJ,'ON Data'!$E:$E,9))</f>
        <v>0</v>
      </c>
      <c r="AF19" s="230">
        <f xml:space="preserve">
IF($A$4&lt;=12,SUMIFS('ON Data'!AK:AK,'ON Data'!$D:$D,$A$4,'ON Data'!$E:$E,9),SUMIFS('ON Data'!AK:AK,'ON Data'!$E:$E,9))</f>
        <v>0</v>
      </c>
      <c r="AG19" s="230">
        <f xml:space="preserve">
IF($A$4&lt;=12,SUMIFS('ON Data'!AL:AL,'ON Data'!$D:$D,$A$4,'ON Data'!$E:$E,9),SUMIFS('ON Data'!AL:AL,'ON Data'!$E:$E,9))</f>
        <v>0</v>
      </c>
      <c r="AH19" s="356">
        <f xml:space="preserve">
IF($A$4&lt;=12,SUMIFS('ON Data'!AN:AN,'ON Data'!$D:$D,$A$4,'ON Data'!$E:$E,9),SUMIFS('ON Data'!AN:AN,'ON Data'!$E:$E,9))</f>
        <v>0</v>
      </c>
      <c r="AI19" s="363"/>
    </row>
    <row r="20" spans="1:35" ht="15" collapsed="1" thickBot="1" x14ac:dyDescent="0.35">
      <c r="A20" s="206" t="s">
        <v>48</v>
      </c>
      <c r="B20" s="231">
        <f xml:space="preserve">
IF($A$4&lt;=12,SUMIFS('ON Data'!F:F,'ON Data'!$D:$D,$A$4,'ON Data'!$E:$E,6),SUMIFS('ON Data'!F:F,'ON Data'!$E:$E,6))</f>
        <v>265427</v>
      </c>
      <c r="C20" s="232">
        <f xml:space="preserve">
IF($A$4&lt;=12,SUMIFS('ON Data'!G:G,'ON Data'!$D:$D,$A$4,'ON Data'!$E:$E,6),SUMIFS('ON Data'!G:G,'ON Data'!$E:$E,6))</f>
        <v>0</v>
      </c>
      <c r="D20" s="233">
        <f xml:space="preserve">
IF($A$4&lt;=12,SUMIFS('ON Data'!H:H,'ON Data'!$D:$D,$A$4,'ON Data'!$E:$E,6),SUMIFS('ON Data'!H:H,'ON Data'!$E:$E,6))</f>
        <v>232814</v>
      </c>
      <c r="E20" s="233">
        <f xml:space="preserve">
IF($A$4&lt;=12,SUMIFS('ON Data'!I:I,'ON Data'!$D:$D,$A$4,'ON Data'!$E:$E,6),SUMIFS('ON Data'!I:I,'ON Data'!$E:$E,6))</f>
        <v>0</v>
      </c>
      <c r="F20" s="233">
        <f xml:space="preserve">
IF($A$4&lt;=12,SUMIFS('ON Data'!K:K,'ON Data'!$D:$D,$A$4,'ON Data'!$E:$E,6),SUMIFS('ON Data'!K:K,'ON Data'!$E:$E,6))</f>
        <v>0</v>
      </c>
      <c r="G20" s="233">
        <f xml:space="preserve">
IF($A$4&lt;=12,SUMIFS('ON Data'!L:L,'ON Data'!$D:$D,$A$4,'ON Data'!$E:$E,6),SUMIFS('ON Data'!L:L,'ON Data'!$E:$E,6))</f>
        <v>0</v>
      </c>
      <c r="H20" s="233">
        <f xml:space="preserve">
IF($A$4&lt;=12,SUMIFS('ON Data'!M:M,'ON Data'!$D:$D,$A$4,'ON Data'!$E:$E,6),SUMIFS('ON Data'!M:M,'ON Data'!$E:$E,6))</f>
        <v>0</v>
      </c>
      <c r="I20" s="233">
        <f xml:space="preserve">
IF($A$4&lt;=12,SUMIFS('ON Data'!N:N,'ON Data'!$D:$D,$A$4,'ON Data'!$E:$E,6),SUMIFS('ON Data'!N:N,'ON Data'!$E:$E,6))</f>
        <v>0</v>
      </c>
      <c r="J20" s="233">
        <f xml:space="preserve">
IF($A$4&lt;=12,SUMIFS('ON Data'!O:O,'ON Data'!$D:$D,$A$4,'ON Data'!$E:$E,6),SUMIFS('ON Data'!O:O,'ON Data'!$E:$E,6))</f>
        <v>0</v>
      </c>
      <c r="K20" s="233">
        <f xml:space="preserve">
IF($A$4&lt;=12,SUMIFS('ON Data'!P:P,'ON Data'!$D:$D,$A$4,'ON Data'!$E:$E,6),SUMIFS('ON Data'!P:P,'ON Data'!$E:$E,6))</f>
        <v>0</v>
      </c>
      <c r="L20" s="233">
        <f xml:space="preserve">
IF($A$4&lt;=12,SUMIFS('ON Data'!Q:Q,'ON Data'!$D:$D,$A$4,'ON Data'!$E:$E,6),SUMIFS('ON Data'!Q:Q,'ON Data'!$E:$E,6))</f>
        <v>0</v>
      </c>
      <c r="M20" s="233">
        <f xml:space="preserve">
IF($A$4&lt;=12,SUMIFS('ON Data'!R:R,'ON Data'!$D:$D,$A$4,'ON Data'!$E:$E,6),SUMIFS('ON Data'!R:R,'ON Data'!$E:$E,6))</f>
        <v>0</v>
      </c>
      <c r="N20" s="233">
        <f xml:space="preserve">
IF($A$4&lt;=12,SUMIFS('ON Data'!S:S,'ON Data'!$D:$D,$A$4,'ON Data'!$E:$E,6),SUMIFS('ON Data'!S:S,'ON Data'!$E:$E,6))</f>
        <v>0</v>
      </c>
      <c r="O20" s="233">
        <f xml:space="preserve">
IF($A$4&lt;=12,SUMIFS('ON Data'!T:T,'ON Data'!$D:$D,$A$4,'ON Data'!$E:$E,6),SUMIFS('ON Data'!T:T,'ON Data'!$E:$E,6))</f>
        <v>0</v>
      </c>
      <c r="P20" s="233">
        <f xml:space="preserve">
IF($A$4&lt;=12,SUMIFS('ON Data'!U:U,'ON Data'!$D:$D,$A$4,'ON Data'!$E:$E,6),SUMIFS('ON Data'!U:U,'ON Data'!$E:$E,6))</f>
        <v>0</v>
      </c>
      <c r="Q20" s="233">
        <f xml:space="preserve">
IF($A$4&lt;=12,SUMIFS('ON Data'!V:V,'ON Data'!$D:$D,$A$4,'ON Data'!$E:$E,6),SUMIFS('ON Data'!V:V,'ON Data'!$E:$E,6))</f>
        <v>0</v>
      </c>
      <c r="R20" s="233">
        <f xml:space="preserve">
IF($A$4&lt;=12,SUMIFS('ON Data'!W:W,'ON Data'!$D:$D,$A$4,'ON Data'!$E:$E,6),SUMIFS('ON Data'!W:W,'ON Data'!$E:$E,6))</f>
        <v>0</v>
      </c>
      <c r="S20" s="233">
        <f xml:space="preserve">
IF($A$4&lt;=12,SUMIFS('ON Data'!X:X,'ON Data'!$D:$D,$A$4,'ON Data'!$E:$E,6),SUMIFS('ON Data'!X:X,'ON Data'!$E:$E,6))</f>
        <v>0</v>
      </c>
      <c r="T20" s="233">
        <f xml:space="preserve">
IF($A$4&lt;=12,SUMIFS('ON Data'!Y:Y,'ON Data'!$D:$D,$A$4,'ON Data'!$E:$E,6),SUMIFS('ON Data'!Y:Y,'ON Data'!$E:$E,6))</f>
        <v>0</v>
      </c>
      <c r="U20" s="233">
        <f xml:space="preserve">
IF($A$4&lt;=12,SUMIFS('ON Data'!Z:Z,'ON Data'!$D:$D,$A$4,'ON Data'!$E:$E,6),SUMIFS('ON Data'!Z:Z,'ON Data'!$E:$E,6))</f>
        <v>0</v>
      </c>
      <c r="V20" s="233">
        <f xml:space="preserve">
IF($A$4&lt;=12,SUMIFS('ON Data'!AA:AA,'ON Data'!$D:$D,$A$4,'ON Data'!$E:$E,6),SUMIFS('ON Data'!AA:AA,'ON Data'!$E:$E,6))</f>
        <v>6811</v>
      </c>
      <c r="W20" s="233">
        <f xml:space="preserve">
IF($A$4&lt;=12,SUMIFS('ON Data'!AB:AB,'ON Data'!$D:$D,$A$4,'ON Data'!$E:$E,6),SUMIFS('ON Data'!AB:AB,'ON Data'!$E:$E,6))</f>
        <v>0</v>
      </c>
      <c r="X20" s="233">
        <f xml:space="preserve">
IF($A$4&lt;=12,SUMIFS('ON Data'!AC:AC,'ON Data'!$D:$D,$A$4,'ON Data'!$E:$E,6),SUMIFS('ON Data'!AC:AC,'ON Data'!$E:$E,6))</f>
        <v>0</v>
      </c>
      <c r="Y20" s="233">
        <f xml:space="preserve">
IF($A$4&lt;=12,SUMIFS('ON Data'!AD:AD,'ON Data'!$D:$D,$A$4,'ON Data'!$E:$E,6),SUMIFS('ON Data'!AD:AD,'ON Data'!$E:$E,6))</f>
        <v>0</v>
      </c>
      <c r="Z20" s="233">
        <f xml:space="preserve">
IF($A$4&lt;=12,SUMIFS('ON Data'!AE:AE,'ON Data'!$D:$D,$A$4,'ON Data'!$E:$E,6),SUMIFS('ON Data'!AE:AE,'ON Data'!$E:$E,6))</f>
        <v>0</v>
      </c>
      <c r="AA20" s="233">
        <f xml:space="preserve">
IF($A$4&lt;=12,SUMIFS('ON Data'!AF:AF,'ON Data'!$D:$D,$A$4,'ON Data'!$E:$E,6),SUMIFS('ON Data'!AF:AF,'ON Data'!$E:$E,6))</f>
        <v>0</v>
      </c>
      <c r="AB20" s="233">
        <f xml:space="preserve">
IF($A$4&lt;=12,SUMIFS('ON Data'!AG:AG,'ON Data'!$D:$D,$A$4,'ON Data'!$E:$E,6),SUMIFS('ON Data'!AG:AG,'ON Data'!$E:$E,6))</f>
        <v>0</v>
      </c>
      <c r="AC20" s="233">
        <f xml:space="preserve">
IF($A$4&lt;=12,SUMIFS('ON Data'!AH:AH,'ON Data'!$D:$D,$A$4,'ON Data'!$E:$E,6),SUMIFS('ON Data'!AH:AH,'ON Data'!$E:$E,6))</f>
        <v>0</v>
      </c>
      <c r="AD20" s="233">
        <f xml:space="preserve">
IF($A$4&lt;=12,SUMIFS('ON Data'!AI:AI,'ON Data'!$D:$D,$A$4,'ON Data'!$E:$E,6),SUMIFS('ON Data'!AI:AI,'ON Data'!$E:$E,6))</f>
        <v>0</v>
      </c>
      <c r="AE20" s="233">
        <f xml:space="preserve">
IF($A$4&lt;=12,SUMIFS('ON Data'!AJ:AJ,'ON Data'!$D:$D,$A$4,'ON Data'!$E:$E,6),SUMIFS('ON Data'!AJ:AJ,'ON Data'!$E:$E,6))</f>
        <v>0</v>
      </c>
      <c r="AF20" s="233">
        <f xml:space="preserve">
IF($A$4&lt;=12,SUMIFS('ON Data'!AK:AK,'ON Data'!$D:$D,$A$4,'ON Data'!$E:$E,6),SUMIFS('ON Data'!AK:AK,'ON Data'!$E:$E,6))</f>
        <v>0</v>
      </c>
      <c r="AG20" s="233">
        <f xml:space="preserve">
IF($A$4&lt;=12,SUMIFS('ON Data'!AL:AL,'ON Data'!$D:$D,$A$4,'ON Data'!$E:$E,6),SUMIFS('ON Data'!AL:AL,'ON Data'!$E:$E,6))</f>
        <v>0</v>
      </c>
      <c r="AH20" s="357">
        <f xml:space="preserve">
IF($A$4&lt;=12,SUMIFS('ON Data'!AN:AN,'ON Data'!$D:$D,$A$4,'ON Data'!$E:$E,6),SUMIFS('ON Data'!AN:AN,'ON Data'!$E:$E,6))</f>
        <v>25802</v>
      </c>
      <c r="AI20" s="363"/>
    </row>
    <row r="21" spans="1:35" ht="15" hidden="1" outlineLevel="1" thickBot="1" x14ac:dyDescent="0.35">
      <c r="A21" s="199" t="s">
        <v>83</v>
      </c>
      <c r="B21" s="219">
        <f xml:space="preserve">
IF($A$4&lt;=12,SUMIFS('ON Data'!F:F,'ON Data'!$D:$D,$A$4,'ON Data'!$E:$E,12),SUMIFS('ON Data'!F:F,'ON Data'!$E:$E,12))</f>
        <v>0</v>
      </c>
      <c r="C21" s="220">
        <f xml:space="preserve">
IF($A$4&lt;=12,SUMIFS('ON Data'!G:G,'ON Data'!$D:$D,$A$4,'ON Data'!$E:$E,12),SUMIFS('ON Data'!G:G,'ON Data'!$E:$E,12))</f>
        <v>0</v>
      </c>
      <c r="D21" s="221">
        <f xml:space="preserve">
IF($A$4&lt;=12,SUMIFS('ON Data'!H:H,'ON Data'!$D:$D,$A$4,'ON Data'!$E:$E,12),SUMIFS('ON Data'!H:H,'ON Data'!$E:$E,12))</f>
        <v>0</v>
      </c>
      <c r="E21" s="221">
        <f xml:space="preserve">
IF($A$4&lt;=12,SUMIFS('ON Data'!I:I,'ON Data'!$D:$D,$A$4,'ON Data'!$E:$E,12),SUMIFS('ON Data'!I:I,'ON Data'!$E:$E,12))</f>
        <v>0</v>
      </c>
      <c r="F21" s="221">
        <f xml:space="preserve">
IF($A$4&lt;=12,SUMIFS('ON Data'!K:K,'ON Data'!$D:$D,$A$4,'ON Data'!$E:$E,12),SUMIFS('ON Data'!K:K,'ON Data'!$E:$E,12))</f>
        <v>0</v>
      </c>
      <c r="G21" s="221">
        <f xml:space="preserve">
IF($A$4&lt;=12,SUMIFS('ON Data'!L:L,'ON Data'!$D:$D,$A$4,'ON Data'!$E:$E,12),SUMIFS('ON Data'!L:L,'ON Data'!$E:$E,12))</f>
        <v>0</v>
      </c>
      <c r="H21" s="221">
        <f xml:space="preserve">
IF($A$4&lt;=12,SUMIFS('ON Data'!M:M,'ON Data'!$D:$D,$A$4,'ON Data'!$E:$E,12),SUMIFS('ON Data'!M:M,'ON Data'!$E:$E,12))</f>
        <v>0</v>
      </c>
      <c r="I21" s="221">
        <f xml:space="preserve">
IF($A$4&lt;=12,SUMIFS('ON Data'!N:N,'ON Data'!$D:$D,$A$4,'ON Data'!$E:$E,12),SUMIFS('ON Data'!N:N,'ON Data'!$E:$E,12))</f>
        <v>0</v>
      </c>
      <c r="J21" s="221">
        <f xml:space="preserve">
IF($A$4&lt;=12,SUMIFS('ON Data'!O:O,'ON Data'!$D:$D,$A$4,'ON Data'!$E:$E,12),SUMIFS('ON Data'!O:O,'ON Data'!$E:$E,12))</f>
        <v>0</v>
      </c>
      <c r="K21" s="221">
        <f xml:space="preserve">
IF($A$4&lt;=12,SUMIFS('ON Data'!P:P,'ON Data'!$D:$D,$A$4,'ON Data'!$E:$E,12),SUMIFS('ON Data'!P:P,'ON Data'!$E:$E,12))</f>
        <v>0</v>
      </c>
      <c r="L21" s="221">
        <f xml:space="preserve">
IF($A$4&lt;=12,SUMIFS('ON Data'!Q:Q,'ON Data'!$D:$D,$A$4,'ON Data'!$E:$E,12),SUMIFS('ON Data'!Q:Q,'ON Data'!$E:$E,12))</f>
        <v>0</v>
      </c>
      <c r="M21" s="221">
        <f xml:space="preserve">
IF($A$4&lt;=12,SUMIFS('ON Data'!R:R,'ON Data'!$D:$D,$A$4,'ON Data'!$E:$E,12),SUMIFS('ON Data'!R:R,'ON Data'!$E:$E,12))</f>
        <v>0</v>
      </c>
      <c r="N21" s="221">
        <f xml:space="preserve">
IF($A$4&lt;=12,SUMIFS('ON Data'!S:S,'ON Data'!$D:$D,$A$4,'ON Data'!$E:$E,12),SUMIFS('ON Data'!S:S,'ON Data'!$E:$E,12))</f>
        <v>0</v>
      </c>
      <c r="O21" s="221">
        <f xml:space="preserve">
IF($A$4&lt;=12,SUMIFS('ON Data'!T:T,'ON Data'!$D:$D,$A$4,'ON Data'!$E:$E,12),SUMIFS('ON Data'!T:T,'ON Data'!$E:$E,12))</f>
        <v>0</v>
      </c>
      <c r="P21" s="221">
        <f xml:space="preserve">
IF($A$4&lt;=12,SUMIFS('ON Data'!U:U,'ON Data'!$D:$D,$A$4,'ON Data'!$E:$E,12),SUMIFS('ON Data'!U:U,'ON Data'!$E:$E,12))</f>
        <v>0</v>
      </c>
      <c r="Q21" s="221">
        <f xml:space="preserve">
IF($A$4&lt;=12,SUMIFS('ON Data'!V:V,'ON Data'!$D:$D,$A$4,'ON Data'!$E:$E,12),SUMIFS('ON Data'!V:V,'ON Data'!$E:$E,12))</f>
        <v>0</v>
      </c>
      <c r="R21" s="221">
        <f xml:space="preserve">
IF($A$4&lt;=12,SUMIFS('ON Data'!W:W,'ON Data'!$D:$D,$A$4,'ON Data'!$E:$E,12),SUMIFS('ON Data'!W:W,'ON Data'!$E:$E,12))</f>
        <v>0</v>
      </c>
      <c r="S21" s="221">
        <f xml:space="preserve">
IF($A$4&lt;=12,SUMIFS('ON Data'!X:X,'ON Data'!$D:$D,$A$4,'ON Data'!$E:$E,12),SUMIFS('ON Data'!X:X,'ON Data'!$E:$E,12))</f>
        <v>0</v>
      </c>
      <c r="T21" s="221">
        <f xml:space="preserve">
IF($A$4&lt;=12,SUMIFS('ON Data'!Y:Y,'ON Data'!$D:$D,$A$4,'ON Data'!$E:$E,12),SUMIFS('ON Data'!Y:Y,'ON Data'!$E:$E,12))</f>
        <v>0</v>
      </c>
      <c r="U21" s="221">
        <f xml:space="preserve">
IF($A$4&lt;=12,SUMIFS('ON Data'!Z:Z,'ON Data'!$D:$D,$A$4,'ON Data'!$E:$E,12),SUMIFS('ON Data'!Z:Z,'ON Data'!$E:$E,12))</f>
        <v>0</v>
      </c>
      <c r="V21" s="221">
        <f xml:space="preserve">
IF($A$4&lt;=12,SUMIFS('ON Data'!AA:AA,'ON Data'!$D:$D,$A$4,'ON Data'!$E:$E,12),SUMIFS('ON Data'!AA:AA,'ON Data'!$E:$E,12))</f>
        <v>0</v>
      </c>
      <c r="W21" s="221">
        <f xml:space="preserve">
IF($A$4&lt;=12,SUMIFS('ON Data'!AB:AB,'ON Data'!$D:$D,$A$4,'ON Data'!$E:$E,12),SUMIFS('ON Data'!AB:AB,'ON Data'!$E:$E,12))</f>
        <v>0</v>
      </c>
      <c r="X21" s="221">
        <f xml:space="preserve">
IF($A$4&lt;=12,SUMIFS('ON Data'!AC:AC,'ON Data'!$D:$D,$A$4,'ON Data'!$E:$E,12),SUMIFS('ON Data'!AC:AC,'ON Data'!$E:$E,12))</f>
        <v>0</v>
      </c>
      <c r="Y21" s="221">
        <f xml:space="preserve">
IF($A$4&lt;=12,SUMIFS('ON Data'!AD:AD,'ON Data'!$D:$D,$A$4,'ON Data'!$E:$E,12),SUMIFS('ON Data'!AD:AD,'ON Data'!$E:$E,12))</f>
        <v>0</v>
      </c>
      <c r="Z21" s="221">
        <f xml:space="preserve">
IF($A$4&lt;=12,SUMIFS('ON Data'!AE:AE,'ON Data'!$D:$D,$A$4,'ON Data'!$E:$E,12),SUMIFS('ON Data'!AE:AE,'ON Data'!$E:$E,12))</f>
        <v>0</v>
      </c>
      <c r="AA21" s="221">
        <f xml:space="preserve">
IF($A$4&lt;=12,SUMIFS('ON Data'!AF:AF,'ON Data'!$D:$D,$A$4,'ON Data'!$E:$E,12),SUMIFS('ON Data'!AF:AF,'ON Data'!$E:$E,12))</f>
        <v>0</v>
      </c>
      <c r="AB21" s="221">
        <f xml:space="preserve">
IF($A$4&lt;=12,SUMIFS('ON Data'!AG:AG,'ON Data'!$D:$D,$A$4,'ON Data'!$E:$E,12),SUMIFS('ON Data'!AG:AG,'ON Data'!$E:$E,12))</f>
        <v>0</v>
      </c>
      <c r="AC21" s="221">
        <f xml:space="preserve">
IF($A$4&lt;=12,SUMIFS('ON Data'!AH:AH,'ON Data'!$D:$D,$A$4,'ON Data'!$E:$E,12),SUMIFS('ON Data'!AH:AH,'ON Data'!$E:$E,12))</f>
        <v>0</v>
      </c>
      <c r="AD21" s="221">
        <f xml:space="preserve">
IF($A$4&lt;=12,SUMIFS('ON Data'!AI:AI,'ON Data'!$D:$D,$A$4,'ON Data'!$E:$E,12),SUMIFS('ON Data'!AI:AI,'ON Data'!$E:$E,12))</f>
        <v>0</v>
      </c>
      <c r="AE21" s="221">
        <f xml:space="preserve">
IF($A$4&lt;=12,SUMIFS('ON Data'!AJ:AJ,'ON Data'!$D:$D,$A$4,'ON Data'!$E:$E,12),SUMIFS('ON Data'!AJ:AJ,'ON Data'!$E:$E,12))</f>
        <v>0</v>
      </c>
      <c r="AF21" s="221">
        <f xml:space="preserve">
IF($A$4&lt;=12,SUMIFS('ON Data'!AK:AK,'ON Data'!$D:$D,$A$4,'ON Data'!$E:$E,12),SUMIFS('ON Data'!AK:AK,'ON Data'!$E:$E,12))</f>
        <v>0</v>
      </c>
      <c r="AG21" s="221">
        <f xml:space="preserve">
IF($A$4&lt;=12,SUMIFS('ON Data'!AL:AL,'ON Data'!$D:$D,$A$4,'ON Data'!$E:$E,12),SUMIFS('ON Data'!AL:AL,'ON Data'!$E:$E,12))</f>
        <v>0</v>
      </c>
      <c r="AH21" s="353">
        <f xml:space="preserve">
IF($A$4&lt;=12,SUMIFS('ON Data'!AN:AN,'ON Data'!$D:$D,$A$4,'ON Data'!$E:$E,12),SUMIFS('ON Data'!AN:AN,'ON Data'!$E:$E,12))</f>
        <v>0</v>
      </c>
      <c r="AI21" s="363"/>
    </row>
    <row r="22" spans="1:35" ht="15" hidden="1" outlineLevel="1" thickBot="1" x14ac:dyDescent="0.35">
      <c r="A22" s="199" t="s">
        <v>50</v>
      </c>
      <c r="B22" s="256" t="str">
        <f xml:space="preserve">
IF(OR(B21="",B21=0),"",B20/B21)</f>
        <v/>
      </c>
      <c r="C22" s="257" t="str">
        <f t="shared" ref="C22:G22" si="2" xml:space="preserve">
IF(OR(C21="",C21=0),"",C20/C21)</f>
        <v/>
      </c>
      <c r="D22" s="258" t="str">
        <f t="shared" si="2"/>
        <v/>
      </c>
      <c r="E22" s="258" t="str">
        <f t="shared" si="2"/>
        <v/>
      </c>
      <c r="F22" s="258" t="str">
        <f t="shared" si="2"/>
        <v/>
      </c>
      <c r="G22" s="258" t="str">
        <f t="shared" si="2"/>
        <v/>
      </c>
      <c r="H22" s="258" t="str">
        <f t="shared" ref="H22:AH22" si="3" xml:space="preserve">
IF(OR(H21="",H21=0),"",H20/H21)</f>
        <v/>
      </c>
      <c r="I22" s="258" t="str">
        <f t="shared" si="3"/>
        <v/>
      </c>
      <c r="J22" s="258" t="str">
        <f t="shared" si="3"/>
        <v/>
      </c>
      <c r="K22" s="258" t="str">
        <f t="shared" si="3"/>
        <v/>
      </c>
      <c r="L22" s="258" t="str">
        <f t="shared" si="3"/>
        <v/>
      </c>
      <c r="M22" s="258" t="str">
        <f t="shared" si="3"/>
        <v/>
      </c>
      <c r="N22" s="258" t="str">
        <f t="shared" si="3"/>
        <v/>
      </c>
      <c r="O22" s="258" t="str">
        <f t="shared" si="3"/>
        <v/>
      </c>
      <c r="P22" s="258" t="str">
        <f t="shared" si="3"/>
        <v/>
      </c>
      <c r="Q22" s="258" t="str">
        <f t="shared" si="3"/>
        <v/>
      </c>
      <c r="R22" s="258" t="str">
        <f t="shared" si="3"/>
        <v/>
      </c>
      <c r="S22" s="258" t="str">
        <f t="shared" si="3"/>
        <v/>
      </c>
      <c r="T22" s="258" t="str">
        <f t="shared" si="3"/>
        <v/>
      </c>
      <c r="U22" s="258" t="str">
        <f t="shared" si="3"/>
        <v/>
      </c>
      <c r="V22" s="258" t="str">
        <f t="shared" si="3"/>
        <v/>
      </c>
      <c r="W22" s="258" t="str">
        <f t="shared" si="3"/>
        <v/>
      </c>
      <c r="X22" s="258" t="str">
        <f t="shared" si="3"/>
        <v/>
      </c>
      <c r="Y22" s="258" t="str">
        <f t="shared" si="3"/>
        <v/>
      </c>
      <c r="Z22" s="258" t="str">
        <f t="shared" si="3"/>
        <v/>
      </c>
      <c r="AA22" s="258" t="str">
        <f t="shared" si="3"/>
        <v/>
      </c>
      <c r="AB22" s="258" t="str">
        <f t="shared" si="3"/>
        <v/>
      </c>
      <c r="AC22" s="258" t="str">
        <f t="shared" si="3"/>
        <v/>
      </c>
      <c r="AD22" s="258" t="str">
        <f t="shared" si="3"/>
        <v/>
      </c>
      <c r="AE22" s="258" t="str">
        <f t="shared" si="3"/>
        <v/>
      </c>
      <c r="AF22" s="258" t="str">
        <f t="shared" si="3"/>
        <v/>
      </c>
      <c r="AG22" s="258" t="str">
        <f t="shared" si="3"/>
        <v/>
      </c>
      <c r="AH22" s="358" t="str">
        <f t="shared" si="3"/>
        <v/>
      </c>
      <c r="AI22" s="363"/>
    </row>
    <row r="23" spans="1:35" ht="15" hidden="1" outlineLevel="1" thickBot="1" x14ac:dyDescent="0.35">
      <c r="A23" s="207" t="s">
        <v>43</v>
      </c>
      <c r="B23" s="222">
        <f xml:space="preserve">
IF(B21="","",B20-B21)</f>
        <v>265427</v>
      </c>
      <c r="C23" s="223">
        <f t="shared" ref="C23:G23" si="4" xml:space="preserve">
IF(C21="","",C20-C21)</f>
        <v>0</v>
      </c>
      <c r="D23" s="224">
        <f t="shared" si="4"/>
        <v>232814</v>
      </c>
      <c r="E23" s="224">
        <f t="shared" si="4"/>
        <v>0</v>
      </c>
      <c r="F23" s="224">
        <f t="shared" si="4"/>
        <v>0</v>
      </c>
      <c r="G23" s="224">
        <f t="shared" si="4"/>
        <v>0</v>
      </c>
      <c r="H23" s="224">
        <f t="shared" ref="H23:AH23" si="5" xml:space="preserve">
IF(H21="","",H20-H21)</f>
        <v>0</v>
      </c>
      <c r="I23" s="224">
        <f t="shared" si="5"/>
        <v>0</v>
      </c>
      <c r="J23" s="224">
        <f t="shared" si="5"/>
        <v>0</v>
      </c>
      <c r="K23" s="224">
        <f t="shared" si="5"/>
        <v>0</v>
      </c>
      <c r="L23" s="224">
        <f t="shared" si="5"/>
        <v>0</v>
      </c>
      <c r="M23" s="224">
        <f t="shared" si="5"/>
        <v>0</v>
      </c>
      <c r="N23" s="224">
        <f t="shared" si="5"/>
        <v>0</v>
      </c>
      <c r="O23" s="224">
        <f t="shared" si="5"/>
        <v>0</v>
      </c>
      <c r="P23" s="224">
        <f t="shared" si="5"/>
        <v>0</v>
      </c>
      <c r="Q23" s="224">
        <f t="shared" si="5"/>
        <v>0</v>
      </c>
      <c r="R23" s="224">
        <f t="shared" si="5"/>
        <v>0</v>
      </c>
      <c r="S23" s="224">
        <f t="shared" si="5"/>
        <v>0</v>
      </c>
      <c r="T23" s="224">
        <f t="shared" si="5"/>
        <v>0</v>
      </c>
      <c r="U23" s="224">
        <f t="shared" si="5"/>
        <v>0</v>
      </c>
      <c r="V23" s="224">
        <f t="shared" si="5"/>
        <v>6811</v>
      </c>
      <c r="W23" s="224">
        <f t="shared" si="5"/>
        <v>0</v>
      </c>
      <c r="X23" s="224">
        <f t="shared" si="5"/>
        <v>0</v>
      </c>
      <c r="Y23" s="224">
        <f t="shared" si="5"/>
        <v>0</v>
      </c>
      <c r="Z23" s="224">
        <f t="shared" si="5"/>
        <v>0</v>
      </c>
      <c r="AA23" s="224">
        <f t="shared" si="5"/>
        <v>0</v>
      </c>
      <c r="AB23" s="224">
        <f t="shared" si="5"/>
        <v>0</v>
      </c>
      <c r="AC23" s="224">
        <f t="shared" si="5"/>
        <v>0</v>
      </c>
      <c r="AD23" s="224">
        <f t="shared" si="5"/>
        <v>0</v>
      </c>
      <c r="AE23" s="224">
        <f t="shared" si="5"/>
        <v>0</v>
      </c>
      <c r="AF23" s="224">
        <f t="shared" si="5"/>
        <v>0</v>
      </c>
      <c r="AG23" s="224">
        <f t="shared" si="5"/>
        <v>0</v>
      </c>
      <c r="AH23" s="354">
        <f t="shared" si="5"/>
        <v>25802</v>
      </c>
      <c r="AI23" s="363"/>
    </row>
    <row r="24" spans="1:35" x14ac:dyDescent="0.3">
      <c r="A24" s="201" t="s">
        <v>145</v>
      </c>
      <c r="B24" s="248" t="s">
        <v>1</v>
      </c>
      <c r="C24" s="364" t="s">
        <v>156</v>
      </c>
      <c r="D24" s="338"/>
      <c r="E24" s="339"/>
      <c r="F24" s="339" t="s">
        <v>157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59" t="s">
        <v>158</v>
      </c>
      <c r="AI24" s="363"/>
    </row>
    <row r="25" spans="1:35" x14ac:dyDescent="0.3">
      <c r="A25" s="202" t="s">
        <v>48</v>
      </c>
      <c r="B25" s="219">
        <f xml:space="preserve">
SUM(C25:AH25)</f>
        <v>0</v>
      </c>
      <c r="C25" s="365">
        <f xml:space="preserve">
IF($A$4&lt;=12,SUMIFS('ON Data'!H:H,'ON Data'!$D:$D,$A$4,'ON Data'!$E:$E,10),SUMIFS('ON Data'!H:H,'ON Data'!$E:$E,10))</f>
        <v>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60">
        <f xml:space="preserve">
IF($A$4&lt;=12,SUMIFS('ON Data'!AN:AN,'ON Data'!$D:$D,$A$4,'ON Data'!$E:$E,10),SUMIFS('ON Data'!AN:AN,'ON Data'!$E:$E,10))</f>
        <v>0</v>
      </c>
      <c r="AI25" s="363"/>
    </row>
    <row r="26" spans="1:35" x14ac:dyDescent="0.3">
      <c r="A26" s="208" t="s">
        <v>155</v>
      </c>
      <c r="B26" s="228">
        <f xml:space="preserve">
SUM(C26:AH26)</f>
        <v>2620.9971000185105</v>
      </c>
      <c r="C26" s="365">
        <f xml:space="preserve">
IF($A$4&lt;=12,SUMIFS('ON Data'!H:H,'ON Data'!$D:$D,$A$4,'ON Data'!$E:$E,11),SUMIFS('ON Data'!H:H,'ON Data'!$E:$E,11))</f>
        <v>2120.9971000185105</v>
      </c>
      <c r="D26" s="340"/>
      <c r="E26" s="341"/>
      <c r="F26" s="342">
        <f xml:space="preserve">
IF($A$4&lt;=12,SUMIFS('ON Data'!K:K,'ON Data'!$D:$D,$A$4,'ON Data'!$E:$E,11),SUMIFS('ON Data'!K:K,'ON Data'!$E:$E,11))</f>
        <v>500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60">
        <f xml:space="preserve">
IF($A$4&lt;=12,SUMIFS('ON Data'!AN:AN,'ON Data'!$D:$D,$A$4,'ON Data'!$E:$E,11),SUMIFS('ON Data'!AN:AN,'ON Data'!$E:$E,11))</f>
        <v>0</v>
      </c>
      <c r="AI26" s="363"/>
    </row>
    <row r="27" spans="1:35" x14ac:dyDescent="0.3">
      <c r="A27" s="208" t="s">
        <v>50</v>
      </c>
      <c r="B27" s="249">
        <f xml:space="preserve">
IF(B26=0,0,B25/B26)</f>
        <v>0</v>
      </c>
      <c r="C27" s="366">
        <f xml:space="preserve">
IF(C26=0,0,C25/C26)</f>
        <v>0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61">
        <f xml:space="preserve">
IF(AH26=0,0,AH25/AH26)</f>
        <v>0</v>
      </c>
      <c r="AI27" s="363"/>
    </row>
    <row r="28" spans="1:35" ht="15" thickBot="1" x14ac:dyDescent="0.35">
      <c r="A28" s="208" t="s">
        <v>154</v>
      </c>
      <c r="B28" s="228">
        <f xml:space="preserve">
SUM(C28:AH28)</f>
        <v>2620.9971000185105</v>
      </c>
      <c r="C28" s="367">
        <f xml:space="preserve">
C26-C25</f>
        <v>2120.9971000185105</v>
      </c>
      <c r="D28" s="345"/>
      <c r="E28" s="346"/>
      <c r="F28" s="346">
        <f xml:space="preserve">
F26-F25</f>
        <v>500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46"/>
      <c r="AH28" s="362">
        <f xml:space="preserve">
AH26-AH25</f>
        <v>0</v>
      </c>
      <c r="AI28" s="363"/>
    </row>
    <row r="29" spans="1:35" x14ac:dyDescent="0.3">
      <c r="A29" s="209"/>
      <c r="B29" s="209"/>
      <c r="C29" s="210"/>
      <c r="D29" s="209"/>
      <c r="E29" s="209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09"/>
      <c r="AG29" s="209"/>
      <c r="AH29" s="209"/>
    </row>
    <row r="30" spans="1:35" x14ac:dyDescent="0.3">
      <c r="A30" s="85" t="s">
        <v>110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20"/>
    </row>
    <row r="31" spans="1:35" x14ac:dyDescent="0.3">
      <c r="A31" s="86" t="s">
        <v>152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20"/>
    </row>
    <row r="32" spans="1:35" ht="14.4" customHeight="1" x14ac:dyDescent="0.3">
      <c r="A32" s="245" t="s">
        <v>149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</row>
    <row r="33" spans="1:1" x14ac:dyDescent="0.3">
      <c r="A33" s="247" t="s">
        <v>159</v>
      </c>
    </row>
    <row r="34" spans="1:1" x14ac:dyDescent="0.3">
      <c r="A34" s="247" t="s">
        <v>160</v>
      </c>
    </row>
    <row r="35" spans="1:1" x14ac:dyDescent="0.3">
      <c r="A35" s="247" t="s">
        <v>161</v>
      </c>
    </row>
    <row r="36" spans="1:1" x14ac:dyDescent="0.3">
      <c r="A36" s="247" t="s">
        <v>162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4" priority="4" operator="greaterThan">
      <formula>1</formula>
    </cfRule>
  </conditionalFormatting>
  <conditionalFormatting sqref="C28 AH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17"/>
  <sheetViews>
    <sheetView showGridLines="0" showRowColHeaders="0" workbookViewId="0"/>
  </sheetViews>
  <sheetFormatPr defaultRowHeight="14.4" x14ac:dyDescent="0.3"/>
  <cols>
    <col min="1" max="16384" width="8.88671875" style="188"/>
  </cols>
  <sheetData>
    <row r="1" spans="1:41" x14ac:dyDescent="0.3">
      <c r="A1" s="188" t="s">
        <v>274</v>
      </c>
    </row>
    <row r="2" spans="1:41" x14ac:dyDescent="0.3">
      <c r="A2" s="192" t="s">
        <v>215</v>
      </c>
    </row>
    <row r="3" spans="1:41" x14ac:dyDescent="0.3">
      <c r="A3" s="188" t="s">
        <v>119</v>
      </c>
      <c r="B3" s="213">
        <v>2015</v>
      </c>
      <c r="D3" s="189">
        <f>MAX(D5:D1048576)</f>
        <v>3</v>
      </c>
      <c r="F3" s="189">
        <f>SUMIF($E5:$E1048576,"&lt;10",F5:F1048576)</f>
        <v>271717.75</v>
      </c>
      <c r="G3" s="189">
        <f t="shared" ref="G3:AO3" si="0">SUMIF($E5:$E1048576,"&lt;10",G5:G1048576)</f>
        <v>0</v>
      </c>
      <c r="H3" s="189">
        <f t="shared" si="0"/>
        <v>238796</v>
      </c>
      <c r="I3" s="189">
        <f t="shared" si="0"/>
        <v>0</v>
      </c>
      <c r="J3" s="189">
        <f t="shared" si="0"/>
        <v>0</v>
      </c>
      <c r="K3" s="189">
        <f t="shared" si="0"/>
        <v>0</v>
      </c>
      <c r="L3" s="189">
        <f t="shared" si="0"/>
        <v>0</v>
      </c>
      <c r="M3" s="189">
        <f t="shared" si="0"/>
        <v>0</v>
      </c>
      <c r="N3" s="189">
        <f t="shared" si="0"/>
        <v>0</v>
      </c>
      <c r="O3" s="189">
        <f t="shared" si="0"/>
        <v>0</v>
      </c>
      <c r="P3" s="189">
        <f t="shared" si="0"/>
        <v>0</v>
      </c>
      <c r="Q3" s="189">
        <f t="shared" si="0"/>
        <v>0</v>
      </c>
      <c r="R3" s="189">
        <f t="shared" si="0"/>
        <v>0</v>
      </c>
      <c r="S3" s="189">
        <f t="shared" si="0"/>
        <v>0</v>
      </c>
      <c r="T3" s="189">
        <f t="shared" si="0"/>
        <v>0</v>
      </c>
      <c r="U3" s="189">
        <f t="shared" si="0"/>
        <v>0</v>
      </c>
      <c r="V3" s="189">
        <f t="shared" si="0"/>
        <v>0</v>
      </c>
      <c r="W3" s="189">
        <f t="shared" si="0"/>
        <v>0</v>
      </c>
      <c r="X3" s="189">
        <f t="shared" si="0"/>
        <v>0</v>
      </c>
      <c r="Y3" s="189">
        <f t="shared" si="0"/>
        <v>0</v>
      </c>
      <c r="Z3" s="189">
        <f t="shared" si="0"/>
        <v>0</v>
      </c>
      <c r="AA3" s="189">
        <f t="shared" si="0"/>
        <v>6829.95</v>
      </c>
      <c r="AB3" s="189">
        <f t="shared" si="0"/>
        <v>0</v>
      </c>
      <c r="AC3" s="189">
        <f t="shared" si="0"/>
        <v>0</v>
      </c>
      <c r="AD3" s="189">
        <f t="shared" si="0"/>
        <v>0</v>
      </c>
      <c r="AE3" s="189">
        <f t="shared" si="0"/>
        <v>0</v>
      </c>
      <c r="AF3" s="189">
        <f t="shared" si="0"/>
        <v>0</v>
      </c>
      <c r="AG3" s="189">
        <f t="shared" si="0"/>
        <v>0</v>
      </c>
      <c r="AH3" s="189">
        <f t="shared" si="0"/>
        <v>0</v>
      </c>
      <c r="AI3" s="189">
        <f t="shared" si="0"/>
        <v>0</v>
      </c>
      <c r="AJ3" s="189">
        <f t="shared" si="0"/>
        <v>0</v>
      </c>
      <c r="AK3" s="189">
        <f t="shared" si="0"/>
        <v>0</v>
      </c>
      <c r="AL3" s="189">
        <f t="shared" si="0"/>
        <v>0</v>
      </c>
      <c r="AM3" s="189">
        <f t="shared" si="0"/>
        <v>0</v>
      </c>
      <c r="AN3" s="189">
        <f t="shared" si="0"/>
        <v>26091.8</v>
      </c>
      <c r="AO3" s="189">
        <f t="shared" si="0"/>
        <v>0</v>
      </c>
    </row>
    <row r="4" spans="1:41" x14ac:dyDescent="0.3">
      <c r="A4" s="188" t="s">
        <v>120</v>
      </c>
      <c r="B4" s="213">
        <v>1</v>
      </c>
      <c r="C4" s="190" t="s">
        <v>2</v>
      </c>
      <c r="D4" s="191" t="s">
        <v>42</v>
      </c>
      <c r="E4" s="191" t="s">
        <v>114</v>
      </c>
      <c r="F4" s="191" t="s">
        <v>1</v>
      </c>
      <c r="G4" s="191" t="s">
        <v>115</v>
      </c>
      <c r="H4" s="191" t="s">
        <v>116</v>
      </c>
      <c r="I4" s="191" t="s">
        <v>117</v>
      </c>
      <c r="J4" s="191" t="s">
        <v>118</v>
      </c>
      <c r="K4" s="191">
        <v>305</v>
      </c>
      <c r="L4" s="191">
        <v>306</v>
      </c>
      <c r="M4" s="191">
        <v>407</v>
      </c>
      <c r="N4" s="191">
        <v>408</v>
      </c>
      <c r="O4" s="191">
        <v>409</v>
      </c>
      <c r="P4" s="191">
        <v>410</v>
      </c>
      <c r="Q4" s="191">
        <v>415</v>
      </c>
      <c r="R4" s="191">
        <v>416</v>
      </c>
      <c r="S4" s="191">
        <v>418</v>
      </c>
      <c r="T4" s="191">
        <v>419</v>
      </c>
      <c r="U4" s="191">
        <v>420</v>
      </c>
      <c r="V4" s="191">
        <v>421</v>
      </c>
      <c r="W4" s="191">
        <v>522</v>
      </c>
      <c r="X4" s="191">
        <v>523</v>
      </c>
      <c r="Y4" s="191">
        <v>524</v>
      </c>
      <c r="Z4" s="191">
        <v>525</v>
      </c>
      <c r="AA4" s="191">
        <v>526</v>
      </c>
      <c r="AB4" s="191">
        <v>527</v>
      </c>
      <c r="AC4" s="191">
        <v>528</v>
      </c>
      <c r="AD4" s="191">
        <v>629</v>
      </c>
      <c r="AE4" s="191">
        <v>630</v>
      </c>
      <c r="AF4" s="191">
        <v>636</v>
      </c>
      <c r="AG4" s="191">
        <v>637</v>
      </c>
      <c r="AH4" s="191">
        <v>640</v>
      </c>
      <c r="AI4" s="191">
        <v>642</v>
      </c>
      <c r="AJ4" s="191">
        <v>743</v>
      </c>
      <c r="AK4" s="191">
        <v>745</v>
      </c>
      <c r="AL4" s="191">
        <v>746</v>
      </c>
      <c r="AM4" s="191">
        <v>747</v>
      </c>
      <c r="AN4" s="191">
        <v>930</v>
      </c>
      <c r="AO4" s="191">
        <v>940</v>
      </c>
    </row>
    <row r="5" spans="1:41" x14ac:dyDescent="0.3">
      <c r="A5" s="188" t="s">
        <v>121</v>
      </c>
      <c r="B5" s="213">
        <v>2</v>
      </c>
      <c r="C5" s="188">
        <v>43</v>
      </c>
      <c r="D5" s="188">
        <v>1</v>
      </c>
      <c r="E5" s="188">
        <v>1</v>
      </c>
      <c r="F5" s="188">
        <v>2.65</v>
      </c>
      <c r="G5" s="188">
        <v>0</v>
      </c>
      <c r="H5" s="188">
        <v>2</v>
      </c>
      <c r="I5" s="188">
        <v>0</v>
      </c>
      <c r="J5" s="188">
        <v>0</v>
      </c>
      <c r="K5" s="188">
        <v>0</v>
      </c>
      <c r="L5" s="188">
        <v>0</v>
      </c>
      <c r="M5" s="188">
        <v>0</v>
      </c>
      <c r="N5" s="188">
        <v>0</v>
      </c>
      <c r="O5" s="188">
        <v>0</v>
      </c>
      <c r="P5" s="188">
        <v>0</v>
      </c>
      <c r="Q5" s="188">
        <v>0</v>
      </c>
      <c r="R5" s="188">
        <v>0</v>
      </c>
      <c r="S5" s="188">
        <v>0</v>
      </c>
      <c r="T5" s="188">
        <v>0</v>
      </c>
      <c r="U5" s="188">
        <v>0</v>
      </c>
      <c r="V5" s="188">
        <v>0</v>
      </c>
      <c r="W5" s="188">
        <v>0</v>
      </c>
      <c r="X5" s="188">
        <v>0</v>
      </c>
      <c r="Y5" s="188">
        <v>0</v>
      </c>
      <c r="Z5" s="188">
        <v>0</v>
      </c>
      <c r="AA5" s="188">
        <v>0.05</v>
      </c>
      <c r="AB5" s="188">
        <v>0</v>
      </c>
      <c r="AC5" s="188">
        <v>0</v>
      </c>
      <c r="AD5" s="188">
        <v>0</v>
      </c>
      <c r="AE5" s="188">
        <v>0</v>
      </c>
      <c r="AF5" s="188">
        <v>0</v>
      </c>
      <c r="AG5" s="188">
        <v>0</v>
      </c>
      <c r="AH5" s="188">
        <v>0</v>
      </c>
      <c r="AI5" s="188">
        <v>0</v>
      </c>
      <c r="AJ5" s="188">
        <v>0</v>
      </c>
      <c r="AK5" s="188">
        <v>0</v>
      </c>
      <c r="AL5" s="188">
        <v>0</v>
      </c>
      <c r="AM5" s="188">
        <v>0</v>
      </c>
      <c r="AN5" s="188">
        <v>0.6</v>
      </c>
      <c r="AO5" s="188">
        <v>0</v>
      </c>
    </row>
    <row r="6" spans="1:41" x14ac:dyDescent="0.3">
      <c r="A6" s="188" t="s">
        <v>122</v>
      </c>
      <c r="B6" s="213">
        <v>3</v>
      </c>
      <c r="C6" s="188">
        <v>43</v>
      </c>
      <c r="D6" s="188">
        <v>1</v>
      </c>
      <c r="E6" s="188">
        <v>2</v>
      </c>
      <c r="F6" s="188">
        <v>438</v>
      </c>
      <c r="G6" s="188">
        <v>0</v>
      </c>
      <c r="H6" s="188">
        <v>340</v>
      </c>
      <c r="I6" s="188">
        <v>0</v>
      </c>
      <c r="J6" s="188">
        <v>0</v>
      </c>
      <c r="K6" s="188">
        <v>0</v>
      </c>
      <c r="L6" s="188">
        <v>0</v>
      </c>
      <c r="M6" s="188">
        <v>0</v>
      </c>
      <c r="N6" s="188">
        <v>0</v>
      </c>
      <c r="O6" s="188">
        <v>0</v>
      </c>
      <c r="P6" s="188">
        <v>0</v>
      </c>
      <c r="Q6" s="188">
        <v>0</v>
      </c>
      <c r="R6" s="188">
        <v>0</v>
      </c>
      <c r="S6" s="188">
        <v>0</v>
      </c>
      <c r="T6" s="188">
        <v>0</v>
      </c>
      <c r="U6" s="188">
        <v>0</v>
      </c>
      <c r="V6" s="188">
        <v>0</v>
      </c>
      <c r="W6" s="188">
        <v>0</v>
      </c>
      <c r="X6" s="188">
        <v>0</v>
      </c>
      <c r="Y6" s="188">
        <v>0</v>
      </c>
      <c r="Z6" s="188">
        <v>0</v>
      </c>
      <c r="AA6" s="188">
        <v>5.2</v>
      </c>
      <c r="AB6" s="188">
        <v>0</v>
      </c>
      <c r="AC6" s="188">
        <v>0</v>
      </c>
      <c r="AD6" s="188">
        <v>0</v>
      </c>
      <c r="AE6" s="188">
        <v>0</v>
      </c>
      <c r="AF6" s="188">
        <v>0</v>
      </c>
      <c r="AG6" s="188">
        <v>0</v>
      </c>
      <c r="AH6" s="188">
        <v>0</v>
      </c>
      <c r="AI6" s="188">
        <v>0</v>
      </c>
      <c r="AJ6" s="188">
        <v>0</v>
      </c>
      <c r="AK6" s="188">
        <v>0</v>
      </c>
      <c r="AL6" s="188">
        <v>0</v>
      </c>
      <c r="AM6" s="188">
        <v>0</v>
      </c>
      <c r="AN6" s="188">
        <v>92.8</v>
      </c>
      <c r="AO6" s="188">
        <v>0</v>
      </c>
    </row>
    <row r="7" spans="1:41" x14ac:dyDescent="0.3">
      <c r="A7" s="188" t="s">
        <v>123</v>
      </c>
      <c r="B7" s="213">
        <v>4</v>
      </c>
      <c r="C7" s="188">
        <v>43</v>
      </c>
      <c r="D7" s="188">
        <v>1</v>
      </c>
      <c r="E7" s="188">
        <v>6</v>
      </c>
      <c r="F7" s="188">
        <v>94417</v>
      </c>
      <c r="G7" s="188">
        <v>0</v>
      </c>
      <c r="H7" s="188">
        <v>82824</v>
      </c>
      <c r="I7" s="188">
        <v>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2866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8">
        <v>8727</v>
      </c>
      <c r="AO7" s="188">
        <v>0</v>
      </c>
    </row>
    <row r="8" spans="1:41" x14ac:dyDescent="0.3">
      <c r="A8" s="188" t="s">
        <v>124</v>
      </c>
      <c r="B8" s="213">
        <v>5</v>
      </c>
      <c r="C8" s="188">
        <v>43</v>
      </c>
      <c r="D8" s="188">
        <v>1</v>
      </c>
      <c r="E8" s="188">
        <v>9</v>
      </c>
      <c r="F8" s="188">
        <v>5000</v>
      </c>
      <c r="G8" s="188">
        <v>0</v>
      </c>
      <c r="H8" s="188">
        <v>5000</v>
      </c>
      <c r="I8" s="188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0</v>
      </c>
      <c r="V8" s="188">
        <v>0</v>
      </c>
      <c r="W8" s="188">
        <v>0</v>
      </c>
      <c r="X8" s="188">
        <v>0</v>
      </c>
      <c r="Y8" s="188">
        <v>0</v>
      </c>
      <c r="Z8" s="188">
        <v>0</v>
      </c>
      <c r="AA8" s="188">
        <v>0</v>
      </c>
      <c r="AB8" s="188">
        <v>0</v>
      </c>
      <c r="AC8" s="188">
        <v>0</v>
      </c>
      <c r="AD8" s="188">
        <v>0</v>
      </c>
      <c r="AE8" s="188">
        <v>0</v>
      </c>
      <c r="AF8" s="188">
        <v>0</v>
      </c>
      <c r="AG8" s="188">
        <v>0</v>
      </c>
      <c r="AH8" s="188">
        <v>0</v>
      </c>
      <c r="AI8" s="188">
        <v>0</v>
      </c>
      <c r="AJ8" s="188">
        <v>0</v>
      </c>
      <c r="AK8" s="188">
        <v>0</v>
      </c>
      <c r="AL8" s="188">
        <v>0</v>
      </c>
      <c r="AM8" s="188">
        <v>0</v>
      </c>
      <c r="AN8" s="188">
        <v>0</v>
      </c>
      <c r="AO8" s="188">
        <v>0</v>
      </c>
    </row>
    <row r="9" spans="1:41" x14ac:dyDescent="0.3">
      <c r="A9" s="188" t="s">
        <v>125</v>
      </c>
      <c r="B9" s="213">
        <v>6</v>
      </c>
      <c r="C9" s="188">
        <v>43</v>
      </c>
      <c r="D9" s="188">
        <v>1</v>
      </c>
      <c r="E9" s="188">
        <v>11</v>
      </c>
      <c r="F9" s="188">
        <v>873.66570000617014</v>
      </c>
      <c r="G9" s="188">
        <v>0</v>
      </c>
      <c r="H9" s="188">
        <v>706.99903333950351</v>
      </c>
      <c r="I9" s="188">
        <v>0</v>
      </c>
      <c r="J9" s="188">
        <v>0</v>
      </c>
      <c r="K9" s="188">
        <v>166.66666666666666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  <c r="V9" s="188">
        <v>0</v>
      </c>
      <c r="W9" s="188">
        <v>0</v>
      </c>
      <c r="X9" s="188">
        <v>0</v>
      </c>
      <c r="Y9" s="188">
        <v>0</v>
      </c>
      <c r="Z9" s="188">
        <v>0</v>
      </c>
      <c r="AA9" s="188">
        <v>0</v>
      </c>
      <c r="AB9" s="188">
        <v>0</v>
      </c>
      <c r="AC9" s="188">
        <v>0</v>
      </c>
      <c r="AD9" s="188">
        <v>0</v>
      </c>
      <c r="AE9" s="188">
        <v>0</v>
      </c>
      <c r="AF9" s="188">
        <v>0</v>
      </c>
      <c r="AG9" s="188">
        <v>0</v>
      </c>
      <c r="AH9" s="188">
        <v>0</v>
      </c>
      <c r="AI9" s="188">
        <v>0</v>
      </c>
      <c r="AJ9" s="188">
        <v>0</v>
      </c>
      <c r="AK9" s="188">
        <v>0</v>
      </c>
      <c r="AL9" s="188">
        <v>0</v>
      </c>
      <c r="AM9" s="188">
        <v>0</v>
      </c>
      <c r="AN9" s="188">
        <v>0</v>
      </c>
      <c r="AO9" s="188">
        <v>0</v>
      </c>
    </row>
    <row r="10" spans="1:41" x14ac:dyDescent="0.3">
      <c r="A10" s="188" t="s">
        <v>126</v>
      </c>
      <c r="B10" s="213">
        <v>7</v>
      </c>
      <c r="C10" s="188">
        <v>43</v>
      </c>
      <c r="D10" s="188">
        <v>2</v>
      </c>
      <c r="E10" s="188">
        <v>1</v>
      </c>
      <c r="F10" s="188">
        <v>2.65</v>
      </c>
      <c r="G10" s="188">
        <v>0</v>
      </c>
      <c r="H10" s="188">
        <v>2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  <c r="V10" s="188">
        <v>0</v>
      </c>
      <c r="W10" s="188">
        <v>0</v>
      </c>
      <c r="X10" s="188">
        <v>0</v>
      </c>
      <c r="Y10" s="188">
        <v>0</v>
      </c>
      <c r="Z10" s="188">
        <v>0</v>
      </c>
      <c r="AA10" s="188">
        <v>0.05</v>
      </c>
      <c r="AB10" s="188">
        <v>0</v>
      </c>
      <c r="AC10" s="188">
        <v>0</v>
      </c>
      <c r="AD10" s="188">
        <v>0</v>
      </c>
      <c r="AE10" s="188">
        <v>0</v>
      </c>
      <c r="AF10" s="188">
        <v>0</v>
      </c>
      <c r="AG10" s="188">
        <v>0</v>
      </c>
      <c r="AH10" s="188">
        <v>0</v>
      </c>
      <c r="AI10" s="188">
        <v>0</v>
      </c>
      <c r="AJ10" s="188">
        <v>0</v>
      </c>
      <c r="AK10" s="188">
        <v>0</v>
      </c>
      <c r="AL10" s="188">
        <v>0</v>
      </c>
      <c r="AM10" s="188">
        <v>0</v>
      </c>
      <c r="AN10" s="188">
        <v>0.6</v>
      </c>
      <c r="AO10" s="188">
        <v>0</v>
      </c>
    </row>
    <row r="11" spans="1:41" x14ac:dyDescent="0.3">
      <c r="A11" s="188" t="s">
        <v>127</v>
      </c>
      <c r="B11" s="213">
        <v>8</v>
      </c>
      <c r="C11" s="188">
        <v>43</v>
      </c>
      <c r="D11" s="188">
        <v>2</v>
      </c>
      <c r="E11" s="188">
        <v>2</v>
      </c>
      <c r="F11" s="188">
        <v>423.6</v>
      </c>
      <c r="G11" s="188">
        <v>0</v>
      </c>
      <c r="H11" s="188">
        <v>320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  <c r="V11" s="188">
        <v>0</v>
      </c>
      <c r="W11" s="188">
        <v>0</v>
      </c>
      <c r="X11" s="188">
        <v>0</v>
      </c>
      <c r="Y11" s="188">
        <v>0</v>
      </c>
      <c r="Z11" s="188">
        <v>0</v>
      </c>
      <c r="AA11" s="188">
        <v>7.6</v>
      </c>
      <c r="AB11" s="188">
        <v>0</v>
      </c>
      <c r="AC11" s="188">
        <v>0</v>
      </c>
      <c r="AD11" s="188">
        <v>0</v>
      </c>
      <c r="AE11" s="188">
        <v>0</v>
      </c>
      <c r="AF11" s="188">
        <v>0</v>
      </c>
      <c r="AG11" s="188">
        <v>0</v>
      </c>
      <c r="AH11" s="188">
        <v>0</v>
      </c>
      <c r="AI11" s="188">
        <v>0</v>
      </c>
      <c r="AJ11" s="188">
        <v>0</v>
      </c>
      <c r="AK11" s="188">
        <v>0</v>
      </c>
      <c r="AL11" s="188">
        <v>0</v>
      </c>
      <c r="AM11" s="188">
        <v>0</v>
      </c>
      <c r="AN11" s="188">
        <v>96</v>
      </c>
      <c r="AO11" s="188">
        <v>0</v>
      </c>
    </row>
    <row r="12" spans="1:41" x14ac:dyDescent="0.3">
      <c r="A12" s="188" t="s">
        <v>128</v>
      </c>
      <c r="B12" s="213">
        <v>9</v>
      </c>
      <c r="C12" s="188">
        <v>43</v>
      </c>
      <c r="D12" s="188">
        <v>2</v>
      </c>
      <c r="E12" s="188">
        <v>6</v>
      </c>
      <c r="F12" s="188">
        <v>85234</v>
      </c>
      <c r="G12" s="188">
        <v>0</v>
      </c>
      <c r="H12" s="188">
        <v>74525</v>
      </c>
      <c r="I12" s="188">
        <v>0</v>
      </c>
      <c r="J12" s="188">
        <v>0</v>
      </c>
      <c r="K12" s="188">
        <v>0</v>
      </c>
      <c r="L12" s="188">
        <v>0</v>
      </c>
      <c r="M12" s="188">
        <v>0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0</v>
      </c>
      <c r="U12" s="188">
        <v>0</v>
      </c>
      <c r="V12" s="188">
        <v>0</v>
      </c>
      <c r="W12" s="188">
        <v>0</v>
      </c>
      <c r="X12" s="188">
        <v>0</v>
      </c>
      <c r="Y12" s="188">
        <v>0</v>
      </c>
      <c r="Z12" s="188">
        <v>0</v>
      </c>
      <c r="AA12" s="188">
        <v>2231</v>
      </c>
      <c r="AB12" s="188">
        <v>0</v>
      </c>
      <c r="AC12" s="188">
        <v>0</v>
      </c>
      <c r="AD12" s="188">
        <v>0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0</v>
      </c>
      <c r="AK12" s="188">
        <v>0</v>
      </c>
      <c r="AL12" s="188">
        <v>0</v>
      </c>
      <c r="AM12" s="188">
        <v>0</v>
      </c>
      <c r="AN12" s="188">
        <v>8478</v>
      </c>
      <c r="AO12" s="188">
        <v>0</v>
      </c>
    </row>
    <row r="13" spans="1:41" x14ac:dyDescent="0.3">
      <c r="A13" s="188" t="s">
        <v>129</v>
      </c>
      <c r="B13" s="213">
        <v>10</v>
      </c>
      <c r="C13" s="188">
        <v>43</v>
      </c>
      <c r="D13" s="188">
        <v>2</v>
      </c>
      <c r="E13" s="188">
        <v>11</v>
      </c>
      <c r="F13" s="188">
        <v>873.66570000617014</v>
      </c>
      <c r="G13" s="188">
        <v>0</v>
      </c>
      <c r="H13" s="188">
        <v>706.99903333950351</v>
      </c>
      <c r="I13" s="188">
        <v>0</v>
      </c>
      <c r="J13" s="188">
        <v>0</v>
      </c>
      <c r="K13" s="188">
        <v>166.66666666666666</v>
      </c>
      <c r="L13" s="188">
        <v>0</v>
      </c>
      <c r="M13" s="188">
        <v>0</v>
      </c>
      <c r="N13" s="188">
        <v>0</v>
      </c>
      <c r="O13" s="188">
        <v>0</v>
      </c>
      <c r="P13" s="188">
        <v>0</v>
      </c>
      <c r="Q13" s="188">
        <v>0</v>
      </c>
      <c r="R13" s="188">
        <v>0</v>
      </c>
      <c r="S13" s="188">
        <v>0</v>
      </c>
      <c r="T13" s="188">
        <v>0</v>
      </c>
      <c r="U13" s="188">
        <v>0</v>
      </c>
      <c r="V13" s="188">
        <v>0</v>
      </c>
      <c r="W13" s="188">
        <v>0</v>
      </c>
      <c r="X13" s="188">
        <v>0</v>
      </c>
      <c r="Y13" s="188">
        <v>0</v>
      </c>
      <c r="Z13" s="188">
        <v>0</v>
      </c>
      <c r="AA13" s="188">
        <v>0</v>
      </c>
      <c r="AB13" s="188">
        <v>0</v>
      </c>
      <c r="AC13" s="188">
        <v>0</v>
      </c>
      <c r="AD13" s="188">
        <v>0</v>
      </c>
      <c r="AE13" s="188">
        <v>0</v>
      </c>
      <c r="AF13" s="188">
        <v>0</v>
      </c>
      <c r="AG13" s="188">
        <v>0</v>
      </c>
      <c r="AH13" s="188">
        <v>0</v>
      </c>
      <c r="AI13" s="188">
        <v>0</v>
      </c>
      <c r="AJ13" s="188">
        <v>0</v>
      </c>
      <c r="AK13" s="188">
        <v>0</v>
      </c>
      <c r="AL13" s="188">
        <v>0</v>
      </c>
      <c r="AM13" s="188">
        <v>0</v>
      </c>
      <c r="AN13" s="188">
        <v>0</v>
      </c>
      <c r="AO13" s="188">
        <v>0</v>
      </c>
    </row>
    <row r="14" spans="1:41" x14ac:dyDescent="0.3">
      <c r="A14" s="188" t="s">
        <v>130</v>
      </c>
      <c r="B14" s="213">
        <v>11</v>
      </c>
      <c r="C14" s="188">
        <v>43</v>
      </c>
      <c r="D14" s="188">
        <v>3</v>
      </c>
      <c r="E14" s="188">
        <v>1</v>
      </c>
      <c r="F14" s="188">
        <v>2.65</v>
      </c>
      <c r="G14" s="188">
        <v>0</v>
      </c>
      <c r="H14" s="188">
        <v>2</v>
      </c>
      <c r="I14" s="188">
        <v>0</v>
      </c>
      <c r="J14" s="188">
        <v>0</v>
      </c>
      <c r="K14" s="188">
        <v>0</v>
      </c>
      <c r="L14" s="188">
        <v>0</v>
      </c>
      <c r="M14" s="188">
        <v>0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0</v>
      </c>
      <c r="U14" s="188">
        <v>0</v>
      </c>
      <c r="V14" s="188">
        <v>0</v>
      </c>
      <c r="W14" s="188">
        <v>0</v>
      </c>
      <c r="X14" s="188">
        <v>0</v>
      </c>
      <c r="Y14" s="188">
        <v>0</v>
      </c>
      <c r="Z14" s="188">
        <v>0</v>
      </c>
      <c r="AA14" s="188">
        <v>0.05</v>
      </c>
      <c r="AB14" s="188">
        <v>0</v>
      </c>
      <c r="AC14" s="188">
        <v>0</v>
      </c>
      <c r="AD14" s="188">
        <v>0</v>
      </c>
      <c r="AE14" s="188">
        <v>0</v>
      </c>
      <c r="AF14" s="188">
        <v>0</v>
      </c>
      <c r="AG14" s="188">
        <v>0</v>
      </c>
      <c r="AH14" s="188">
        <v>0</v>
      </c>
      <c r="AI14" s="188">
        <v>0</v>
      </c>
      <c r="AJ14" s="188">
        <v>0</v>
      </c>
      <c r="AK14" s="188">
        <v>0</v>
      </c>
      <c r="AL14" s="188">
        <v>0</v>
      </c>
      <c r="AM14" s="188">
        <v>0</v>
      </c>
      <c r="AN14" s="188">
        <v>0.6</v>
      </c>
      <c r="AO14" s="188">
        <v>0</v>
      </c>
    </row>
    <row r="15" spans="1:41" x14ac:dyDescent="0.3">
      <c r="A15" s="188" t="s">
        <v>131</v>
      </c>
      <c r="B15" s="213">
        <v>12</v>
      </c>
      <c r="C15" s="188">
        <v>43</v>
      </c>
      <c r="D15" s="188">
        <v>3</v>
      </c>
      <c r="E15" s="188">
        <v>2</v>
      </c>
      <c r="F15" s="188">
        <v>421.2</v>
      </c>
      <c r="G15" s="188">
        <v>0</v>
      </c>
      <c r="H15" s="188">
        <v>316</v>
      </c>
      <c r="I15" s="188">
        <v>0</v>
      </c>
      <c r="J15" s="188">
        <v>0</v>
      </c>
      <c r="K15" s="188">
        <v>0</v>
      </c>
      <c r="L15" s="188">
        <v>0</v>
      </c>
      <c r="M15" s="188">
        <v>0</v>
      </c>
      <c r="N15" s="188">
        <v>0</v>
      </c>
      <c r="O15" s="188">
        <v>0</v>
      </c>
      <c r="P15" s="188">
        <v>0</v>
      </c>
      <c r="Q15" s="188">
        <v>0</v>
      </c>
      <c r="R15" s="188">
        <v>0</v>
      </c>
      <c r="S15" s="188">
        <v>0</v>
      </c>
      <c r="T15" s="188">
        <v>0</v>
      </c>
      <c r="U15" s="188">
        <v>0</v>
      </c>
      <c r="V15" s="188">
        <v>0</v>
      </c>
      <c r="W15" s="188">
        <v>0</v>
      </c>
      <c r="X15" s="188">
        <v>0</v>
      </c>
      <c r="Y15" s="188">
        <v>0</v>
      </c>
      <c r="Z15" s="188">
        <v>0</v>
      </c>
      <c r="AA15" s="188">
        <v>6</v>
      </c>
      <c r="AB15" s="188">
        <v>0</v>
      </c>
      <c r="AC15" s="188">
        <v>0</v>
      </c>
      <c r="AD15" s="188">
        <v>0</v>
      </c>
      <c r="AE15" s="188">
        <v>0</v>
      </c>
      <c r="AF15" s="188">
        <v>0</v>
      </c>
      <c r="AG15" s="188">
        <v>0</v>
      </c>
      <c r="AH15" s="188">
        <v>0</v>
      </c>
      <c r="AI15" s="188">
        <v>0</v>
      </c>
      <c r="AJ15" s="188">
        <v>0</v>
      </c>
      <c r="AK15" s="188">
        <v>0</v>
      </c>
      <c r="AL15" s="188">
        <v>0</v>
      </c>
      <c r="AM15" s="188">
        <v>0</v>
      </c>
      <c r="AN15" s="188">
        <v>99.2</v>
      </c>
      <c r="AO15" s="188">
        <v>0</v>
      </c>
    </row>
    <row r="16" spans="1:41" x14ac:dyDescent="0.3">
      <c r="A16" s="188" t="s">
        <v>119</v>
      </c>
      <c r="B16" s="213">
        <v>2015</v>
      </c>
      <c r="C16" s="188">
        <v>43</v>
      </c>
      <c r="D16" s="188">
        <v>3</v>
      </c>
      <c r="E16" s="188">
        <v>6</v>
      </c>
      <c r="F16" s="188">
        <v>85776</v>
      </c>
      <c r="G16" s="188">
        <v>0</v>
      </c>
      <c r="H16" s="188">
        <v>75465</v>
      </c>
      <c r="I16" s="188">
        <v>0</v>
      </c>
      <c r="J16" s="188">
        <v>0</v>
      </c>
      <c r="K16" s="188">
        <v>0</v>
      </c>
      <c r="L16" s="188">
        <v>0</v>
      </c>
      <c r="M16" s="188">
        <v>0</v>
      </c>
      <c r="N16" s="188">
        <v>0</v>
      </c>
      <c r="O16" s="188">
        <v>0</v>
      </c>
      <c r="P16" s="188">
        <v>0</v>
      </c>
      <c r="Q16" s="188">
        <v>0</v>
      </c>
      <c r="R16" s="188">
        <v>0</v>
      </c>
      <c r="S16" s="188">
        <v>0</v>
      </c>
      <c r="T16" s="188">
        <v>0</v>
      </c>
      <c r="U16" s="188">
        <v>0</v>
      </c>
      <c r="V16" s="188">
        <v>0</v>
      </c>
      <c r="W16" s="188">
        <v>0</v>
      </c>
      <c r="X16" s="188">
        <v>0</v>
      </c>
      <c r="Y16" s="188">
        <v>0</v>
      </c>
      <c r="Z16" s="188">
        <v>0</v>
      </c>
      <c r="AA16" s="188">
        <v>1714</v>
      </c>
      <c r="AB16" s="188">
        <v>0</v>
      </c>
      <c r="AC16" s="188">
        <v>0</v>
      </c>
      <c r="AD16" s="188">
        <v>0</v>
      </c>
      <c r="AE16" s="188">
        <v>0</v>
      </c>
      <c r="AF16" s="188">
        <v>0</v>
      </c>
      <c r="AG16" s="188">
        <v>0</v>
      </c>
      <c r="AH16" s="188">
        <v>0</v>
      </c>
      <c r="AI16" s="188">
        <v>0</v>
      </c>
      <c r="AJ16" s="188">
        <v>0</v>
      </c>
      <c r="AK16" s="188">
        <v>0</v>
      </c>
      <c r="AL16" s="188">
        <v>0</v>
      </c>
      <c r="AM16" s="188">
        <v>0</v>
      </c>
      <c r="AN16" s="188">
        <v>8597</v>
      </c>
      <c r="AO16" s="188">
        <v>0</v>
      </c>
    </row>
    <row r="17" spans="3:41" x14ac:dyDescent="0.3">
      <c r="C17" s="188">
        <v>43</v>
      </c>
      <c r="D17" s="188">
        <v>3</v>
      </c>
      <c r="E17" s="188">
        <v>11</v>
      </c>
      <c r="F17" s="188">
        <v>873.66570000617014</v>
      </c>
      <c r="G17" s="188">
        <v>0</v>
      </c>
      <c r="H17" s="188">
        <v>706.99903333950351</v>
      </c>
      <c r="I17" s="188">
        <v>0</v>
      </c>
      <c r="J17" s="188">
        <v>0</v>
      </c>
      <c r="K17" s="188">
        <v>166.66666666666666</v>
      </c>
      <c r="L17" s="188">
        <v>0</v>
      </c>
      <c r="M17" s="188">
        <v>0</v>
      </c>
      <c r="N17" s="188">
        <v>0</v>
      </c>
      <c r="O17" s="188">
        <v>0</v>
      </c>
      <c r="P17" s="188">
        <v>0</v>
      </c>
      <c r="Q17" s="188">
        <v>0</v>
      </c>
      <c r="R17" s="188">
        <v>0</v>
      </c>
      <c r="S17" s="188">
        <v>0</v>
      </c>
      <c r="T17" s="188">
        <v>0</v>
      </c>
      <c r="U17" s="188">
        <v>0</v>
      </c>
      <c r="V17" s="188">
        <v>0</v>
      </c>
      <c r="W17" s="188">
        <v>0</v>
      </c>
      <c r="X17" s="188">
        <v>0</v>
      </c>
      <c r="Y17" s="188">
        <v>0</v>
      </c>
      <c r="Z17" s="188">
        <v>0</v>
      </c>
      <c r="AA17" s="188">
        <v>0</v>
      </c>
      <c r="AB17" s="188">
        <v>0</v>
      </c>
      <c r="AC17" s="188">
        <v>0</v>
      </c>
      <c r="AD17" s="188">
        <v>0</v>
      </c>
      <c r="AE17" s="188">
        <v>0</v>
      </c>
      <c r="AF17" s="188">
        <v>0</v>
      </c>
      <c r="AG17" s="188">
        <v>0</v>
      </c>
      <c r="AH17" s="188">
        <v>0</v>
      </c>
      <c r="AI17" s="188">
        <v>0</v>
      </c>
      <c r="AJ17" s="188">
        <v>0</v>
      </c>
      <c r="AK17" s="188">
        <v>0</v>
      </c>
      <c r="AL17" s="188">
        <v>0</v>
      </c>
      <c r="AM17" s="188">
        <v>0</v>
      </c>
      <c r="AN17" s="188">
        <v>0</v>
      </c>
      <c r="AO17" s="18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2" bestFit="1" customWidth="1"/>
    <col min="2" max="2" width="7.77734375" style="78" customWidth="1"/>
    <col min="3" max="3" width="5.44140625" style="102" hidden="1" customWidth="1"/>
    <col min="4" max="4" width="7.77734375" style="78" customWidth="1"/>
    <col min="5" max="5" width="5.44140625" style="102" hidden="1" customWidth="1"/>
    <col min="6" max="6" width="7.77734375" style="78" customWidth="1"/>
    <col min="7" max="7" width="7.77734375" style="177" customWidth="1"/>
    <col min="8" max="8" width="7.77734375" style="78" customWidth="1"/>
    <col min="9" max="9" width="5.44140625" style="102" hidden="1" customWidth="1"/>
    <col min="10" max="10" width="7.77734375" style="78" customWidth="1"/>
    <col min="11" max="11" width="5.44140625" style="102" hidden="1" customWidth="1"/>
    <col min="12" max="12" width="7.77734375" style="78" customWidth="1"/>
    <col min="13" max="13" width="7.77734375" style="177" customWidth="1"/>
    <col min="14" max="14" width="7.77734375" style="78" customWidth="1"/>
    <col min="15" max="15" width="5" style="102" hidden="1" customWidth="1"/>
    <col min="16" max="16" width="7.77734375" style="78" customWidth="1"/>
    <col min="17" max="17" width="5" style="102" hidden="1" customWidth="1"/>
    <col min="18" max="18" width="7.77734375" style="78" customWidth="1"/>
    <col min="19" max="19" width="7.77734375" style="177" customWidth="1"/>
    <col min="20" max="16384" width="8.88671875" style="102"/>
  </cols>
  <sheetData>
    <row r="1" spans="1:19" ht="18.600000000000001" customHeight="1" thickBot="1" x14ac:dyDescent="0.4">
      <c r="A1" s="291" t="s">
        <v>279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92" t="s">
        <v>215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4.4" customHeight="1" thickBot="1" x14ac:dyDescent="0.35">
      <c r="A3" s="178" t="s">
        <v>98</v>
      </c>
      <c r="B3" s="179">
        <f>SUBTOTAL(9,B6:B1048576)</f>
        <v>0</v>
      </c>
      <c r="C3" s="180">
        <f t="shared" ref="C3:R3" si="0">SUBTOTAL(9,C6:C1048576)</f>
        <v>0</v>
      </c>
      <c r="D3" s="180">
        <f t="shared" si="0"/>
        <v>327</v>
      </c>
      <c r="E3" s="180">
        <f t="shared" si="0"/>
        <v>0</v>
      </c>
      <c r="F3" s="180">
        <f t="shared" si="0"/>
        <v>0</v>
      </c>
      <c r="G3" s="181" t="str">
        <f>IF(B3&lt;&gt;0,F3/B3,"")</f>
        <v/>
      </c>
      <c r="H3" s="182">
        <f t="shared" si="0"/>
        <v>0</v>
      </c>
      <c r="I3" s="180">
        <f t="shared" si="0"/>
        <v>0</v>
      </c>
      <c r="J3" s="180">
        <f t="shared" si="0"/>
        <v>0</v>
      </c>
      <c r="K3" s="180">
        <f t="shared" si="0"/>
        <v>0</v>
      </c>
      <c r="L3" s="180">
        <f t="shared" si="0"/>
        <v>0</v>
      </c>
      <c r="M3" s="183" t="str">
        <f>IF(H3&lt;&gt;0,L3/H3,"")</f>
        <v/>
      </c>
      <c r="N3" s="179">
        <f t="shared" si="0"/>
        <v>0</v>
      </c>
      <c r="O3" s="180">
        <f t="shared" si="0"/>
        <v>0</v>
      </c>
      <c r="P3" s="180">
        <f t="shared" si="0"/>
        <v>0</v>
      </c>
      <c r="Q3" s="180">
        <f t="shared" si="0"/>
        <v>0</v>
      </c>
      <c r="R3" s="180">
        <f t="shared" si="0"/>
        <v>0</v>
      </c>
      <c r="S3" s="181" t="str">
        <f>IF(N3&lt;&gt;0,R3/N3,"")</f>
        <v/>
      </c>
    </row>
    <row r="4" spans="1:19" ht="14.4" customHeight="1" x14ac:dyDescent="0.3">
      <c r="A4" s="292" t="s">
        <v>74</v>
      </c>
      <c r="B4" s="293" t="s">
        <v>75</v>
      </c>
      <c r="C4" s="294"/>
      <c r="D4" s="294"/>
      <c r="E4" s="294"/>
      <c r="F4" s="294"/>
      <c r="G4" s="295"/>
      <c r="H4" s="293" t="s">
        <v>76</v>
      </c>
      <c r="I4" s="294"/>
      <c r="J4" s="294"/>
      <c r="K4" s="294"/>
      <c r="L4" s="294"/>
      <c r="M4" s="295"/>
      <c r="N4" s="293" t="s">
        <v>77</v>
      </c>
      <c r="O4" s="294"/>
      <c r="P4" s="294"/>
      <c r="Q4" s="294"/>
      <c r="R4" s="294"/>
      <c r="S4" s="295"/>
    </row>
    <row r="5" spans="1:19" ht="14.4" customHeight="1" thickBot="1" x14ac:dyDescent="0.35">
      <c r="A5" s="368"/>
      <c r="B5" s="369">
        <v>2013</v>
      </c>
      <c r="C5" s="370"/>
      <c r="D5" s="370">
        <v>2014</v>
      </c>
      <c r="E5" s="370"/>
      <c r="F5" s="370">
        <v>2015</v>
      </c>
      <c r="G5" s="371" t="s">
        <v>0</v>
      </c>
      <c r="H5" s="369">
        <v>2013</v>
      </c>
      <c r="I5" s="370"/>
      <c r="J5" s="370">
        <v>2014</v>
      </c>
      <c r="K5" s="370"/>
      <c r="L5" s="370">
        <v>2015</v>
      </c>
      <c r="M5" s="371" t="s">
        <v>0</v>
      </c>
      <c r="N5" s="369">
        <v>2013</v>
      </c>
      <c r="O5" s="370"/>
      <c r="P5" s="370">
        <v>2014</v>
      </c>
      <c r="Q5" s="370"/>
      <c r="R5" s="370">
        <v>2015</v>
      </c>
      <c r="S5" s="371" t="s">
        <v>0</v>
      </c>
    </row>
    <row r="6" spans="1:19" ht="14.4" customHeight="1" thickBot="1" x14ac:dyDescent="0.35">
      <c r="A6" s="375" t="s">
        <v>275</v>
      </c>
      <c r="B6" s="373"/>
      <c r="C6" s="374"/>
      <c r="D6" s="373">
        <v>327</v>
      </c>
      <c r="E6" s="374"/>
      <c r="F6" s="373"/>
      <c r="G6" s="250"/>
      <c r="H6" s="373"/>
      <c r="I6" s="374"/>
      <c r="J6" s="373"/>
      <c r="K6" s="374"/>
      <c r="L6" s="373"/>
      <c r="M6" s="250"/>
      <c r="N6" s="373"/>
      <c r="O6" s="374"/>
      <c r="P6" s="373"/>
      <c r="Q6" s="374"/>
      <c r="R6" s="373"/>
      <c r="S6" s="251"/>
    </row>
    <row r="7" spans="1:19" ht="14.4" customHeight="1" x14ac:dyDescent="0.3">
      <c r="A7" s="376" t="s">
        <v>276</v>
      </c>
    </row>
    <row r="8" spans="1:19" ht="14.4" customHeight="1" x14ac:dyDescent="0.3">
      <c r="A8" s="377" t="s">
        <v>277</v>
      </c>
    </row>
    <row r="9" spans="1:19" ht="14.4" customHeight="1" x14ac:dyDescent="0.3">
      <c r="A9" s="376" t="s">
        <v>278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2015-04-25T23:23:32Z</dcterms:modified>
</cp:coreProperties>
</file>