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Osobní náklady" sheetId="419" r:id="rId7"/>
    <sheet name="ON Data" sheetId="418" state="hidden" r:id="rId8"/>
    <sheet name="ZV Vykáz.-A" sheetId="344" r:id="rId9"/>
    <sheet name="ZV Vykáz.-A Lékaři" sheetId="429" r:id="rId10"/>
    <sheet name="ZV Vykáz.-A Detail" sheetId="345" r:id="rId11"/>
    <sheet name="ZV Vykáz.-H" sheetId="410" r:id="rId12"/>
    <sheet name="ZV Vykáz.-H Detail" sheetId="377" r:id="rId13"/>
  </sheets>
  <definedNames>
    <definedName name="_xlnm._FilterDatabase" localSheetId="5" hidden="1">HV!$A$5:$A$5</definedName>
    <definedName name="_xlnm._FilterDatabase" localSheetId="4" hidden="1">'Man Tab'!$A$5:$A$31</definedName>
    <definedName name="_xlnm._FilterDatabase" localSheetId="10" hidden="1">'ZV Vykáz.-A Detail'!$A$5:$Q$5</definedName>
    <definedName name="_xlnm._FilterDatabase" localSheetId="9" hidden="1">'ZV Vykáz.-A Lékaři'!$A$4:$A$5</definedName>
    <definedName name="_xlnm._FilterDatabase" localSheetId="12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7" i="414" l="1"/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F18" i="419" s="1"/>
  <c r="AE16" i="419"/>
  <c r="AD16" i="419"/>
  <c r="AD18" i="419" s="1"/>
  <c r="AC16" i="419"/>
  <c r="AB16" i="419"/>
  <c r="AB18" i="419" s="1"/>
  <c r="AA16" i="419"/>
  <c r="Z16" i="419"/>
  <c r="Z18" i="419" s="1"/>
  <c r="Y16" i="419"/>
  <c r="X16" i="419"/>
  <c r="X18" i="419" s="1"/>
  <c r="W16" i="419"/>
  <c r="V16" i="419"/>
  <c r="V18" i="419" s="1"/>
  <c r="U16" i="419"/>
  <c r="T16" i="419"/>
  <c r="T18" i="419" s="1"/>
  <c r="S16" i="419"/>
  <c r="R16" i="419"/>
  <c r="R18" i="419" s="1"/>
  <c r="Q16" i="419"/>
  <c r="P16" i="419"/>
  <c r="P18" i="419" s="1"/>
  <c r="O16" i="419"/>
  <c r="N16" i="419"/>
  <c r="N18" i="419" s="1"/>
  <c r="M16" i="419"/>
  <c r="L16" i="419"/>
  <c r="L18" i="419" s="1"/>
  <c r="K16" i="419"/>
  <c r="J16" i="419"/>
  <c r="J18" i="419" s="1"/>
  <c r="I16" i="419"/>
  <c r="H16" i="419"/>
  <c r="H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23" i="419" l="1"/>
  <c r="N23" i="419"/>
  <c r="R23" i="419"/>
  <c r="Z23" i="419"/>
  <c r="AD23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15" i="383"/>
  <c r="G3" i="429"/>
  <c r="F3" i="429"/>
  <c r="E3" i="429"/>
  <c r="D3" i="429"/>
  <c r="C3" i="429"/>
  <c r="B3" i="429"/>
  <c r="AH26" i="419" l="1"/>
  <c r="AH25" i="419"/>
  <c r="C11" i="340" l="1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C6" i="419" l="1"/>
  <c r="Q6" i="419"/>
  <c r="I6" i="419"/>
  <c r="AF6" i="419"/>
  <c r="AB6" i="419"/>
  <c r="X6" i="419"/>
  <c r="T6" i="419"/>
  <c r="P6" i="419"/>
  <c r="L6" i="419"/>
  <c r="H6" i="419"/>
  <c r="AA6" i="419"/>
  <c r="S6" i="419"/>
  <c r="K6" i="419"/>
  <c r="AH6" i="419"/>
  <c r="AE6" i="419"/>
  <c r="W6" i="419"/>
  <c r="O6" i="419"/>
  <c r="AD6" i="419"/>
  <c r="Z6" i="419"/>
  <c r="V6" i="419"/>
  <c r="R6" i="419"/>
  <c r="N6" i="419"/>
  <c r="J6" i="419"/>
  <c r="AG6" i="419"/>
  <c r="Y6" i="419"/>
  <c r="U6" i="419"/>
  <c r="M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5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7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6" i="414" s="1"/>
  <c r="C11" i="339"/>
  <c r="H11" i="339" l="1"/>
  <c r="G11" i="339"/>
  <c r="A17" i="414"/>
  <c r="A16" i="414"/>
  <c r="A11" i="414"/>
  <c r="A12" i="414"/>
  <c r="A4" i="414"/>
  <c r="A6" i="339" l="1"/>
  <c r="A5" i="339"/>
  <c r="D4" i="414"/>
  <c r="C12" i="414"/>
  <c r="D15" i="414"/>
  <c r="D12" i="414"/>
  <c r="C15" i="414"/>
  <c r="C11" i="414" l="1"/>
  <c r="C7" i="414"/>
  <c r="E17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D18" i="414"/>
  <c r="C18" i="414"/>
  <c r="F13" i="339" l="1"/>
  <c r="E13" i="339"/>
  <c r="E15" i="339" s="1"/>
  <c r="H12" i="339"/>
  <c r="G12" i="339"/>
  <c r="A4" i="383"/>
  <c r="A18" i="383"/>
  <c r="A17" i="383"/>
  <c r="A16" i="383"/>
  <c r="A14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4" i="414"/>
  <c r="C4" i="414"/>
  <c r="H13" i="339" l="1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18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<sst xmlns="http://schemas.openxmlformats.org/spreadsheetml/2006/main" count="550" uniqueCount="320">
  <si>
    <t>NS</t>
  </si>
  <si>
    <t>%</t>
  </si>
  <si>
    <t>Celkem</t>
  </si>
  <si>
    <t>Klinika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</si>
  <si>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</si>
  <si>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</si>
  <si>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</si>
  <si>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</si>
  <si>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</si>
  <si>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</si>
  <si>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</si>
  <si>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</si>
  <si>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</si>
  <si>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</si>
  <si>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</si>
  <si>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</si>
  <si>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</si>
  <si>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</si>
  <si>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</si>
  <si>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</si>
  <si>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</si>
  <si>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</si>
  <si>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</si>
  <si>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</si>
  <si>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</si>
  <si>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</si>
  <si>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</si>
  <si>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</si>
  <si>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</si>
  <si>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</si>
  <si>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</si>
  <si>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</si>
  <si>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</si>
  <si>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</si>
  <si>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</si>
  <si>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</si>
  <si>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</si>
  <si>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</si>
  <si>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</si>
  <si>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</si>
  <si>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</si>
  <si>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</si>
  <si>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</si>
  <si>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</si>
  <si>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</si>
  <si>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</si>
  <si>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</si>
  <si>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</si>
  <si>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</si>
  <si>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</si>
  <si>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</si>
  <si>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</si>
  <si>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</si>
  <si>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</si>
  <si>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</si>
  <si>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</si>
  <si>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</si>
  <si>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</si>
  <si>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</si>
  <si>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</si>
  <si>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</si>
  <si>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</si>
  <si>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</si>
  <si>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</si>
  <si>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</si>
  <si>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</si>
  <si>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</si>
  <si>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</si>
  <si>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</si>
  <si>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</si>
  <si>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</si>
  <si>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</si>
  <si>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</si>
  <si>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</si>
  <si>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</si>
  <si>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</si>
  <si>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</si>
  <si>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</si>
  <si>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</si>
  <si>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</si>
  <si>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</si>
  <si>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</si>
  <si>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</si>
  <si>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</si>
  <si>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</si>
  <si>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</si>
  <si>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</si>
  <si>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</si>
  <si>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</si>
  <si>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</si>
  <si>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</si>
  <si>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</si>
  <si>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</si>
  <si>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</si>
  <si>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</si>
  <si>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</si>
  <si>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</si>
  <si>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</si>
  <si>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</si>
  <si>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</si>
  <si>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</si>
  <si>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</si>
  <si>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</si>
  <si>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</si>
  <si>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</si>
  <si>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</si>
  <si>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</si>
  <si>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</si>
  <si>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</si>
  <si>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</si>
  <si>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</si>
  <si>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</si>
  <si>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</si>
  <si>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</si>
  <si>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</si>
  <si>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</si>
  <si>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</si>
  <si>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</si>
  <si>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</si>
  <si>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</si>
  <si>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</si>
  <si>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</si>
  <si>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</si>
  <si>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</si>
  <si>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</si>
  <si>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</si>
  <si>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</si>
  <si>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</si>
  <si>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</si>
  <si>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</si>
  <si>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</si>
  <si>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</si>
  <si>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</si>
  <si>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</si>
  <si>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</si>
  <si>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</si>
  <si>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</si>
  <si>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</si>
  <si>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</si>
  <si>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</si>
  <si>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</si>
  <si>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</si>
  <si>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</si>
  <si>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</si>
  <si>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</si>
  <si>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</si>
  <si>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</si>
  <si>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</si>
  <si>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</si>
  <si>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</si>
  <si>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</si>
  <si>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</si>
  <si>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</si>
  <si>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</si>
  <si>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</si>
  <si>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</si>
  <si>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</si>
  <si>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</si>
  <si>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</si>
  <si>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</si>
  <si>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</si>
  <si>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</si>
  <si>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</si>
  <si>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</si>
  <si>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</si>
  <si>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</si>
  <si>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</si>
  <si>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</si>
  <si>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</si>
  <si>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</si>
  <si>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</si>
  <si>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</si>
  <si>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</si>
  <si>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</si>
  <si>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</si>
  <si>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</si>
  <si>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</si>
  <si>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</si>
  <si>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</si>
  <si>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</si>
  <si>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</si>
  <si>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</si>
  <si>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</si>
  <si>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</si>
  <si>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</si>
  <si>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</si>
  <si>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</si>
  <si>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</si>
  <si>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</si>
  <si>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</si>
  <si>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</si>
  <si>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</si>
  <si>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</si>
  <si>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</si>
  <si>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</si>
  <si>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</si>
  <si>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</si>
  <si>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</si>
  <si>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</si>
  <si>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</si>
  <si>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</si>
  <si>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</si>
  <si>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</si>
  <si>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</si>
  <si>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</si>
  <si>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</si>
  <si>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</si>
  <si>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</si>
  <si>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</si>
  <si>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</si>
  <si>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</si>
  <si>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</si>
  <si>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</si>
  <si>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</si>
  <si>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</si>
  <si>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</si>
  <si>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Ústav farmakologie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</si>
  <si>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</si>
  <si>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</si>
  <si>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</si>
  <si>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</si>
  <si>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</si>
  <si>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50117     Všeobecný materiál</t>
  </si>
  <si>
    <t>50117001     nákup zdravotnické techniky (Z 524, Z 510)</t>
  </si>
  <si>
    <t>--</t>
  </si>
  <si>
    <t>50117002     prací a čistící prostř.,drog.zboží (sk.V41)</t>
  </si>
  <si>
    <t>50117004     tiskopisy a kanc.potřeby (sk.V42, 43)</t>
  </si>
  <si>
    <t>50117015     IT - spotřební materiál (sk. P37, 48)</t>
  </si>
  <si>
    <t>50117024     všeob.mat. - ostatní-vyjímky (V44) od 0,01 do 999,99</t>
  </si>
  <si>
    <t>50119     DDHM a textil</t>
  </si>
  <si>
    <t>50119077     OOPP a prádlo pro zaměstnance (sk.T14)</t>
  </si>
  <si>
    <t>51     Služby</t>
  </si>
  <si>
    <t>51802     Spoje</t>
  </si>
  <si>
    <t>51802003     spoje - telekom.styk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</si>
  <si>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</si>
  <si>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</si>
  <si>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</si>
  <si>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</si>
  <si>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</si>
  <si>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</si>
  <si>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</si>
  <si>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</si>
  <si>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</si>
  <si>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</si>
  <si>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</si>
  <si>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</si>
  <si>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</si>
  <si>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</si>
  <si>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</si>
  <si>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</si>
  <si>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</si>
  <si>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6     Účtová třída 6 - Výnosy</t>
  </si>
  <si>
    <t>60     Tržby za vlastní výkony a zboží</t>
  </si>
  <si>
    <t>602     Výnosy z prodeje služeb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</si>
  <si>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</si>
  <si>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</si>
  <si>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</si>
  <si>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</si>
  <si>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</si>
  <si>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</si>
  <si>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</si>
  <si>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</si>
  <si>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64924     Ostatní služby - mimo zdrav.výkony  FAKTURACE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</si>
  <si>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</si>
  <si>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</si>
  <si>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</si>
  <si>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</si>
  <si>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</si>
  <si>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</si>
  <si>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</si>
  <si>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79910     VPN - informační technologie</t>
  </si>
  <si>
    <t>79910001     výkony IT - fixní náklady (z 9086)</t>
  </si>
  <si>
    <t>79910003     výkony PACS - přeúčtování nákl. (z 9087)</t>
  </si>
  <si>
    <t>79950     VPN - správní režie</t>
  </si>
  <si>
    <t>79950001     režie HTS</t>
  </si>
  <si>
    <t>ON Data</t>
  </si>
  <si>
    <t>206 - Pracoviště klinické farmakologie (mimo laboratorní</t>
  </si>
  <si>
    <t>Zdravotní výkony vykázané na pracovišti v rámci ambulantní péče *</t>
  </si>
  <si>
    <t>4321</t>
  </si>
  <si>
    <t xml:space="preserve"> </t>
  </si>
  <si>
    <t>* Legenda</t>
  </si>
  <si>
    <t>Ambulantní péče znamená, že pacient v den poskytnutí zdravotní péče není hospitalizován ve FNOL</t>
  </si>
  <si>
    <t>Matalová Petra</t>
  </si>
  <si>
    <t>Zdravotní výkony vykázané na pracovišti v rámci ambulantní péče dle lékařů *</t>
  </si>
  <si>
    <t>206</t>
  </si>
  <si>
    <t>V</t>
  </si>
  <si>
    <t>26022</t>
  </si>
  <si>
    <t>CÍLENÉ VYŠETŘENÍ KLINICKÝM FARMAKOLOGEM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</si>
  <si>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</si>
  <si>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</si>
  <si>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</si>
  <si>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</si>
  <si>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05 - II. chirurgická klinika - cévně-transplantační</t>
  </si>
  <si>
    <t>07 - Klinika anesteziologie, resuscitace a intenzivní medicíny</t>
  </si>
  <si>
    <t>10 - Dětská klinika</t>
  </si>
  <si>
    <t>14 - Oční klinika</t>
  </si>
  <si>
    <t>16 - Klinika plicních nemocí a tuberkulózy</t>
  </si>
  <si>
    <t>17 - Neurologická klinika</t>
  </si>
  <si>
    <t>21 - Onkologická klinika</t>
  </si>
  <si>
    <t>30 - Oddělení geriatrie</t>
  </si>
  <si>
    <t>32 - Hemato-onkologická klinika</t>
  </si>
  <si>
    <t>50 - Kardiochirurgická klinika</t>
  </si>
  <si>
    <t>59 - Oddělení intenzivní péče chirurgických oborů</t>
  </si>
  <si>
    <t>01</t>
  </si>
  <si>
    <t>26023</t>
  </si>
  <si>
    <t>KONTROLNÍ VYŠETŘENÍ KLINICKÝM FARMAKOLOGEM</t>
  </si>
  <si>
    <t>02</t>
  </si>
  <si>
    <t>03</t>
  </si>
  <si>
    <t>05</t>
  </si>
  <si>
    <t>07</t>
  </si>
  <si>
    <t>10</t>
  </si>
  <si>
    <t>14</t>
  </si>
  <si>
    <t>16</t>
  </si>
  <si>
    <t>17</t>
  </si>
  <si>
    <t>21</t>
  </si>
  <si>
    <t>30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</si>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</sst>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5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23">
    <xf numFmtId="0" fontId="0" fillId="0" borderId="0" xfId="0"/>
    <xf numFmtId="0" fontId="27" fillId="2" borderId="16" xfId="78" applyFont="1" applyFill="1" applyBorder="1"/>
    <xf numFmtId="0" fontId="28" fillId="2" borderId="17" xfId="78" applyFont="1" applyFill="1" applyBorder="1"/>
    <xf numFmtId="3" fontId="28" fillId="2" borderId="18" xfId="78" applyNumberFormat="1" applyFont="1" applyFill="1" applyBorder="1"/>
    <xf numFmtId="0" fontId="28" fillId="4" borderId="17" xfId="78" applyFont="1" applyFill="1" applyBorder="1"/>
    <xf numFmtId="3" fontId="28" fillId="4" borderId="18" xfId="78" applyNumberFormat="1" applyFont="1" applyFill="1" applyBorder="1"/>
    <xf numFmtId="171" fontId="28" fillId="3" borderId="18" xfId="78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78" applyNumberFormat="1" applyFont="1" applyFill="1" applyBorder="1"/>
    <xf numFmtId="3" fontId="27" fillId="5" borderId="7" xfId="78" applyNumberFormat="1" applyFont="1" applyFill="1" applyBorder="1"/>
    <xf numFmtId="3" fontId="27" fillId="5" borderId="11" xfId="78" applyNumberFormat="1" applyFont="1" applyFill="1" applyBorder="1"/>
    <xf numFmtId="0" fontId="27" fillId="5" borderId="0" xfId="78" applyFont="1" applyFill="1"/>
    <xf numFmtId="10" fontId="27" fillId="5" borderId="0" xfId="78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78" applyNumberFormat="1" applyFont="1" applyFill="1" applyBorder="1"/>
    <xf numFmtId="3" fontId="27" fillId="5" borderId="28" xfId="78" applyNumberFormat="1" applyFont="1" applyFill="1" applyBorder="1"/>
    <xf numFmtId="3" fontId="27" fillId="5" borderId="24" xfId="78" applyNumberFormat="1" applyFont="1" applyFill="1" applyBorder="1"/>
    <xf numFmtId="3" fontId="27" fillId="5" borderId="8" xfId="78" applyNumberFormat="1" applyFont="1" applyFill="1" applyBorder="1"/>
    <xf numFmtId="3" fontId="27" fillId="5" borderId="9" xfId="78" applyNumberFormat="1" applyFont="1" applyFill="1" applyBorder="1"/>
    <xf numFmtId="3" fontId="27" fillId="5" borderId="12" xfId="78" applyNumberFormat="1" applyFont="1" applyFill="1" applyBorder="1"/>
    <xf numFmtId="3" fontId="27" fillId="5" borderId="13" xfId="78" applyNumberFormat="1" applyFont="1" applyFill="1" applyBorder="1"/>
    <xf numFmtId="3" fontId="28" fillId="2" borderId="26" xfId="78" applyNumberFormat="1" applyFont="1" applyFill="1" applyBorder="1"/>
    <xf numFmtId="3" fontId="28" fillId="2" borderId="19" xfId="78" applyNumberFormat="1" applyFont="1" applyFill="1" applyBorder="1"/>
    <xf numFmtId="3" fontId="28" fillId="4" borderId="26" xfId="78" applyNumberFormat="1" applyFont="1" applyFill="1" applyBorder="1"/>
    <xf numFmtId="3" fontId="28" fillId="4" borderId="19" xfId="78" applyNumberFormat="1" applyFont="1" applyFill="1" applyBorder="1"/>
    <xf numFmtId="171" fontId="28" fillId="3" borderId="26" xfId="78" applyNumberFormat="1" applyFont="1" applyFill="1" applyBorder="1"/>
    <xf numFmtId="171" fontId="28" fillId="3" borderId="19" xfId="78" applyNumberFormat="1" applyFont="1" applyFill="1" applyBorder="1"/>
    <xf numFmtId="0" fontId="31" fillId="2" borderId="24" xfId="78" applyFont="1" applyFill="1" applyBorder="1" applyAlignment="1">
      <alignment horizontal="center"/>
    </xf>
    <xf numFmtId="0" fontId="32" fillId="0" borderId="35" xfId="0" applyFont="1" applyFill="1" applyBorder="1" applyAlignment="1"/>
    <xf numFmtId="0" fontId="41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79" applyFont="1" applyFill="1"/>
    <xf numFmtId="0" fontId="8" fillId="0" borderId="35" xfId="79" applyFont="1" applyFill="1" applyBorder="1" applyAlignment="1"/>
    <xf numFmtId="164" fontId="3" fillId="0" borderId="54" xfId="53" applyNumberFormat="1" applyFont="1" applyFill="1" applyBorder="1"/>
    <xf numFmtId="9" fontId="3" fillId="0" borderId="54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9" xfId="0" applyFont="1" applyFill="1" applyBorder="1" applyAlignment="1"/>
    <xf numFmtId="0" fontId="3" fillId="2" borderId="52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0" fontId="31" fillId="2" borderId="41" xfId="0" applyFont="1" applyFill="1" applyBorder="1" applyAlignment="1">
      <alignment horizontal="center"/>
    </xf>
    <xf numFmtId="3" fontId="3" fillId="0" borderId="53" xfId="53" applyNumberFormat="1" applyFont="1" applyFill="1" applyBorder="1"/>
    <xf numFmtId="3" fontId="3" fillId="0" borderId="54" xfId="53" applyNumberFormat="1" applyFont="1" applyFill="1" applyBorder="1"/>
    <xf numFmtId="3" fontId="3" fillId="0" borderId="55" xfId="53" applyNumberFormat="1" applyFont="1" applyFill="1" applyBorder="1"/>
    <xf numFmtId="0" fontId="31" fillId="2" borderId="41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7" xfId="74" applyFont="1" applyFill="1" applyBorder="1" applyAlignment="1">
      <alignment horizontal="center"/>
    </xf>
    <xf numFmtId="0" fontId="27" fillId="5" borderId="35" xfId="78" applyFont="1" applyFill="1" applyBorder="1"/>
    <xf numFmtId="0" fontId="31" fillId="2" borderId="22" xfId="78" applyFont="1" applyFill="1" applyBorder="1" applyAlignment="1">
      <alignment horizontal="center"/>
    </xf>
    <xf numFmtId="0" fontId="31" fillId="2" borderId="21" xfId="78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6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78" applyNumberFormat="1" applyFont="1" applyFill="1" applyBorder="1"/>
    <xf numFmtId="9" fontId="28" fillId="4" borderId="19" xfId="78" applyNumberFormat="1" applyFont="1" applyFill="1" applyBorder="1"/>
    <xf numFmtId="9" fontId="28" fillId="3" borderId="19" xfId="78" applyNumberFormat="1" applyFont="1" applyFill="1" applyBorder="1"/>
    <xf numFmtId="0" fontId="31" fillId="2" borderId="20" xfId="78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5" fillId="4" borderId="32" xfId="1" applyFont="1" applyFill="1" applyBorder="1"/>
    <xf numFmtId="0" fontId="45" fillId="4" borderId="16" xfId="1" applyFont="1" applyFill="1" applyBorder="1"/>
    <xf numFmtId="0" fontId="45" fillId="3" borderId="17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45" fillId="3" borderId="7" xfId="1" applyFont="1" applyFill="1" applyBorder="1"/>
    <xf numFmtId="0" fontId="45" fillId="3" borderId="3" xfId="1" applyFont="1" applyFill="1" applyBorder="1"/>
    <xf numFmtId="0" fontId="45" fillId="6" borderId="3" xfId="1" applyFont="1" applyFill="1" applyBorder="1"/>
    <xf numFmtId="0" fontId="45" fillId="6" borderId="47" xfId="1" applyFont="1" applyFill="1" applyBorder="1"/>
    <xf numFmtId="0" fontId="45" fillId="2" borderId="3" xfId="1" applyFont="1" applyFill="1" applyBorder="1"/>
    <xf numFmtId="0" fontId="45" fillId="4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5" xfId="0" applyNumberFormat="1" applyFont="1" applyFill="1" applyBorder="1"/>
    <xf numFmtId="9" fontId="39" fillId="2" borderId="48" xfId="0" applyNumberFormat="1" applyFont="1" applyFill="1" applyBorder="1"/>
    <xf numFmtId="0" fontId="49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6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5" fillId="2" borderId="33" xfId="1" applyFont="1" applyFill="1" applyBorder="1" applyAlignment="1">
      <alignment horizontal="left" indent="2"/>
    </xf>
    <xf numFmtId="0" fontId="49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9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9" fillId="4" borderId="46" xfId="1" applyFont="1" applyFill="1" applyBorder="1" applyAlignment="1">
      <alignment horizontal="left"/>
    </xf>
    <xf numFmtId="0" fontId="45" fillId="4" borderId="33" xfId="1" applyFont="1" applyFill="1" applyBorder="1" applyAlignment="1">
      <alignment horizontal="left" indent="2"/>
    </xf>
    <xf numFmtId="0" fontId="49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78" applyFont="1" applyFill="1"/>
    <xf numFmtId="0" fontId="50" fillId="0" borderId="35" xfId="78" applyFont="1" applyFill="1" applyBorder="1" applyAlignment="1"/>
    <xf numFmtId="3" fontId="32" fillId="0" borderId="0" xfId="0" applyNumberFormat="1" applyFont="1" applyFill="1"/>
    <xf numFmtId="9" fontId="32" fillId="0" borderId="0" xfId="0" applyNumberFormat="1" applyFont="1" applyFill="1"/>
    <xf numFmtId="0" fontId="39" fillId="2" borderId="25" xfId="0" applyFont="1" applyFill="1" applyBorder="1" applyAlignment="1">
      <alignment horizontal="right"/>
    </xf>
    <xf numFmtId="169" fontId="39" fillId="0" borderId="18" xfId="0" applyNumberFormat="1" applyFont="1" applyFill="1" applyBorder="1" applyAlignment="1"/>
    <xf numFmtId="169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43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1" xfId="0" applyNumberFormat="1" applyFont="1" applyFill="1" applyBorder="1" applyAlignment="1"/>
    <xf numFmtId="9" fontId="32" fillId="0" borderId="41" xfId="0" applyNumberFormat="1" applyFont="1" applyFill="1" applyBorder="1" applyAlignment="1"/>
    <xf numFmtId="3" fontId="0" fillId="0" borderId="0" xfId="0" applyNumberFormat="1"/>
    <xf numFmtId="3" fontId="0" fillId="7" borderId="57" xfId="0" applyNumberFormat="1" applyFont="1" applyFill="1" applyBorder="1"/>
    <xf numFmtId="3" fontId="52" fillId="8" borderId="58" xfId="0" applyNumberFormat="1" applyFont="1" applyFill="1" applyBorder="1"/>
    <xf numFmtId="3" fontId="52" fillId="8" borderId="57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1" xfId="0" applyNumberFormat="1" applyFont="1" applyFill="1" applyBorder="1" applyAlignment="1">
      <alignment horizontal="center" vertical="center"/>
    </xf>
    <xf numFmtId="0" fontId="39" fillId="2" borderId="62" xfId="0" applyFont="1" applyFill="1" applyBorder="1" applyAlignment="1">
      <alignment horizontal="center" vertical="center"/>
    </xf>
    <xf numFmtId="3" fontId="54" fillId="2" borderId="64" xfId="0" applyNumberFormat="1" applyFont="1" applyFill="1" applyBorder="1" applyAlignment="1">
      <alignment horizontal="center" vertical="center" wrapText="1"/>
    </xf>
    <xf numFmtId="0" fontId="54" fillId="2" borderId="65" xfId="0" applyFont="1" applyFill="1" applyBorder="1" applyAlignment="1">
      <alignment horizontal="center" vertical="center" wrapText="1"/>
    </xf>
    <xf numFmtId="0" fontId="39" fillId="2" borderId="67" xfId="0" applyFont="1" applyFill="1" applyBorder="1" applyAlignment="1"/>
    <xf numFmtId="0" fontId="39" fillId="2" borderId="69" xfId="0" applyFont="1" applyFill="1" applyBorder="1" applyAlignment="1">
      <alignment horizontal="left" indent="1"/>
    </xf>
    <xf numFmtId="0" fontId="39" fillId="2" borderId="75" xfId="0" applyFont="1" applyFill="1" applyBorder="1" applyAlignment="1">
      <alignment horizontal="left" indent="1"/>
    </xf>
    <xf numFmtId="0" fontId="39" fillId="4" borderId="67" xfId="0" applyFont="1" applyFill="1" applyBorder="1" applyAlignment="1"/>
    <xf numFmtId="0" fontId="39" fillId="4" borderId="69" xfId="0" applyFont="1" applyFill="1" applyBorder="1" applyAlignment="1">
      <alignment horizontal="left" indent="1"/>
    </xf>
    <xf numFmtId="0" fontId="39" fillId="4" borderId="79" xfId="0" applyFont="1" applyFill="1" applyBorder="1" applyAlignment="1">
      <alignment horizontal="left" indent="1"/>
    </xf>
    <xf numFmtId="0" fontId="32" fillId="2" borderId="69" xfId="0" quotePrefix="1" applyFont="1" applyFill="1" applyBorder="1" applyAlignment="1">
      <alignment horizontal="left" indent="2"/>
    </xf>
    <xf numFmtId="0" fontId="32" fillId="2" borderId="75" xfId="0" quotePrefix="1" applyFont="1" applyFill="1" applyBorder="1" applyAlignment="1">
      <alignment horizontal="left" indent="2"/>
    </xf>
    <xf numFmtId="0" fontId="39" fillId="2" borderId="67" xfId="0" applyFont="1" applyFill="1" applyBorder="1" applyAlignment="1">
      <alignment horizontal="left" indent="1"/>
    </xf>
    <xf numFmtId="0" fontId="39" fillId="2" borderId="79" xfId="0" applyFont="1" applyFill="1" applyBorder="1" applyAlignment="1">
      <alignment horizontal="left" indent="1"/>
    </xf>
    <xf numFmtId="0" fontId="39" fillId="4" borderId="75" xfId="0" applyFont="1" applyFill="1" applyBorder="1" applyAlignment="1">
      <alignment horizontal="left" indent="1"/>
    </xf>
    <xf numFmtId="0" fontId="32" fillId="0" borderId="84" xfId="0" applyFont="1" applyBorder="1"/>
    <xf numFmtId="3" fontId="32" fillId="0" borderId="84" xfId="0" applyNumberFormat="1" applyFont="1" applyBorder="1"/>
    <xf numFmtId="0" fontId="39" fillId="4" borderId="59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3" xfId="0" applyNumberFormat="1" applyFont="1" applyFill="1" applyBorder="1" applyAlignment="1">
      <alignment horizontal="center" vertical="center"/>
    </xf>
    <xf numFmtId="3" fontId="54" fillId="2" borderId="81" xfId="0" applyNumberFormat="1" applyFont="1" applyFill="1" applyBorder="1" applyAlignment="1">
      <alignment horizontal="center" vertical="center" wrapText="1"/>
    </xf>
    <xf numFmtId="173" fontId="39" fillId="4" borderId="68" xfId="0" applyNumberFormat="1" applyFont="1" applyFill="1" applyBorder="1" applyAlignment="1"/>
    <xf numFmtId="173" fontId="39" fillId="4" borderId="61" xfId="0" applyNumberFormat="1" applyFont="1" applyFill="1" applyBorder="1" applyAlignment="1"/>
    <xf numFmtId="173" fontId="39" fillId="4" borderId="62" xfId="0" applyNumberFormat="1" applyFont="1" applyFill="1" applyBorder="1" applyAlignment="1"/>
    <xf numFmtId="173" fontId="39" fillId="0" borderId="70" xfId="0" applyNumberFormat="1" applyFont="1" applyBorder="1"/>
    <xf numFmtId="173" fontId="32" fillId="0" borderId="74" xfId="0" applyNumberFormat="1" applyFont="1" applyBorder="1"/>
    <xf numFmtId="173" fontId="32" fillId="0" borderId="72" xfId="0" applyNumberFormat="1" applyFont="1" applyBorder="1"/>
    <xf numFmtId="173" fontId="39" fillId="0" borderId="80" xfId="0" applyNumberFormat="1" applyFont="1" applyBorder="1"/>
    <xf numFmtId="173" fontId="32" fillId="0" borderId="81" xfId="0" applyNumberFormat="1" applyFont="1" applyBorder="1"/>
    <xf numFmtId="173" fontId="32" fillId="0" borderId="65" xfId="0" applyNumberFormat="1" applyFont="1" applyBorder="1"/>
    <xf numFmtId="173" fontId="39" fillId="2" borderId="82" xfId="0" applyNumberFormat="1" applyFont="1" applyFill="1" applyBorder="1" applyAlignment="1"/>
    <xf numFmtId="173" fontId="39" fillId="2" borderId="61" xfId="0" applyNumberFormat="1" applyFont="1" applyFill="1" applyBorder="1" applyAlignment="1"/>
    <xf numFmtId="173" fontId="39" fillId="2" borderId="62" xfId="0" applyNumberFormat="1" applyFont="1" applyFill="1" applyBorder="1" applyAlignment="1"/>
    <xf numFmtId="173" fontId="39" fillId="0" borderId="76" xfId="0" applyNumberFormat="1" applyFont="1" applyBorder="1"/>
    <xf numFmtId="173" fontId="32" fillId="0" borderId="77" xfId="0" applyNumberFormat="1" applyFont="1" applyBorder="1"/>
    <xf numFmtId="173" fontId="32" fillId="0" borderId="78" xfId="0" applyNumberFormat="1" applyFont="1" applyBorder="1"/>
    <xf numFmtId="173" fontId="39" fillId="0" borderId="68" xfId="0" applyNumberFormat="1" applyFont="1" applyBorder="1"/>
    <xf numFmtId="173" fontId="32" fillId="0" borderId="83" xfId="0" applyNumberFormat="1" applyFont="1" applyBorder="1"/>
    <xf numFmtId="173" fontId="32" fillId="0" borderId="62" xfId="0" applyNumberFormat="1" applyFont="1" applyBorder="1"/>
    <xf numFmtId="174" fontId="39" fillId="2" borderId="68" xfId="0" applyNumberFormat="1" applyFont="1" applyFill="1" applyBorder="1" applyAlignment="1"/>
    <xf numFmtId="174" fontId="32" fillId="2" borderId="61" xfId="0" applyNumberFormat="1" applyFont="1" applyFill="1" applyBorder="1" applyAlignment="1"/>
    <xf numFmtId="174" fontId="32" fillId="2" borderId="62" xfId="0" applyNumberFormat="1" applyFont="1" applyFill="1" applyBorder="1" applyAlignment="1"/>
    <xf numFmtId="174" fontId="39" fillId="0" borderId="70" xfId="0" applyNumberFormat="1" applyFont="1" applyBorder="1"/>
    <xf numFmtId="174" fontId="32" fillId="0" borderId="71" xfId="0" applyNumberFormat="1" applyFont="1" applyBorder="1"/>
    <xf numFmtId="174" fontId="32" fillId="0" borderId="72" xfId="0" applyNumberFormat="1" applyFont="1" applyBorder="1"/>
    <xf numFmtId="174" fontId="32" fillId="0" borderId="74" xfId="0" applyNumberFormat="1" applyFont="1" applyBorder="1"/>
    <xf numFmtId="174" fontId="39" fillId="0" borderId="76" xfId="0" applyNumberFormat="1" applyFont="1" applyBorder="1"/>
    <xf numFmtId="174" fontId="32" fillId="0" borderId="77" xfId="0" applyNumberFormat="1" applyFont="1" applyBorder="1"/>
    <xf numFmtId="174" fontId="32" fillId="0" borderId="78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3" fontId="39" fillId="4" borderId="68" xfId="0" applyNumberFormat="1" applyFont="1" applyFill="1" applyBorder="1" applyAlignment="1">
      <alignment horizontal="center"/>
    </xf>
    <xf numFmtId="175" fontId="39" fillId="0" borderId="76" xfId="0" applyNumberFormat="1" applyFont="1" applyBorder="1"/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0" fontId="25" fillId="2" borderId="33" xfId="1" applyFill="1" applyBorder="1" applyAlignment="1">
      <alignment horizontal="left" indent="4"/>
    </xf>
    <xf numFmtId="0" fontId="32" fillId="0" borderId="84" xfId="0" applyFont="1" applyFill="1" applyBorder="1" applyAlignment="1"/>
    <xf numFmtId="3" fontId="39" fillId="0" borderId="18" xfId="0" applyNumberFormat="1" applyFont="1" applyFill="1" applyBorder="1" applyAlignment="1"/>
    <xf numFmtId="3" fontId="39" fillId="0" borderId="26" xfId="0" applyNumberFormat="1" applyFont="1" applyFill="1" applyBorder="1" applyAlignment="1"/>
    <xf numFmtId="169" fontId="39" fillId="0" borderId="19" xfId="0" applyNumberFormat="1" applyFont="1" applyFill="1" applyBorder="1" applyAlignment="1"/>
    <xf numFmtId="9" fontId="39" fillId="0" borderId="70" xfId="0" applyNumberFormat="1" applyFont="1" applyBorder="1"/>
    <xf numFmtId="9" fontId="32" fillId="0" borderId="74" xfId="0" applyNumberFormat="1" applyFont="1" applyBorder="1"/>
    <xf numFmtId="9" fontId="32" fillId="0" borderId="72" xfId="0" applyNumberFormat="1" applyFont="1" applyBorder="1"/>
    <xf numFmtId="0" fontId="40" fillId="0" borderId="84" xfId="0" applyFont="1" applyFill="1" applyBorder="1" applyAlignment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5" xfId="78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39" xfId="78" applyFont="1" applyFill="1" applyBorder="1" applyAlignment="1">
      <alignment horizontal="center"/>
    </xf>
    <xf numFmtId="0" fontId="31" fillId="2" borderId="40" xfId="78" applyFont="1" applyFill="1" applyBorder="1" applyAlignment="1">
      <alignment horizontal="center"/>
    </xf>
    <xf numFmtId="0" fontId="31" fillId="2" borderId="37" xfId="78" applyFont="1" applyFill="1" applyBorder="1" applyAlignment="1">
      <alignment horizontal="center"/>
    </xf>
    <xf numFmtId="0" fontId="31" fillId="2" borderId="56" xfId="78" applyFont="1" applyFill="1" applyBorder="1" applyAlignment="1">
      <alignment horizontal="center"/>
    </xf>
    <xf numFmtId="0" fontId="31" fillId="2" borderId="38" xfId="78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2" fillId="0" borderId="1" xfId="26" applyFont="1" applyFill="1" applyBorder="1" applyAlignment="1"/>
    <xf numFmtId="166" fontId="39" fillId="2" borderId="60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48" xfId="0" applyFont="1" applyFill="1" applyBorder="1" applyAlignment="1">
      <alignment vertical="center"/>
    </xf>
    <xf numFmtId="3" fontId="31" fillId="2" borderId="50" xfId="26" applyNumberFormat="1" applyFont="1" applyFill="1" applyBorder="1" applyAlignment="1">
      <alignment horizontal="center"/>
    </xf>
    <xf numFmtId="3" fontId="31" fillId="2" borderId="41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60" xfId="26" applyNumberFormat="1" applyFont="1" applyFill="1" applyBorder="1" applyAlignment="1">
      <alignment horizontal="center"/>
    </xf>
    <xf numFmtId="3" fontId="31" fillId="2" borderId="42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 wrapText="1"/>
    </xf>
    <xf numFmtId="0" fontId="31" fillId="2" borderId="29" xfId="0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0" xfId="0" quotePrefix="1" applyFont="1" applyFill="1" applyBorder="1" applyAlignment="1">
      <alignment horizontal="center"/>
    </xf>
    <xf numFmtId="0" fontId="31" fillId="2" borderId="42" xfId="0" applyFont="1" applyFill="1" applyBorder="1" applyAlignment="1">
      <alignment horizontal="center"/>
    </xf>
    <xf numFmtId="9" fontId="43" fillId="2" borderId="42" xfId="0" applyNumberFormat="1" applyFont="1" applyFill="1" applyBorder="1" applyAlignment="1">
      <alignment horizontal="center" vertical="top"/>
    </xf>
    <xf numFmtId="0" fontId="31" fillId="2" borderId="59" xfId="0" applyNumberFormat="1" applyFont="1" applyFill="1" applyBorder="1" applyAlignment="1">
      <alignment horizontal="center" vertical="top"/>
    </xf>
    <xf numFmtId="0" fontId="31" fillId="2" borderId="59" xfId="0" applyFont="1" applyFill="1" applyBorder="1" applyAlignment="1">
      <alignment horizontal="center" vertical="top" wrapText="1"/>
    </xf>
    <xf numFmtId="0" fontId="31" fillId="2" borderId="50" xfId="0" quotePrefix="1" applyNumberFormat="1" applyFont="1" applyFill="1" applyBorder="1" applyAlignment="1">
      <alignment horizontal="center"/>
    </xf>
    <xf numFmtId="0" fontId="31" fillId="2" borderId="42" xfId="0" applyNumberFormat="1" applyFont="1" applyFill="1" applyBorder="1" applyAlignment="1">
      <alignment horizontal="center"/>
    </xf>
    <xf numFmtId="49" fontId="31" fillId="2" borderId="29" xfId="0" applyNumberFormat="1" applyFont="1" applyFill="1" applyBorder="1" applyAlignment="1">
      <alignment horizontal="center" vertical="top"/>
    </xf>
    <xf numFmtId="0" fontId="43" fillId="2" borderId="42" xfId="0" applyNumberFormat="1" applyFont="1" applyFill="1" applyBorder="1" applyAlignment="1">
      <alignment horizontal="center" vertical="top"/>
    </xf>
    <xf numFmtId="3" fontId="33" fillId="9" borderId="90" xfId="0" applyNumberFormat="1" applyFont="1" applyFill="1" applyBorder="1" applyAlignment="1">
      <alignment horizontal="right" vertical="top"/>
    </xf>
    <xf numFmtId="3" fontId="33" fillId="9" borderId="91" xfId="0" applyNumberFormat="1" applyFont="1" applyFill="1" applyBorder="1" applyAlignment="1">
      <alignment horizontal="right" vertical="top"/>
    </xf>
    <xf numFmtId="176" fontId="33" fillId="9" borderId="92" xfId="0" applyNumberFormat="1" applyFont="1" applyFill="1" applyBorder="1" applyAlignment="1">
      <alignment horizontal="right" vertical="top"/>
    </xf>
    <xf numFmtId="3" fontId="33" fillId="0" borderId="90" xfId="0" applyNumberFormat="1" applyFont="1" applyBorder="1" applyAlignment="1">
      <alignment horizontal="right" vertical="top"/>
    </xf>
    <xf numFmtId="176" fontId="33" fillId="9" borderId="93" xfId="0" applyNumberFormat="1" applyFont="1" applyFill="1" applyBorder="1" applyAlignment="1">
      <alignment horizontal="right" vertical="top"/>
    </xf>
    <xf numFmtId="3" fontId="35" fillId="9" borderId="95" xfId="0" applyNumberFormat="1" applyFont="1" applyFill="1" applyBorder="1" applyAlignment="1">
      <alignment horizontal="right" vertical="top"/>
    </xf>
    <xf numFmtId="3" fontId="35" fillId="9" borderId="96" xfId="0" applyNumberFormat="1" applyFont="1" applyFill="1" applyBorder="1" applyAlignment="1">
      <alignment horizontal="right" vertical="top"/>
    </xf>
    <xf numFmtId="176" fontId="35" fillId="9" borderId="97" xfId="0" applyNumberFormat="1" applyFont="1" applyFill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176" fontId="35" fillId="9" borderId="98" xfId="0" applyNumberFormat="1" applyFont="1" applyFill="1" applyBorder="1" applyAlignment="1">
      <alignment horizontal="right" vertical="top"/>
    </xf>
    <xf numFmtId="0" fontId="33" fillId="9" borderId="92" xfId="0" applyFont="1" applyFill="1" applyBorder="1" applyAlignment="1">
      <alignment horizontal="right" vertical="top"/>
    </xf>
    <xf numFmtId="0" fontId="33" fillId="9" borderId="93" xfId="0" applyFont="1" applyFill="1" applyBorder="1" applyAlignment="1">
      <alignment horizontal="right" vertical="top"/>
    </xf>
    <xf numFmtId="0" fontId="35" fillId="9" borderId="97" xfId="0" applyFont="1" applyFill="1" applyBorder="1" applyAlignment="1">
      <alignment horizontal="right" vertical="top"/>
    </xf>
    <xf numFmtId="0" fontId="35" fillId="9" borderId="98" xfId="0" applyFont="1" applyFill="1" applyBorder="1" applyAlignment="1">
      <alignment horizontal="right" vertical="top"/>
    </xf>
    <xf numFmtId="3" fontId="35" fillId="0" borderId="99" xfId="0" applyNumberFormat="1" applyFont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176" fontId="35" fillId="9" borderId="102" xfId="0" applyNumberFormat="1" applyFont="1" applyFill="1" applyBorder="1" applyAlignment="1">
      <alignment horizontal="right" vertical="top"/>
    </xf>
    <xf numFmtId="0" fontId="37" fillId="10" borderId="89" xfId="0" applyFont="1" applyFill="1" applyBorder="1" applyAlignment="1">
      <alignment vertical="top"/>
    </xf>
    <xf numFmtId="0" fontId="37" fillId="10" borderId="89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4"/>
    </xf>
    <xf numFmtId="0" fontId="38" fillId="10" borderId="94" xfId="0" applyFont="1" applyFill="1" applyBorder="1" applyAlignment="1">
      <alignment vertical="top" indent="6"/>
    </xf>
    <xf numFmtId="0" fontId="37" fillId="10" borderId="89" xfId="0" applyFont="1" applyFill="1" applyBorder="1" applyAlignment="1">
      <alignment vertical="top" indent="8"/>
    </xf>
    <xf numFmtId="0" fontId="38" fillId="10" borderId="94" xfId="0" applyFont="1" applyFill="1" applyBorder="1" applyAlignment="1">
      <alignment vertical="top" indent="2"/>
    </xf>
    <xf numFmtId="0" fontId="38" fillId="10" borderId="94" xfId="0" applyFont="1" applyFill="1" applyBorder="1" applyAlignment="1">
      <alignment vertical="top" indent="4"/>
    </xf>
    <xf numFmtId="0" fontId="32" fillId="10" borderId="89" xfId="0" applyFont="1" applyFill="1" applyBorder="1"/>
    <xf numFmtId="0" fontId="38" fillId="10" borderId="17" xfId="0" applyFont="1" applyFill="1" applyBorder="1" applyAlignment="1">
      <alignment vertical="top"/>
    </xf>
    <xf numFmtId="173" fontId="39" fillId="4" borderId="103" xfId="0" applyNumberFormat="1" applyFont="1" applyFill="1" applyBorder="1" applyAlignment="1">
      <alignment horizontal="center"/>
    </xf>
    <xf numFmtId="173" fontId="39" fillId="4" borderId="104" xfId="0" applyNumberFormat="1" applyFont="1" applyFill="1" applyBorder="1" applyAlignment="1">
      <alignment horizontal="center"/>
    </xf>
    <xf numFmtId="173" fontId="32" fillId="0" borderId="105" xfId="0" applyNumberFormat="1" applyFont="1" applyBorder="1" applyAlignment="1">
      <alignment horizontal="right"/>
    </xf>
    <xf numFmtId="173" fontId="32" fillId="0" borderId="106" xfId="0" applyNumberFormat="1" applyFont="1" applyBorder="1" applyAlignment="1">
      <alignment horizontal="right"/>
    </xf>
    <xf numFmtId="173" fontId="32" fillId="0" borderId="106" xfId="0" applyNumberFormat="1" applyFont="1" applyBorder="1" applyAlignment="1">
      <alignment horizontal="right" wrapText="1"/>
    </xf>
    <xf numFmtId="175" fontId="32" fillId="0" borderId="105" xfId="0" applyNumberFormat="1" applyFont="1" applyBorder="1" applyAlignment="1">
      <alignment horizontal="right"/>
    </xf>
    <xf numFmtId="175" fontId="32" fillId="0" borderId="106" xfId="0" applyNumberFormat="1" applyFont="1" applyBorder="1" applyAlignment="1">
      <alignment horizontal="right"/>
    </xf>
    <xf numFmtId="173" fontId="32" fillId="0" borderId="107" xfId="0" applyNumberFormat="1" applyFont="1" applyBorder="1" applyAlignment="1">
      <alignment horizontal="right"/>
    </xf>
    <xf numFmtId="173" fontId="32" fillId="0" borderId="108" xfId="0" applyNumberFormat="1" applyFont="1" applyBorder="1" applyAlignment="1">
      <alignment horizontal="right"/>
    </xf>
    <xf numFmtId="0" fontId="39" fillId="2" borderId="87" xfId="0" applyFont="1" applyFill="1" applyBorder="1" applyAlignment="1">
      <alignment horizontal="center" vertical="center"/>
    </xf>
    <xf numFmtId="0" fontId="54" fillId="2" borderId="86" xfId="0" applyFont="1" applyFill="1" applyBorder="1" applyAlignment="1">
      <alignment horizontal="center" vertical="center" wrapText="1"/>
    </xf>
    <xf numFmtId="174" fontId="32" fillId="2" borderId="87" xfId="0" applyNumberFormat="1" applyFont="1" applyFill="1" applyBorder="1" applyAlignment="1"/>
    <xf numFmtId="174" fontId="32" fillId="0" borderId="85" xfId="0" applyNumberFormat="1" applyFont="1" applyBorder="1"/>
    <xf numFmtId="174" fontId="32" fillId="0" borderId="109" xfId="0" applyNumberFormat="1" applyFont="1" applyBorder="1"/>
    <xf numFmtId="173" fontId="39" fillId="4" borderId="87" xfId="0" applyNumberFormat="1" applyFont="1" applyFill="1" applyBorder="1" applyAlignment="1"/>
    <xf numFmtId="173" fontId="32" fillId="0" borderId="85" xfId="0" applyNumberFormat="1" applyFont="1" applyBorder="1"/>
    <xf numFmtId="173" fontId="32" fillId="0" borderId="86" xfId="0" applyNumberFormat="1" applyFont="1" applyBorder="1"/>
    <xf numFmtId="173" fontId="39" fillId="2" borderId="87" xfId="0" applyNumberFormat="1" applyFont="1" applyFill="1" applyBorder="1" applyAlignment="1"/>
    <xf numFmtId="173" fontId="32" fillId="0" borderId="109" xfId="0" applyNumberFormat="1" applyFont="1" applyBorder="1"/>
    <xf numFmtId="173" fontId="32" fillId="0" borderId="87" xfId="0" applyNumberFormat="1" applyFont="1" applyBorder="1"/>
    <xf numFmtId="9" fontId="32" fillId="0" borderId="85" xfId="0" applyNumberFormat="1" applyFont="1" applyBorder="1"/>
    <xf numFmtId="173" fontId="39" fillId="4" borderId="110" xfId="0" applyNumberFormat="1" applyFont="1" applyFill="1" applyBorder="1" applyAlignment="1">
      <alignment horizontal="center"/>
    </xf>
    <xf numFmtId="173" fontId="32" fillId="0" borderId="111" xfId="0" applyNumberFormat="1" applyFont="1" applyBorder="1" applyAlignment="1">
      <alignment horizontal="right"/>
    </xf>
    <xf numFmtId="175" fontId="32" fillId="0" borderId="111" xfId="0" applyNumberFormat="1" applyFont="1" applyBorder="1" applyAlignment="1">
      <alignment horizontal="right"/>
    </xf>
    <xf numFmtId="173" fontId="32" fillId="0" borderId="112" xfId="0" applyNumberFormat="1" applyFont="1" applyBorder="1" applyAlignment="1">
      <alignment horizontal="right"/>
    </xf>
    <xf numFmtId="0" fontId="0" fillId="0" borderId="14" xfId="0" applyBorder="1"/>
    <xf numFmtId="173" fontId="39" fillId="4" borderId="32" xfId="0" applyNumberFormat="1" applyFont="1" applyFill="1" applyBorder="1" applyAlignment="1">
      <alignment horizontal="center"/>
    </xf>
    <xf numFmtId="173" fontId="32" fillId="0" borderId="69" xfId="0" applyNumberFormat="1" applyFont="1" applyBorder="1" applyAlignment="1">
      <alignment horizontal="right"/>
    </xf>
    <xf numFmtId="175" fontId="32" fillId="0" borderId="69" xfId="0" applyNumberFormat="1" applyFont="1" applyBorder="1" applyAlignment="1">
      <alignment horizontal="right"/>
    </xf>
    <xf numFmtId="173" fontId="32" fillId="0" borderId="79" xfId="0" applyNumberFormat="1" applyFont="1" applyBorder="1" applyAlignment="1">
      <alignment horizontal="right"/>
    </xf>
    <xf numFmtId="0" fontId="32" fillId="2" borderId="51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0" fontId="31" fillId="2" borderId="15" xfId="26" applyNumberFormat="1" applyFont="1" applyFill="1" applyBorder="1" applyAlignment="1">
      <alignment horizontal="right"/>
    </xf>
    <xf numFmtId="0" fontId="32" fillId="0" borderId="18" xfId="0" applyFont="1" applyFill="1" applyBorder="1"/>
    <xf numFmtId="169" fontId="32" fillId="0" borderId="26" xfId="0" applyNumberFormat="1" applyFont="1" applyFill="1" applyBorder="1"/>
    <xf numFmtId="0" fontId="32" fillId="0" borderId="26" xfId="0" applyFont="1" applyFill="1" applyBorder="1"/>
    <xf numFmtId="0" fontId="39" fillId="0" borderId="18" xfId="0" applyFont="1" applyFill="1" applyBorder="1"/>
    <xf numFmtId="0" fontId="58" fillId="0" borderId="0" xfId="0" applyFont="1" applyFill="1"/>
    <xf numFmtId="0" fontId="59" fillId="0" borderId="0" xfId="0" applyFont="1" applyFill="1"/>
    <xf numFmtId="0" fontId="31" fillId="2" borderId="15" xfId="26" applyNumberFormat="1" applyFont="1" applyFill="1" applyBorder="1"/>
    <xf numFmtId="3" fontId="32" fillId="0" borderId="26" xfId="0" applyNumberFormat="1" applyFont="1" applyFill="1" applyBorder="1"/>
    <xf numFmtId="169" fontId="32" fillId="0" borderId="19" xfId="0" applyNumberFormat="1" applyFont="1" applyFill="1" applyBorder="1"/>
    <xf numFmtId="0" fontId="32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0" fillId="0" borderId="30" xfId="0" applyNumberFormat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3" fontId="31" fillId="2" borderId="14" xfId="0" applyNumberFormat="1" applyFont="1" applyFill="1" applyBorder="1" applyAlignment="1">
      <alignment horizontal="left"/>
    </xf>
    <xf numFmtId="3" fontId="31" fillId="2" borderId="15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  <xf numFmtId="3" fontId="32" fillId="0" borderId="19" xfId="0" applyNumberFormat="1" applyFont="1" applyFill="1" applyBorder="1"/>
    <xf numFmtId="0" fontId="32" fillId="0" borderId="23" xfId="0" applyFont="1" applyFill="1" applyBorder="1"/>
    <xf numFmtId="169" fontId="32" fillId="0" borderId="62" xfId="0" applyNumberFormat="1" applyFont="1" applyFill="1" applyBorder="1"/>
    <xf numFmtId="0" fontId="32" fillId="0" borderId="62" xfId="0" applyFont="1" applyFill="1" applyBorder="1"/>
    <xf numFmtId="9" fontId="32" fillId="0" borderId="62" xfId="0" applyNumberFormat="1" applyFont="1" applyFill="1" applyBorder="1"/>
    <xf numFmtId="9" fontId="32" fillId="0" borderId="63" xfId="0" applyNumberFormat="1" applyFont="1" applyFill="1" applyBorder="1"/>
    <xf numFmtId="0" fontId="32" fillId="0" borderId="71" xfId="0" applyFont="1" applyFill="1" applyBorder="1"/>
    <xf numFmtId="169" fontId="32" fillId="0" borderId="72" xfId="0" applyNumberFormat="1" applyFont="1" applyFill="1" applyBorder="1"/>
    <xf numFmtId="0" fontId="32" fillId="0" borderId="72" xfId="0" applyFont="1" applyFill="1" applyBorder="1"/>
    <xf numFmtId="9" fontId="32" fillId="0" borderId="72" xfId="0" applyNumberFormat="1" applyFont="1" applyFill="1" applyBorder="1"/>
    <xf numFmtId="9" fontId="32" fillId="0" borderId="73" xfId="0" applyNumberFormat="1" applyFont="1" applyFill="1" applyBorder="1"/>
    <xf numFmtId="0" fontId="32" fillId="0" borderId="64" xfId="0" applyFont="1" applyFill="1" applyBorder="1"/>
    <xf numFmtId="169" fontId="32" fillId="0" borderId="65" xfId="0" applyNumberFormat="1" applyFont="1" applyFill="1" applyBorder="1"/>
    <xf numFmtId="0" fontId="32" fillId="0" borderId="65" xfId="0" applyFont="1" applyFill="1" applyBorder="1"/>
    <xf numFmtId="9" fontId="32" fillId="0" borderId="65" xfId="0" applyNumberFormat="1" applyFont="1" applyFill="1" applyBorder="1"/>
    <xf numFmtId="9" fontId="32" fillId="0" borderId="66" xfId="0" applyNumberFormat="1" applyFont="1" applyFill="1" applyBorder="1"/>
    <xf numFmtId="0" fontId="39" fillId="0" borderId="23" xfId="0" applyFont="1" applyFill="1" applyBorder="1"/>
    <xf numFmtId="0" fontId="39" fillId="0" borderId="71" xfId="0" applyFont="1" applyFill="1" applyBorder="1"/>
    <xf numFmtId="0" fontId="39" fillId="0" borderId="64" xfId="0" applyFont="1" applyFill="1" applyBorder="1"/>
    <xf numFmtId="49" fontId="31" fillId="2" borderId="30" xfId="0" applyNumberFormat="1" applyFont="1" applyFill="1" applyBorder="1" applyAlignment="1">
      <alignment horizontal="center" vertical="top"/>
    </xf>
    <xf numFmtId="0" fontId="31" fillId="2" borderId="14" xfId="0" applyNumberFormat="1" applyFont="1" applyFill="1" applyBorder="1" applyAlignment="1">
      <alignment horizontal="left"/>
    </xf>
    <xf numFmtId="0" fontId="31" fillId="2" borderId="15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5" xfId="0" applyNumberFormat="1" applyFont="1" applyFill="1" applyBorder="1" applyAlignment="1">
      <alignment horizontal="center" vertical="top"/>
    </xf>
    <xf numFmtId="3" fontId="32" fillId="0" borderId="62" xfId="0" applyNumberFormat="1" applyFont="1" applyFill="1" applyBorder="1"/>
    <xf numFmtId="3" fontId="32" fillId="0" borderId="63" xfId="0" applyNumberFormat="1" applyFont="1" applyFill="1" applyBorder="1"/>
    <xf numFmtId="3" fontId="32" fillId="0" borderId="72" xfId="0" applyNumberFormat="1" applyFont="1" applyFill="1" applyBorder="1"/>
    <xf numFmtId="3" fontId="32" fillId="0" borderId="73" xfId="0" applyNumberFormat="1" applyFont="1" applyFill="1" applyBorder="1"/>
    <xf numFmtId="3" fontId="32" fillId="0" borderId="65" xfId="0" applyNumberFormat="1" applyFont="1" applyFill="1" applyBorder="1"/>
    <xf numFmtId="3" fontId="32" fillId="0" borderId="66" xfId="0" applyNumberFormat="1" applyFont="1" applyFill="1" applyBorder="1"/>
  </cellXfs>
  <cellStyles count="95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4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Manažerské tabulky" xfId="78"/>
    <cellStyle name="normální_Sestava hospodaření" xfId="79"/>
    <cellStyle name="Procenta 10" xfId="80"/>
    <cellStyle name="Procenta 11" xfId="81"/>
    <cellStyle name="Procenta 2" xfId="82"/>
    <cellStyle name="Procenta 2 2" xfId="83"/>
    <cellStyle name="Procenta 2 2 2" xfId="84"/>
    <cellStyle name="Procenta 2 3" xfId="85"/>
    <cellStyle name="Procenta 3" xfId="86"/>
    <cellStyle name="Procenta 3 2" xfId="87"/>
    <cellStyle name="Procenta 4" xfId="88"/>
    <cellStyle name="Procenta 5" xfId="89"/>
    <cellStyle name="Procenta 6" xfId="90"/>
    <cellStyle name="Procenta 7" xfId="91"/>
    <cellStyle name="Procenta 8" xfId="92"/>
    <cellStyle name="Procenta 9" xfId="93"/>
  </cellStyles>
  <dxfs count="17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1765536"/>
        <c:axId val="180177587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3.3016416970984837E-4</c:v>
                </c:pt>
                <c:pt idx="1">
                  <c:v>3.3016416970984837E-4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1766624"/>
        <c:axId val="1801776960"/>
      </c:scatterChart>
      <c:catAx>
        <c:axId val="1801765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0177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17758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801765536"/>
        <c:crosses val="autoZero"/>
        <c:crossBetween val="between"/>
      </c:valAx>
      <c:valAx>
        <c:axId val="180176662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801776960"/>
        <c:crosses val="max"/>
        <c:crossBetween val="midCat"/>
      </c:valAx>
      <c:valAx>
        <c:axId val="18017769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80176662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2" bestFit="1" customWidth="1"/>
    <col min="2" max="2" width="102.21875" style="102" bestFit="1" customWidth="1"/>
    <col min="3" max="3" width="16.109375" style="42" hidden="1" customWidth="1"/>
    <col min="4" max="16384" width="8.88671875" style="102"/>
  </cols>
  <sheetData>
    <row r="1" spans="1:3" ht="18.600000000000001" customHeight="1" thickBot="1" x14ac:dyDescent="0.4">
      <c r="A1" s="264" t="s">
        <v>84</v>
      </c>
      <c r="B1" s="264"/>
    </row>
    <row r="2" spans="1:3" ht="14.4" customHeight="1" thickBot="1" x14ac:dyDescent="0.35">
      <c r="A2" s="191" t="s">
        <v>216</v>
      </c>
      <c r="B2" s="41"/>
    </row>
    <row r="3" spans="1:3" ht="14.4" customHeight="1" thickBot="1" x14ac:dyDescent="0.35">
      <c r="A3" s="260" t="s">
        <v>101</v>
      </c>
      <c r="B3" s="261"/>
    </row>
    <row r="4" spans="1:3" ht="14.4" customHeight="1" x14ac:dyDescent="0.3">
      <c r="A4" s="114" t="str">
        <f t="shared" ref="A4:A8" si="0">HYPERLINK("#'"&amp;C4&amp;"'!A1",C4)</f>
        <v>Motivace</v>
      </c>
      <c r="B4" s="63" t="s">
        <v>91</v>
      </c>
      <c r="C4" s="42" t="s">
        <v>92</v>
      </c>
    </row>
    <row r="5" spans="1:3" ht="14.4" customHeight="1" x14ac:dyDescent="0.3">
      <c r="A5" s="115" t="str">
        <f t="shared" si="0"/>
        <v>HI</v>
      </c>
      <c r="B5" s="64" t="s">
        <v>100</v>
      </c>
      <c r="C5" s="42" t="s">
        <v>87</v>
      </c>
    </row>
    <row r="6" spans="1:3" ht="14.4" customHeight="1" x14ac:dyDescent="0.3">
      <c r="A6" s="116" t="str">
        <f t="shared" si="0"/>
        <v>HI Graf</v>
      </c>
      <c r="B6" s="65" t="s">
        <v>80</v>
      </c>
      <c r="C6" s="42" t="s">
        <v>88</v>
      </c>
    </row>
    <row r="7" spans="1:3" ht="14.4" customHeight="1" x14ac:dyDescent="0.3">
      <c r="A7" s="116" t="str">
        <f t="shared" si="0"/>
        <v>Man Tab</v>
      </c>
      <c r="B7" s="65" t="s">
        <v>218</v>
      </c>
      <c r="C7" s="42" t="s">
        <v>89</v>
      </c>
    </row>
    <row r="8" spans="1:3" ht="14.4" customHeight="1" thickBot="1" x14ac:dyDescent="0.35">
      <c r="A8" s="117" t="str">
        <f t="shared" si="0"/>
        <v>HV</v>
      </c>
      <c r="B8" s="66" t="s">
        <v>37</v>
      </c>
      <c r="C8" s="42" t="s">
        <v>42</v>
      </c>
    </row>
    <row r="9" spans="1:3" ht="14.4" customHeight="1" thickBot="1" x14ac:dyDescent="0.35">
      <c r="A9" s="67"/>
      <c r="B9" s="67"/>
    </row>
    <row r="10" spans="1:3" ht="14.4" customHeight="1" thickBot="1" x14ac:dyDescent="0.35">
      <c r="A10" s="262" t="s">
        <v>85</v>
      </c>
      <c r="B10" s="261"/>
    </row>
    <row r="11" spans="1:3" ht="14.4" customHeight="1" thickBot="1" x14ac:dyDescent="0.35">
      <c r="A11" s="118" t="str">
        <f t="shared" ref="A11" si="1">HYPERLINK("#'"&amp;C11&amp;"'!A1",C11)</f>
        <v>Osobní náklady</v>
      </c>
      <c r="B11" s="65" t="s">
        <v>82</v>
      </c>
      <c r="C11" s="42" t="s">
        <v>90</v>
      </c>
    </row>
    <row r="12" spans="1:3" ht="14.4" customHeight="1" thickBot="1" x14ac:dyDescent="0.35">
      <c r="A12" s="68"/>
      <c r="B12" s="68"/>
    </row>
    <row r="13" spans="1:3" ht="14.4" customHeight="1" thickBot="1" x14ac:dyDescent="0.35">
      <c r="A13" s="263" t="s">
        <v>86</v>
      </c>
      <c r="B13" s="261"/>
    </row>
    <row r="14" spans="1:3" ht="14.4" customHeight="1" x14ac:dyDescent="0.3">
      <c r="A14" s="119" t="str">
        <f t="shared" ref="A14:A18" si="2">HYPERLINK("#'"&amp;C14&amp;"'!A1",C14)</f>
        <v>ZV Vykáz.-A</v>
      </c>
      <c r="B14" s="64" t="s">
        <v>277</v>
      </c>
      <c r="C14" s="42" t="s">
        <v>93</v>
      </c>
    </row>
    <row r="15" spans="1:3" ht="14.4" customHeight="1" x14ac:dyDescent="0.3">
      <c r="A15" s="116" t="str">
        <f t="shared" ref="A15" si="3">HYPERLINK("#'"&amp;C15&amp;"'!A1",C15)</f>
        <v>ZV Vykáz.-A Lékaři</v>
      </c>
      <c r="B15" s="65" t="s">
        <v>283</v>
      </c>
      <c r="C15" s="42" t="s">
        <v>192</v>
      </c>
    </row>
    <row r="16" spans="1:3" ht="14.4" customHeight="1" x14ac:dyDescent="0.3">
      <c r="A16" s="116" t="str">
        <f t="shared" si="2"/>
        <v>ZV Vykáz.-A Detail</v>
      </c>
      <c r="B16" s="65" t="s">
        <v>288</v>
      </c>
      <c r="C16" s="42" t="s">
        <v>94</v>
      </c>
    </row>
    <row r="17" spans="1:3" ht="14.4" customHeight="1" x14ac:dyDescent="0.3">
      <c r="A17" s="116" t="str">
        <f t="shared" si="2"/>
        <v>ZV Vykáz.-H</v>
      </c>
      <c r="B17" s="65" t="s">
        <v>97</v>
      </c>
      <c r="C17" s="42" t="s">
        <v>95</v>
      </c>
    </row>
    <row r="18" spans="1:3" ht="14.4" customHeight="1" x14ac:dyDescent="0.3">
      <c r="A18" s="116" t="str">
        <f t="shared" si="2"/>
        <v>ZV Vykáz.-H Detail</v>
      </c>
      <c r="B18" s="65" t="s">
        <v>319</v>
      </c>
      <c r="C18" s="42" t="s">
        <v>96</v>
      </c>
    </row>
  </sheetData>
  <mergeCells count="4">
    <mergeCell ref="A3:B3"/>
    <mergeCell ref="A10:B10"/>
    <mergeCell ref="A13:B1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2" bestFit="1" customWidth="1"/>
    <col min="2" max="4" width="7.77734375" style="175" customWidth="1"/>
    <col min="5" max="7" width="7.77734375" style="78" customWidth="1"/>
    <col min="8" max="16384" width="8.88671875" style="102"/>
  </cols>
  <sheetData>
    <row r="1" spans="1:7" ht="18.600000000000001" customHeight="1" thickBot="1" x14ac:dyDescent="0.4">
      <c r="A1" s="292" t="s">
        <v>283</v>
      </c>
      <c r="B1" s="264"/>
      <c r="C1" s="264"/>
      <c r="D1" s="264"/>
      <c r="E1" s="264"/>
      <c r="F1" s="264"/>
      <c r="G1" s="264"/>
    </row>
    <row r="2" spans="1:7" ht="14.4" customHeight="1" thickBot="1" x14ac:dyDescent="0.35">
      <c r="A2" s="191" t="s">
        <v>216</v>
      </c>
      <c r="B2" s="83"/>
      <c r="C2" s="83"/>
      <c r="D2" s="83"/>
      <c r="E2" s="83"/>
      <c r="F2" s="83"/>
      <c r="G2" s="83"/>
    </row>
    <row r="3" spans="1:7" ht="14.4" customHeight="1" thickBot="1" x14ac:dyDescent="0.35">
      <c r="A3" s="177" t="s">
        <v>98</v>
      </c>
      <c r="B3" s="253">
        <f t="shared" ref="B3:G3" si="0">SUBTOTAL(9,B6:B1048576)</f>
        <v>1</v>
      </c>
      <c r="C3" s="254">
        <f t="shared" si="0"/>
        <v>1</v>
      </c>
      <c r="D3" s="254">
        <f t="shared" si="0"/>
        <v>0</v>
      </c>
      <c r="E3" s="181">
        <f t="shared" si="0"/>
        <v>327</v>
      </c>
      <c r="F3" s="179">
        <f t="shared" si="0"/>
        <v>327</v>
      </c>
      <c r="G3" s="255">
        <f t="shared" si="0"/>
        <v>0</v>
      </c>
    </row>
    <row r="4" spans="1:7" ht="14.4" customHeight="1" x14ac:dyDescent="0.3">
      <c r="A4" s="293" t="s">
        <v>99</v>
      </c>
      <c r="B4" s="294" t="s">
        <v>191</v>
      </c>
      <c r="C4" s="295"/>
      <c r="D4" s="295"/>
      <c r="E4" s="297" t="s">
        <v>75</v>
      </c>
      <c r="F4" s="298"/>
      <c r="G4" s="299"/>
    </row>
    <row r="5" spans="1:7" ht="14.4" customHeight="1" thickBot="1" x14ac:dyDescent="0.35">
      <c r="A5" s="370"/>
      <c r="B5" s="371">
        <v>2013</v>
      </c>
      <c r="C5" s="372">
        <v>2014</v>
      </c>
      <c r="D5" s="372">
        <v>2015</v>
      </c>
      <c r="E5" s="371">
        <v>2013</v>
      </c>
      <c r="F5" s="372">
        <v>2014</v>
      </c>
      <c r="G5" s="380">
        <v>2015</v>
      </c>
    </row>
    <row r="6" spans="1:7" ht="14.4" customHeight="1" thickBot="1" x14ac:dyDescent="0.35">
      <c r="A6" s="377" t="s">
        <v>282</v>
      </c>
      <c r="B6" s="381">
        <v>1</v>
      </c>
      <c r="C6" s="381">
        <v>1</v>
      </c>
      <c r="D6" s="381"/>
      <c r="E6" s="375">
        <v>327</v>
      </c>
      <c r="F6" s="375">
        <v>327</v>
      </c>
      <c r="G6" s="382"/>
    </row>
    <row r="7" spans="1:7" ht="14.4" customHeight="1" x14ac:dyDescent="0.3">
      <c r="A7" s="378" t="s">
        <v>279</v>
      </c>
    </row>
    <row r="8" spans="1:7" ht="14.4" customHeight="1" x14ac:dyDescent="0.3">
      <c r="A8" s="379" t="s">
        <v>280</v>
      </c>
    </row>
    <row r="9" spans="1:7" ht="14.4" customHeight="1" x14ac:dyDescent="0.3">
      <c r="A9" s="378" t="s">
        <v>281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6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2" bestFit="1" customWidth="1"/>
    <col min="2" max="2" width="6.109375" style="102" customWidth="1"/>
    <col min="3" max="3" width="2.109375" style="102" bestFit="1" customWidth="1"/>
    <col min="4" max="4" width="8" style="102" customWidth="1"/>
    <col min="5" max="5" width="50.88671875" style="102" bestFit="1" customWidth="1"/>
    <col min="6" max="7" width="11.109375" style="175" customWidth="1"/>
    <col min="8" max="9" width="9.33203125" style="102" hidden="1" customWidth="1"/>
    <col min="10" max="11" width="11.109375" style="175" customWidth="1"/>
    <col min="12" max="13" width="9.33203125" style="102" hidden="1" customWidth="1"/>
    <col min="14" max="15" width="11.109375" style="175" customWidth="1"/>
    <col min="16" max="16" width="11.109375" style="176" customWidth="1"/>
    <col min="17" max="17" width="11.109375" style="175" customWidth="1"/>
    <col min="18" max="16384" width="8.88671875" style="102"/>
  </cols>
  <sheetData>
    <row r="1" spans="1:17" ht="18.600000000000001" customHeight="1" thickBot="1" x14ac:dyDescent="0.4">
      <c r="A1" s="264" t="s">
        <v>288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</row>
    <row r="2" spans="1:17" ht="14.4" customHeight="1" thickBot="1" x14ac:dyDescent="0.35">
      <c r="A2" s="191" t="s">
        <v>216</v>
      </c>
      <c r="B2" s="259"/>
      <c r="C2" s="103"/>
      <c r="D2" s="252"/>
      <c r="E2" s="103"/>
      <c r="F2" s="185"/>
      <c r="G2" s="185"/>
      <c r="H2" s="103"/>
      <c r="I2" s="103"/>
      <c r="J2" s="185"/>
      <c r="K2" s="185"/>
      <c r="L2" s="103"/>
      <c r="M2" s="103"/>
      <c r="N2" s="185"/>
      <c r="O2" s="185"/>
      <c r="P2" s="186"/>
      <c r="Q2" s="185"/>
    </row>
    <row r="3" spans="1:17" ht="14.4" customHeight="1" thickBot="1" x14ac:dyDescent="0.35">
      <c r="E3" s="62" t="s">
        <v>98</v>
      </c>
      <c r="F3" s="74">
        <f t="shared" ref="F3:O3" si="0">SUBTOTAL(9,F6:F1048576)</f>
        <v>1</v>
      </c>
      <c r="G3" s="75">
        <f t="shared" si="0"/>
        <v>327</v>
      </c>
      <c r="H3" s="57"/>
      <c r="I3" s="57"/>
      <c r="J3" s="75">
        <f t="shared" si="0"/>
        <v>1</v>
      </c>
      <c r="K3" s="75">
        <f t="shared" si="0"/>
        <v>327</v>
      </c>
      <c r="L3" s="57"/>
      <c r="M3" s="57"/>
      <c r="N3" s="75">
        <f t="shared" si="0"/>
        <v>0</v>
      </c>
      <c r="O3" s="75">
        <f t="shared" si="0"/>
        <v>0</v>
      </c>
      <c r="P3" s="58">
        <f>IF(G3=0,0,O3/G3)</f>
        <v>0</v>
      </c>
      <c r="Q3" s="76">
        <f>IF(N3=0,0,O3/N3)</f>
        <v>0</v>
      </c>
    </row>
    <row r="4" spans="1:17" ht="14.4" customHeight="1" x14ac:dyDescent="0.3">
      <c r="A4" s="301" t="s">
        <v>71</v>
      </c>
      <c r="B4" s="308" t="s">
        <v>0</v>
      </c>
      <c r="C4" s="302" t="s">
        <v>72</v>
      </c>
      <c r="D4" s="307" t="s">
        <v>47</v>
      </c>
      <c r="E4" s="303" t="s">
        <v>46</v>
      </c>
      <c r="F4" s="304">
        <v>2013</v>
      </c>
      <c r="G4" s="305"/>
      <c r="H4" s="73"/>
      <c r="I4" s="73"/>
      <c r="J4" s="304">
        <v>2014</v>
      </c>
      <c r="K4" s="305"/>
      <c r="L4" s="73"/>
      <c r="M4" s="73"/>
      <c r="N4" s="304">
        <v>2015</v>
      </c>
      <c r="O4" s="305"/>
      <c r="P4" s="306" t="s">
        <v>1</v>
      </c>
      <c r="Q4" s="300" t="s">
        <v>74</v>
      </c>
    </row>
    <row r="5" spans="1:17" ht="14.4" customHeight="1" thickBot="1" x14ac:dyDescent="0.35">
      <c r="A5" s="383"/>
      <c r="B5" s="384"/>
      <c r="C5" s="385"/>
      <c r="D5" s="386"/>
      <c r="E5" s="387"/>
      <c r="F5" s="388" t="s">
        <v>48</v>
      </c>
      <c r="G5" s="389" t="s">
        <v>4</v>
      </c>
      <c r="H5" s="390"/>
      <c r="I5" s="390"/>
      <c r="J5" s="388" t="s">
        <v>48</v>
      </c>
      <c r="K5" s="389" t="s">
        <v>4</v>
      </c>
      <c r="L5" s="390"/>
      <c r="M5" s="390"/>
      <c r="N5" s="388" t="s">
        <v>48</v>
      </c>
      <c r="O5" s="389" t="s">
        <v>4</v>
      </c>
      <c r="P5" s="391"/>
      <c r="Q5" s="392"/>
    </row>
    <row r="6" spans="1:17" ht="14.4" customHeight="1" thickBot="1" x14ac:dyDescent="0.35">
      <c r="A6" s="374" t="s">
        <v>284</v>
      </c>
      <c r="B6" s="376" t="s">
        <v>278</v>
      </c>
      <c r="C6" s="376" t="s">
        <v>285</v>
      </c>
      <c r="D6" s="376" t="s">
        <v>286</v>
      </c>
      <c r="E6" s="376" t="s">
        <v>287</v>
      </c>
      <c r="F6" s="381">
        <v>1</v>
      </c>
      <c r="G6" s="381">
        <v>327</v>
      </c>
      <c r="H6" s="376">
        <v>1</v>
      </c>
      <c r="I6" s="376">
        <v>327</v>
      </c>
      <c r="J6" s="381">
        <v>1</v>
      </c>
      <c r="K6" s="381">
        <v>327</v>
      </c>
      <c r="L6" s="376">
        <v>1</v>
      </c>
      <c r="M6" s="376">
        <v>327</v>
      </c>
      <c r="N6" s="381"/>
      <c r="O6" s="381"/>
      <c r="P6" s="249"/>
      <c r="Q6" s="393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0.10937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76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76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76" customWidth="1"/>
    <col min="20" max="16384" width="8.88671875" style="102"/>
  </cols>
  <sheetData>
    <row r="1" spans="1:19" ht="18.600000000000001" customHeight="1" thickBot="1" x14ac:dyDescent="0.4">
      <c r="A1" s="273" t="s">
        <v>97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</row>
    <row r="2" spans="1:19" ht="14.4" customHeight="1" thickBot="1" x14ac:dyDescent="0.35">
      <c r="A2" s="191" t="s">
        <v>216</v>
      </c>
      <c r="B2" s="183"/>
      <c r="C2" s="83"/>
      <c r="D2" s="183"/>
      <c r="E2" s="83"/>
      <c r="F2" s="183"/>
      <c r="G2" s="184"/>
      <c r="H2" s="183"/>
      <c r="I2" s="83"/>
      <c r="J2" s="183"/>
      <c r="K2" s="83"/>
      <c r="L2" s="183"/>
      <c r="M2" s="184"/>
      <c r="N2" s="183"/>
      <c r="O2" s="83"/>
      <c r="P2" s="183"/>
      <c r="Q2" s="83"/>
      <c r="R2" s="183"/>
      <c r="S2" s="184"/>
    </row>
    <row r="3" spans="1:19" ht="14.4" customHeight="1" thickBot="1" x14ac:dyDescent="0.35">
      <c r="A3" s="177" t="s">
        <v>98</v>
      </c>
      <c r="B3" s="178">
        <f>SUBTOTAL(9,B6:B1048576)</f>
        <v>26156</v>
      </c>
      <c r="C3" s="179">
        <f t="shared" ref="C3:R3" si="0">SUBTOTAL(9,C6:C1048576)</f>
        <v>7</v>
      </c>
      <c r="D3" s="179">
        <f t="shared" si="0"/>
        <v>23684</v>
      </c>
      <c r="E3" s="179">
        <f t="shared" si="0"/>
        <v>12.507927945113249</v>
      </c>
      <c r="F3" s="179">
        <f t="shared" si="0"/>
        <v>26468</v>
      </c>
      <c r="G3" s="182">
        <f>IF(B3&lt;&gt;0,F3/B3,"")</f>
        <v>1.0119284294234592</v>
      </c>
      <c r="H3" s="178">
        <f t="shared" si="0"/>
        <v>0</v>
      </c>
      <c r="I3" s="179">
        <f t="shared" si="0"/>
        <v>0</v>
      </c>
      <c r="J3" s="179">
        <f t="shared" si="0"/>
        <v>0</v>
      </c>
      <c r="K3" s="179">
        <f t="shared" si="0"/>
        <v>0</v>
      </c>
      <c r="L3" s="179">
        <f t="shared" si="0"/>
        <v>0</v>
      </c>
      <c r="M3" s="180" t="str">
        <f>IF(H3&lt;&gt;0,L3/H3,"")</f>
        <v/>
      </c>
      <c r="N3" s="181">
        <f t="shared" si="0"/>
        <v>0</v>
      </c>
      <c r="O3" s="179">
        <f t="shared" si="0"/>
        <v>0</v>
      </c>
      <c r="P3" s="179">
        <f t="shared" si="0"/>
        <v>0</v>
      </c>
      <c r="Q3" s="179">
        <f t="shared" si="0"/>
        <v>0</v>
      </c>
      <c r="R3" s="179">
        <f t="shared" si="0"/>
        <v>0</v>
      </c>
      <c r="S3" s="180" t="str">
        <f>IF(N3&lt;&gt;0,R3/N3,"")</f>
        <v/>
      </c>
    </row>
    <row r="4" spans="1:19" ht="14.4" customHeight="1" x14ac:dyDescent="0.3">
      <c r="A4" s="293" t="s">
        <v>81</v>
      </c>
      <c r="B4" s="294" t="s">
        <v>75</v>
      </c>
      <c r="C4" s="295"/>
      <c r="D4" s="295"/>
      <c r="E4" s="295"/>
      <c r="F4" s="295"/>
      <c r="G4" s="296"/>
      <c r="H4" s="294" t="s">
        <v>76</v>
      </c>
      <c r="I4" s="295"/>
      <c r="J4" s="295"/>
      <c r="K4" s="295"/>
      <c r="L4" s="295"/>
      <c r="M4" s="296"/>
      <c r="N4" s="294" t="s">
        <v>77</v>
      </c>
      <c r="O4" s="295"/>
      <c r="P4" s="295"/>
      <c r="Q4" s="295"/>
      <c r="R4" s="295"/>
      <c r="S4" s="296"/>
    </row>
    <row r="5" spans="1:19" ht="14.4" customHeight="1" thickBot="1" x14ac:dyDescent="0.35">
      <c r="A5" s="370"/>
      <c r="B5" s="371">
        <v>2013</v>
      </c>
      <c r="C5" s="372"/>
      <c r="D5" s="372">
        <v>2014</v>
      </c>
      <c r="E5" s="372"/>
      <c r="F5" s="372">
        <v>2015</v>
      </c>
      <c r="G5" s="373" t="s">
        <v>1</v>
      </c>
      <c r="H5" s="371">
        <v>2013</v>
      </c>
      <c r="I5" s="372"/>
      <c r="J5" s="372">
        <v>2014</v>
      </c>
      <c r="K5" s="372"/>
      <c r="L5" s="372">
        <v>2015</v>
      </c>
      <c r="M5" s="373" t="s">
        <v>1</v>
      </c>
      <c r="N5" s="371">
        <v>2013</v>
      </c>
      <c r="O5" s="372"/>
      <c r="P5" s="372">
        <v>2014</v>
      </c>
      <c r="Q5" s="372"/>
      <c r="R5" s="372">
        <v>2015</v>
      </c>
      <c r="S5" s="373" t="s">
        <v>1</v>
      </c>
    </row>
    <row r="6" spans="1:19" ht="14.4" customHeight="1" x14ac:dyDescent="0.3">
      <c r="A6" s="409" t="s">
        <v>289</v>
      </c>
      <c r="B6" s="395">
        <v>2779</v>
      </c>
      <c r="C6" s="396">
        <v>1</v>
      </c>
      <c r="D6" s="395">
        <v>660</v>
      </c>
      <c r="E6" s="396">
        <v>0.23749550197912919</v>
      </c>
      <c r="F6" s="395">
        <v>2315</v>
      </c>
      <c r="G6" s="397">
        <v>0.83303346527527888</v>
      </c>
      <c r="H6" s="395"/>
      <c r="I6" s="396"/>
      <c r="J6" s="395"/>
      <c r="K6" s="396"/>
      <c r="L6" s="395"/>
      <c r="M6" s="397"/>
      <c r="N6" s="395"/>
      <c r="O6" s="396"/>
      <c r="P6" s="395"/>
      <c r="Q6" s="396"/>
      <c r="R6" s="395"/>
      <c r="S6" s="398"/>
    </row>
    <row r="7" spans="1:19" ht="14.4" customHeight="1" x14ac:dyDescent="0.3">
      <c r="A7" s="410" t="s">
        <v>290</v>
      </c>
      <c r="B7" s="400">
        <v>20925</v>
      </c>
      <c r="C7" s="401">
        <v>1</v>
      </c>
      <c r="D7" s="400">
        <v>13647</v>
      </c>
      <c r="E7" s="401">
        <v>0.65218637992831541</v>
      </c>
      <c r="F7" s="400">
        <v>4302</v>
      </c>
      <c r="G7" s="402">
        <v>0.20559139784946237</v>
      </c>
      <c r="H7" s="400"/>
      <c r="I7" s="401"/>
      <c r="J7" s="400"/>
      <c r="K7" s="401"/>
      <c r="L7" s="400"/>
      <c r="M7" s="402"/>
      <c r="N7" s="400"/>
      <c r="O7" s="401"/>
      <c r="P7" s="400"/>
      <c r="Q7" s="401"/>
      <c r="R7" s="400"/>
      <c r="S7" s="403"/>
    </row>
    <row r="8" spans="1:19" ht="14.4" customHeight="1" x14ac:dyDescent="0.3">
      <c r="A8" s="410" t="s">
        <v>291</v>
      </c>
      <c r="B8" s="400">
        <v>817</v>
      </c>
      <c r="C8" s="401">
        <v>1</v>
      </c>
      <c r="D8" s="400">
        <v>3131</v>
      </c>
      <c r="E8" s="401">
        <v>3.832313341493268</v>
      </c>
      <c r="F8" s="400">
        <v>12076</v>
      </c>
      <c r="G8" s="402">
        <v>14.780905752753977</v>
      </c>
      <c r="H8" s="400"/>
      <c r="I8" s="401"/>
      <c r="J8" s="400"/>
      <c r="K8" s="401"/>
      <c r="L8" s="400"/>
      <c r="M8" s="402"/>
      <c r="N8" s="400"/>
      <c r="O8" s="401"/>
      <c r="P8" s="400"/>
      <c r="Q8" s="401"/>
      <c r="R8" s="400"/>
      <c r="S8" s="403"/>
    </row>
    <row r="9" spans="1:19" ht="14.4" customHeight="1" x14ac:dyDescent="0.3">
      <c r="A9" s="410" t="s">
        <v>292</v>
      </c>
      <c r="B9" s="400"/>
      <c r="C9" s="401"/>
      <c r="D9" s="400"/>
      <c r="E9" s="401"/>
      <c r="F9" s="400">
        <v>496</v>
      </c>
      <c r="G9" s="402"/>
      <c r="H9" s="400"/>
      <c r="I9" s="401"/>
      <c r="J9" s="400"/>
      <c r="K9" s="401"/>
      <c r="L9" s="400"/>
      <c r="M9" s="402"/>
      <c r="N9" s="400"/>
      <c r="O9" s="401"/>
      <c r="P9" s="400"/>
      <c r="Q9" s="401"/>
      <c r="R9" s="400"/>
      <c r="S9" s="403"/>
    </row>
    <row r="10" spans="1:19" ht="14.4" customHeight="1" x14ac:dyDescent="0.3">
      <c r="A10" s="410" t="s">
        <v>293</v>
      </c>
      <c r="B10" s="400">
        <v>327</v>
      </c>
      <c r="C10" s="401">
        <v>1</v>
      </c>
      <c r="D10" s="400">
        <v>660</v>
      </c>
      <c r="E10" s="401">
        <v>2.0183486238532109</v>
      </c>
      <c r="F10" s="400">
        <v>2481</v>
      </c>
      <c r="G10" s="402">
        <v>7.5871559633027523</v>
      </c>
      <c r="H10" s="400"/>
      <c r="I10" s="401"/>
      <c r="J10" s="400"/>
      <c r="K10" s="401"/>
      <c r="L10" s="400"/>
      <c r="M10" s="402"/>
      <c r="N10" s="400"/>
      <c r="O10" s="401"/>
      <c r="P10" s="400"/>
      <c r="Q10" s="401"/>
      <c r="R10" s="400"/>
      <c r="S10" s="403"/>
    </row>
    <row r="11" spans="1:19" ht="14.4" customHeight="1" x14ac:dyDescent="0.3">
      <c r="A11" s="410" t="s">
        <v>294</v>
      </c>
      <c r="B11" s="400">
        <v>327</v>
      </c>
      <c r="C11" s="401">
        <v>1</v>
      </c>
      <c r="D11" s="400">
        <v>490</v>
      </c>
      <c r="E11" s="401">
        <v>1.4984709480122325</v>
      </c>
      <c r="F11" s="400">
        <v>1489</v>
      </c>
      <c r="G11" s="402">
        <v>4.5535168195718656</v>
      </c>
      <c r="H11" s="400"/>
      <c r="I11" s="401"/>
      <c r="J11" s="400"/>
      <c r="K11" s="401"/>
      <c r="L11" s="400"/>
      <c r="M11" s="402"/>
      <c r="N11" s="400"/>
      <c r="O11" s="401"/>
      <c r="P11" s="400"/>
      <c r="Q11" s="401"/>
      <c r="R11" s="400"/>
      <c r="S11" s="403"/>
    </row>
    <row r="12" spans="1:19" ht="14.4" customHeight="1" x14ac:dyDescent="0.3">
      <c r="A12" s="410" t="s">
        <v>295</v>
      </c>
      <c r="B12" s="400"/>
      <c r="C12" s="401"/>
      <c r="D12" s="400">
        <v>990</v>
      </c>
      <c r="E12" s="401"/>
      <c r="F12" s="400">
        <v>662</v>
      </c>
      <c r="G12" s="402"/>
      <c r="H12" s="400"/>
      <c r="I12" s="401"/>
      <c r="J12" s="400"/>
      <c r="K12" s="401"/>
      <c r="L12" s="400"/>
      <c r="M12" s="402"/>
      <c r="N12" s="400"/>
      <c r="O12" s="401"/>
      <c r="P12" s="400"/>
      <c r="Q12" s="401"/>
      <c r="R12" s="400"/>
      <c r="S12" s="403"/>
    </row>
    <row r="13" spans="1:19" ht="14.4" customHeight="1" x14ac:dyDescent="0.3">
      <c r="A13" s="410" t="s">
        <v>296</v>
      </c>
      <c r="B13" s="400"/>
      <c r="C13" s="401"/>
      <c r="D13" s="400"/>
      <c r="E13" s="401"/>
      <c r="F13" s="400">
        <v>331</v>
      </c>
      <c r="G13" s="402"/>
      <c r="H13" s="400"/>
      <c r="I13" s="401"/>
      <c r="J13" s="400"/>
      <c r="K13" s="401"/>
      <c r="L13" s="400"/>
      <c r="M13" s="402"/>
      <c r="N13" s="400"/>
      <c r="O13" s="401"/>
      <c r="P13" s="400"/>
      <c r="Q13" s="401"/>
      <c r="R13" s="400"/>
      <c r="S13" s="403"/>
    </row>
    <row r="14" spans="1:19" ht="14.4" customHeight="1" x14ac:dyDescent="0.3">
      <c r="A14" s="410" t="s">
        <v>297</v>
      </c>
      <c r="B14" s="400"/>
      <c r="C14" s="401"/>
      <c r="D14" s="400"/>
      <c r="E14" s="401"/>
      <c r="F14" s="400">
        <v>331</v>
      </c>
      <c r="G14" s="402"/>
      <c r="H14" s="400"/>
      <c r="I14" s="401"/>
      <c r="J14" s="400"/>
      <c r="K14" s="401"/>
      <c r="L14" s="400"/>
      <c r="M14" s="402"/>
      <c r="N14" s="400"/>
      <c r="O14" s="401"/>
      <c r="P14" s="400"/>
      <c r="Q14" s="401"/>
      <c r="R14" s="400"/>
      <c r="S14" s="403"/>
    </row>
    <row r="15" spans="1:19" ht="14.4" customHeight="1" x14ac:dyDescent="0.3">
      <c r="A15" s="410" t="s">
        <v>298</v>
      </c>
      <c r="B15" s="400"/>
      <c r="C15" s="401"/>
      <c r="D15" s="400">
        <v>657</v>
      </c>
      <c r="E15" s="401"/>
      <c r="F15" s="400"/>
      <c r="G15" s="402"/>
      <c r="H15" s="400"/>
      <c r="I15" s="401"/>
      <c r="J15" s="400"/>
      <c r="K15" s="401"/>
      <c r="L15" s="400"/>
      <c r="M15" s="402"/>
      <c r="N15" s="400"/>
      <c r="O15" s="401"/>
      <c r="P15" s="400"/>
      <c r="Q15" s="401"/>
      <c r="R15" s="400"/>
      <c r="S15" s="403"/>
    </row>
    <row r="16" spans="1:19" ht="14.4" customHeight="1" x14ac:dyDescent="0.3">
      <c r="A16" s="410" t="s">
        <v>299</v>
      </c>
      <c r="B16" s="400">
        <v>654</v>
      </c>
      <c r="C16" s="401">
        <v>1</v>
      </c>
      <c r="D16" s="400">
        <v>2792</v>
      </c>
      <c r="E16" s="401">
        <v>4.2691131498470947</v>
      </c>
      <c r="F16" s="400">
        <v>1820</v>
      </c>
      <c r="G16" s="402">
        <v>2.782874617737003</v>
      </c>
      <c r="H16" s="400"/>
      <c r="I16" s="401"/>
      <c r="J16" s="400"/>
      <c r="K16" s="401"/>
      <c r="L16" s="400"/>
      <c r="M16" s="402"/>
      <c r="N16" s="400"/>
      <c r="O16" s="401"/>
      <c r="P16" s="400"/>
      <c r="Q16" s="401"/>
      <c r="R16" s="400"/>
      <c r="S16" s="403"/>
    </row>
    <row r="17" spans="1:19" ht="14.4" customHeight="1" x14ac:dyDescent="0.3">
      <c r="A17" s="410" t="s">
        <v>300</v>
      </c>
      <c r="B17" s="400"/>
      <c r="C17" s="401"/>
      <c r="D17" s="400">
        <v>330</v>
      </c>
      <c r="E17" s="401"/>
      <c r="F17" s="400"/>
      <c r="G17" s="402"/>
      <c r="H17" s="400"/>
      <c r="I17" s="401"/>
      <c r="J17" s="400"/>
      <c r="K17" s="401"/>
      <c r="L17" s="400"/>
      <c r="M17" s="402"/>
      <c r="N17" s="400"/>
      <c r="O17" s="401"/>
      <c r="P17" s="400"/>
      <c r="Q17" s="401"/>
      <c r="R17" s="400"/>
      <c r="S17" s="403"/>
    </row>
    <row r="18" spans="1:19" ht="14.4" customHeight="1" x14ac:dyDescent="0.3">
      <c r="A18" s="410" t="s">
        <v>301</v>
      </c>
      <c r="B18" s="400">
        <v>327</v>
      </c>
      <c r="C18" s="401">
        <v>1</v>
      </c>
      <c r="D18" s="400"/>
      <c r="E18" s="401"/>
      <c r="F18" s="400"/>
      <c r="G18" s="402"/>
      <c r="H18" s="400"/>
      <c r="I18" s="401"/>
      <c r="J18" s="400"/>
      <c r="K18" s="401"/>
      <c r="L18" s="400"/>
      <c r="M18" s="402"/>
      <c r="N18" s="400"/>
      <c r="O18" s="401"/>
      <c r="P18" s="400"/>
      <c r="Q18" s="401"/>
      <c r="R18" s="400"/>
      <c r="S18" s="403"/>
    </row>
    <row r="19" spans="1:19" ht="14.4" customHeight="1" thickBot="1" x14ac:dyDescent="0.35">
      <c r="A19" s="411" t="s">
        <v>302</v>
      </c>
      <c r="B19" s="405"/>
      <c r="C19" s="406"/>
      <c r="D19" s="405">
        <v>327</v>
      </c>
      <c r="E19" s="406"/>
      <c r="F19" s="405">
        <v>165</v>
      </c>
      <c r="G19" s="407"/>
      <c r="H19" s="405"/>
      <c r="I19" s="406"/>
      <c r="J19" s="405"/>
      <c r="K19" s="406"/>
      <c r="L19" s="405"/>
      <c r="M19" s="407"/>
      <c r="N19" s="405"/>
      <c r="O19" s="406"/>
      <c r="P19" s="405"/>
      <c r="Q19" s="406"/>
      <c r="R19" s="405"/>
      <c r="S19" s="40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2" bestFit="1" customWidth="1"/>
    <col min="2" max="2" width="8.6640625" style="102" bestFit="1" customWidth="1"/>
    <col min="3" max="3" width="2.109375" style="102" bestFit="1" customWidth="1"/>
    <col min="4" max="4" width="8" style="102" bestFit="1" customWidth="1"/>
    <col min="5" max="5" width="52.88671875" style="102" bestFit="1" customWidth="1"/>
    <col min="6" max="7" width="11.109375" style="175" customWidth="1"/>
    <col min="8" max="9" width="9.33203125" style="175" hidden="1" customWidth="1"/>
    <col min="10" max="11" width="11.109375" style="175" customWidth="1"/>
    <col min="12" max="13" width="9.33203125" style="175" hidden="1" customWidth="1"/>
    <col min="14" max="15" width="11.109375" style="175" customWidth="1"/>
    <col min="16" max="16" width="11.109375" style="176" customWidth="1"/>
    <col min="17" max="17" width="11.109375" style="175" customWidth="1"/>
    <col min="18" max="16384" width="8.88671875" style="102"/>
  </cols>
  <sheetData>
    <row r="1" spans="1:17" ht="18.600000000000001" customHeight="1" thickBot="1" x14ac:dyDescent="0.4">
      <c r="A1" s="264" t="s">
        <v>319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</row>
    <row r="2" spans="1:17" ht="14.4" customHeight="1" thickBot="1" x14ac:dyDescent="0.35">
      <c r="A2" s="191" t="s">
        <v>216</v>
      </c>
      <c r="B2" s="103"/>
      <c r="C2" s="103"/>
      <c r="D2" s="103"/>
      <c r="E2" s="103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6"/>
      <c r="Q2" s="185"/>
    </row>
    <row r="3" spans="1:17" ht="14.4" customHeight="1" thickBot="1" x14ac:dyDescent="0.35">
      <c r="E3" s="62" t="s">
        <v>98</v>
      </c>
      <c r="F3" s="74">
        <f t="shared" ref="F3:O3" si="0">SUBTOTAL(9,F6:F1048576)</f>
        <v>84</v>
      </c>
      <c r="G3" s="75">
        <f t="shared" si="0"/>
        <v>26156</v>
      </c>
      <c r="H3" s="75"/>
      <c r="I3" s="75"/>
      <c r="J3" s="75">
        <f t="shared" si="0"/>
        <v>78</v>
      </c>
      <c r="K3" s="75">
        <f t="shared" si="0"/>
        <v>23684</v>
      </c>
      <c r="L3" s="75"/>
      <c r="M3" s="75"/>
      <c r="N3" s="75">
        <f t="shared" si="0"/>
        <v>92</v>
      </c>
      <c r="O3" s="75">
        <f t="shared" si="0"/>
        <v>26468</v>
      </c>
      <c r="P3" s="58">
        <f>IF(G3=0,0,O3/G3)</f>
        <v>1.0119284294234592</v>
      </c>
      <c r="Q3" s="76">
        <f>IF(N3=0,0,O3/N3)</f>
        <v>287.69565217391306</v>
      </c>
    </row>
    <row r="4" spans="1:17" ht="14.4" customHeight="1" x14ac:dyDescent="0.3">
      <c r="A4" s="302" t="s">
        <v>45</v>
      </c>
      <c r="B4" s="301" t="s">
        <v>71</v>
      </c>
      <c r="C4" s="302" t="s">
        <v>72</v>
      </c>
      <c r="D4" s="311" t="s">
        <v>73</v>
      </c>
      <c r="E4" s="303" t="s">
        <v>46</v>
      </c>
      <c r="F4" s="309">
        <v>2013</v>
      </c>
      <c r="G4" s="310"/>
      <c r="H4" s="77"/>
      <c r="I4" s="77"/>
      <c r="J4" s="309">
        <v>2014</v>
      </c>
      <c r="K4" s="310"/>
      <c r="L4" s="77"/>
      <c r="M4" s="77"/>
      <c r="N4" s="309">
        <v>2015</v>
      </c>
      <c r="O4" s="310"/>
      <c r="P4" s="312" t="s">
        <v>1</v>
      </c>
      <c r="Q4" s="300" t="s">
        <v>74</v>
      </c>
    </row>
    <row r="5" spans="1:17" ht="14.4" customHeight="1" thickBot="1" x14ac:dyDescent="0.35">
      <c r="A5" s="385"/>
      <c r="B5" s="383"/>
      <c r="C5" s="385"/>
      <c r="D5" s="412"/>
      <c r="E5" s="387"/>
      <c r="F5" s="413" t="s">
        <v>48</v>
      </c>
      <c r="G5" s="414" t="s">
        <v>4</v>
      </c>
      <c r="H5" s="415"/>
      <c r="I5" s="415"/>
      <c r="J5" s="413" t="s">
        <v>48</v>
      </c>
      <c r="K5" s="414" t="s">
        <v>4</v>
      </c>
      <c r="L5" s="415"/>
      <c r="M5" s="415"/>
      <c r="N5" s="413" t="s">
        <v>48</v>
      </c>
      <c r="O5" s="414" t="s">
        <v>4</v>
      </c>
      <c r="P5" s="416"/>
      <c r="Q5" s="392"/>
    </row>
    <row r="6" spans="1:17" ht="14.4" customHeight="1" x14ac:dyDescent="0.3">
      <c r="A6" s="394" t="s">
        <v>303</v>
      </c>
      <c r="B6" s="396" t="s">
        <v>284</v>
      </c>
      <c r="C6" s="396" t="s">
        <v>285</v>
      </c>
      <c r="D6" s="396" t="s">
        <v>286</v>
      </c>
      <c r="E6" s="396" t="s">
        <v>287</v>
      </c>
      <c r="F6" s="417">
        <v>8</v>
      </c>
      <c r="G6" s="417">
        <v>2616</v>
      </c>
      <c r="H6" s="417">
        <v>1</v>
      </c>
      <c r="I6" s="417">
        <v>327</v>
      </c>
      <c r="J6" s="417">
        <v>2</v>
      </c>
      <c r="K6" s="417">
        <v>660</v>
      </c>
      <c r="L6" s="417">
        <v>0.25229357798165136</v>
      </c>
      <c r="M6" s="417">
        <v>330</v>
      </c>
      <c r="N6" s="417">
        <v>5</v>
      </c>
      <c r="O6" s="417">
        <v>1655</v>
      </c>
      <c r="P6" s="397">
        <v>0.63264525993883791</v>
      </c>
      <c r="Q6" s="418">
        <v>331</v>
      </c>
    </row>
    <row r="7" spans="1:17" ht="14.4" customHeight="1" x14ac:dyDescent="0.3">
      <c r="A7" s="399" t="s">
        <v>303</v>
      </c>
      <c r="B7" s="401" t="s">
        <v>284</v>
      </c>
      <c r="C7" s="401" t="s">
        <v>285</v>
      </c>
      <c r="D7" s="401" t="s">
        <v>304</v>
      </c>
      <c r="E7" s="401" t="s">
        <v>305</v>
      </c>
      <c r="F7" s="419">
        <v>1</v>
      </c>
      <c r="G7" s="419">
        <v>163</v>
      </c>
      <c r="H7" s="419">
        <v>1</v>
      </c>
      <c r="I7" s="419">
        <v>163</v>
      </c>
      <c r="J7" s="419"/>
      <c r="K7" s="419"/>
      <c r="L7" s="419"/>
      <c r="M7" s="419"/>
      <c r="N7" s="419">
        <v>4</v>
      </c>
      <c r="O7" s="419">
        <v>660</v>
      </c>
      <c r="P7" s="402">
        <v>4.0490797546012267</v>
      </c>
      <c r="Q7" s="420">
        <v>165</v>
      </c>
    </row>
    <row r="8" spans="1:17" ht="14.4" customHeight="1" x14ac:dyDescent="0.3">
      <c r="A8" s="399" t="s">
        <v>306</v>
      </c>
      <c r="B8" s="401" t="s">
        <v>284</v>
      </c>
      <c r="C8" s="401" t="s">
        <v>285</v>
      </c>
      <c r="D8" s="401" t="s">
        <v>286</v>
      </c>
      <c r="E8" s="401" t="s">
        <v>287</v>
      </c>
      <c r="F8" s="419">
        <v>61</v>
      </c>
      <c r="G8" s="419">
        <v>19947</v>
      </c>
      <c r="H8" s="419">
        <v>1</v>
      </c>
      <c r="I8" s="419">
        <v>327</v>
      </c>
      <c r="J8" s="419">
        <v>37</v>
      </c>
      <c r="K8" s="419">
        <v>12174</v>
      </c>
      <c r="L8" s="419">
        <v>0.61031734095352685</v>
      </c>
      <c r="M8" s="419">
        <v>329.02702702702703</v>
      </c>
      <c r="N8" s="419">
        <v>12</v>
      </c>
      <c r="O8" s="419">
        <v>3972</v>
      </c>
      <c r="P8" s="402">
        <v>0.19912768837419162</v>
      </c>
      <c r="Q8" s="420">
        <v>331</v>
      </c>
    </row>
    <row r="9" spans="1:17" ht="14.4" customHeight="1" x14ac:dyDescent="0.3">
      <c r="A9" s="399" t="s">
        <v>306</v>
      </c>
      <c r="B9" s="401" t="s">
        <v>284</v>
      </c>
      <c r="C9" s="401" t="s">
        <v>285</v>
      </c>
      <c r="D9" s="401" t="s">
        <v>304</v>
      </c>
      <c r="E9" s="401" t="s">
        <v>305</v>
      </c>
      <c r="F9" s="419">
        <v>6</v>
      </c>
      <c r="G9" s="419">
        <v>978</v>
      </c>
      <c r="H9" s="419">
        <v>1</v>
      </c>
      <c r="I9" s="419">
        <v>163</v>
      </c>
      <c r="J9" s="419">
        <v>9</v>
      </c>
      <c r="K9" s="419">
        <v>1473</v>
      </c>
      <c r="L9" s="419">
        <v>1.5061349693251533</v>
      </c>
      <c r="M9" s="419">
        <v>163.66666666666666</v>
      </c>
      <c r="N9" s="419">
        <v>2</v>
      </c>
      <c r="O9" s="419">
        <v>330</v>
      </c>
      <c r="P9" s="402">
        <v>0.33742331288343558</v>
      </c>
      <c r="Q9" s="420">
        <v>165</v>
      </c>
    </row>
    <row r="10" spans="1:17" ht="14.4" customHeight="1" x14ac:dyDescent="0.3">
      <c r="A10" s="399" t="s">
        <v>307</v>
      </c>
      <c r="B10" s="401" t="s">
        <v>284</v>
      </c>
      <c r="C10" s="401" t="s">
        <v>285</v>
      </c>
      <c r="D10" s="401" t="s">
        <v>286</v>
      </c>
      <c r="E10" s="401" t="s">
        <v>287</v>
      </c>
      <c r="F10" s="419">
        <v>2</v>
      </c>
      <c r="G10" s="419">
        <v>654</v>
      </c>
      <c r="H10" s="419">
        <v>1</v>
      </c>
      <c r="I10" s="419">
        <v>327</v>
      </c>
      <c r="J10" s="419">
        <v>9</v>
      </c>
      <c r="K10" s="419">
        <v>2967</v>
      </c>
      <c r="L10" s="419">
        <v>4.5366972477064218</v>
      </c>
      <c r="M10" s="419">
        <v>329.66666666666669</v>
      </c>
      <c r="N10" s="419">
        <v>31</v>
      </c>
      <c r="O10" s="419">
        <v>10261</v>
      </c>
      <c r="P10" s="402">
        <v>15.68960244648318</v>
      </c>
      <c r="Q10" s="420">
        <v>331</v>
      </c>
    </row>
    <row r="11" spans="1:17" ht="14.4" customHeight="1" x14ac:dyDescent="0.3">
      <c r="A11" s="399" t="s">
        <v>307</v>
      </c>
      <c r="B11" s="401" t="s">
        <v>284</v>
      </c>
      <c r="C11" s="401" t="s">
        <v>285</v>
      </c>
      <c r="D11" s="401" t="s">
        <v>304</v>
      </c>
      <c r="E11" s="401" t="s">
        <v>305</v>
      </c>
      <c r="F11" s="419">
        <v>1</v>
      </c>
      <c r="G11" s="419">
        <v>163</v>
      </c>
      <c r="H11" s="419">
        <v>1</v>
      </c>
      <c r="I11" s="419">
        <v>163</v>
      </c>
      <c r="J11" s="419">
        <v>1</v>
      </c>
      <c r="K11" s="419">
        <v>164</v>
      </c>
      <c r="L11" s="419">
        <v>1.0061349693251533</v>
      </c>
      <c r="M11" s="419">
        <v>164</v>
      </c>
      <c r="N11" s="419">
        <v>11</v>
      </c>
      <c r="O11" s="419">
        <v>1815</v>
      </c>
      <c r="P11" s="402">
        <v>11.134969325153374</v>
      </c>
      <c r="Q11" s="420">
        <v>165</v>
      </c>
    </row>
    <row r="12" spans="1:17" ht="14.4" customHeight="1" x14ac:dyDescent="0.3">
      <c r="A12" s="399" t="s">
        <v>308</v>
      </c>
      <c r="B12" s="401" t="s">
        <v>284</v>
      </c>
      <c r="C12" s="401" t="s">
        <v>285</v>
      </c>
      <c r="D12" s="401" t="s">
        <v>286</v>
      </c>
      <c r="E12" s="401" t="s">
        <v>287</v>
      </c>
      <c r="F12" s="419"/>
      <c r="G12" s="419"/>
      <c r="H12" s="419"/>
      <c r="I12" s="419"/>
      <c r="J12" s="419"/>
      <c r="K12" s="419"/>
      <c r="L12" s="419"/>
      <c r="M12" s="419"/>
      <c r="N12" s="419">
        <v>1</v>
      </c>
      <c r="O12" s="419">
        <v>331</v>
      </c>
      <c r="P12" s="402"/>
      <c r="Q12" s="420">
        <v>331</v>
      </c>
    </row>
    <row r="13" spans="1:17" ht="14.4" customHeight="1" x14ac:dyDescent="0.3">
      <c r="A13" s="399" t="s">
        <v>308</v>
      </c>
      <c r="B13" s="401" t="s">
        <v>284</v>
      </c>
      <c r="C13" s="401" t="s">
        <v>285</v>
      </c>
      <c r="D13" s="401" t="s">
        <v>304</v>
      </c>
      <c r="E13" s="401" t="s">
        <v>305</v>
      </c>
      <c r="F13" s="419"/>
      <c r="G13" s="419"/>
      <c r="H13" s="419"/>
      <c r="I13" s="419"/>
      <c r="J13" s="419"/>
      <c r="K13" s="419"/>
      <c r="L13" s="419"/>
      <c r="M13" s="419"/>
      <c r="N13" s="419">
        <v>1</v>
      </c>
      <c r="O13" s="419">
        <v>165</v>
      </c>
      <c r="P13" s="402"/>
      <c r="Q13" s="420">
        <v>165</v>
      </c>
    </row>
    <row r="14" spans="1:17" ht="14.4" customHeight="1" x14ac:dyDescent="0.3">
      <c r="A14" s="399" t="s">
        <v>309</v>
      </c>
      <c r="B14" s="401" t="s">
        <v>284</v>
      </c>
      <c r="C14" s="401" t="s">
        <v>285</v>
      </c>
      <c r="D14" s="401" t="s">
        <v>286</v>
      </c>
      <c r="E14" s="401" t="s">
        <v>287</v>
      </c>
      <c r="F14" s="419">
        <v>1</v>
      </c>
      <c r="G14" s="419">
        <v>327</v>
      </c>
      <c r="H14" s="419">
        <v>1</v>
      </c>
      <c r="I14" s="419">
        <v>327</v>
      </c>
      <c r="J14" s="419">
        <v>2</v>
      </c>
      <c r="K14" s="419">
        <v>660</v>
      </c>
      <c r="L14" s="419">
        <v>2.0183486238532109</v>
      </c>
      <c r="M14" s="419">
        <v>330</v>
      </c>
      <c r="N14" s="419">
        <v>6</v>
      </c>
      <c r="O14" s="419">
        <v>1986</v>
      </c>
      <c r="P14" s="402">
        <v>6.0733944954128436</v>
      </c>
      <c r="Q14" s="420">
        <v>331</v>
      </c>
    </row>
    <row r="15" spans="1:17" ht="14.4" customHeight="1" x14ac:dyDescent="0.3">
      <c r="A15" s="399" t="s">
        <v>309</v>
      </c>
      <c r="B15" s="401" t="s">
        <v>284</v>
      </c>
      <c r="C15" s="401" t="s">
        <v>285</v>
      </c>
      <c r="D15" s="401" t="s">
        <v>304</v>
      </c>
      <c r="E15" s="401" t="s">
        <v>305</v>
      </c>
      <c r="F15" s="419"/>
      <c r="G15" s="419"/>
      <c r="H15" s="419"/>
      <c r="I15" s="419"/>
      <c r="J15" s="419"/>
      <c r="K15" s="419"/>
      <c r="L15" s="419"/>
      <c r="M15" s="419"/>
      <c r="N15" s="419">
        <v>3</v>
      </c>
      <c r="O15" s="419">
        <v>495</v>
      </c>
      <c r="P15" s="402"/>
      <c r="Q15" s="420">
        <v>165</v>
      </c>
    </row>
    <row r="16" spans="1:17" ht="14.4" customHeight="1" x14ac:dyDescent="0.3">
      <c r="A16" s="399" t="s">
        <v>310</v>
      </c>
      <c r="B16" s="401" t="s">
        <v>284</v>
      </c>
      <c r="C16" s="401" t="s">
        <v>285</v>
      </c>
      <c r="D16" s="401" t="s">
        <v>286</v>
      </c>
      <c r="E16" s="401" t="s">
        <v>287</v>
      </c>
      <c r="F16" s="419">
        <v>1</v>
      </c>
      <c r="G16" s="419">
        <v>327</v>
      </c>
      <c r="H16" s="419">
        <v>1</v>
      </c>
      <c r="I16" s="419">
        <v>327</v>
      </c>
      <c r="J16" s="419">
        <v>1</v>
      </c>
      <c r="K16" s="419">
        <v>327</v>
      </c>
      <c r="L16" s="419">
        <v>1</v>
      </c>
      <c r="M16" s="419">
        <v>327</v>
      </c>
      <c r="N16" s="419">
        <v>4</v>
      </c>
      <c r="O16" s="419">
        <v>1324</v>
      </c>
      <c r="P16" s="402">
        <v>4.048929663608563</v>
      </c>
      <c r="Q16" s="420">
        <v>331</v>
      </c>
    </row>
    <row r="17" spans="1:17" ht="14.4" customHeight="1" x14ac:dyDescent="0.3">
      <c r="A17" s="399" t="s">
        <v>310</v>
      </c>
      <c r="B17" s="401" t="s">
        <v>284</v>
      </c>
      <c r="C17" s="401" t="s">
        <v>285</v>
      </c>
      <c r="D17" s="401" t="s">
        <v>304</v>
      </c>
      <c r="E17" s="401" t="s">
        <v>305</v>
      </c>
      <c r="F17" s="419"/>
      <c r="G17" s="419"/>
      <c r="H17" s="419"/>
      <c r="I17" s="419"/>
      <c r="J17" s="419">
        <v>1</v>
      </c>
      <c r="K17" s="419">
        <v>163</v>
      </c>
      <c r="L17" s="419"/>
      <c r="M17" s="419">
        <v>163</v>
      </c>
      <c r="N17" s="419">
        <v>1</v>
      </c>
      <c r="O17" s="419">
        <v>165</v>
      </c>
      <c r="P17" s="402"/>
      <c r="Q17" s="420">
        <v>165</v>
      </c>
    </row>
    <row r="18" spans="1:17" ht="14.4" customHeight="1" x14ac:dyDescent="0.3">
      <c r="A18" s="399" t="s">
        <v>311</v>
      </c>
      <c r="B18" s="401" t="s">
        <v>284</v>
      </c>
      <c r="C18" s="401" t="s">
        <v>285</v>
      </c>
      <c r="D18" s="401" t="s">
        <v>286</v>
      </c>
      <c r="E18" s="401" t="s">
        <v>287</v>
      </c>
      <c r="F18" s="419"/>
      <c r="G18" s="419"/>
      <c r="H18" s="419"/>
      <c r="I18" s="419"/>
      <c r="J18" s="419">
        <v>3</v>
      </c>
      <c r="K18" s="419">
        <v>990</v>
      </c>
      <c r="L18" s="419"/>
      <c r="M18" s="419">
        <v>330</v>
      </c>
      <c r="N18" s="419">
        <v>2</v>
      </c>
      <c r="O18" s="419">
        <v>662</v>
      </c>
      <c r="P18" s="402"/>
      <c r="Q18" s="420">
        <v>331</v>
      </c>
    </row>
    <row r="19" spans="1:17" ht="14.4" customHeight="1" x14ac:dyDescent="0.3">
      <c r="A19" s="399" t="s">
        <v>312</v>
      </c>
      <c r="B19" s="401" t="s">
        <v>284</v>
      </c>
      <c r="C19" s="401" t="s">
        <v>285</v>
      </c>
      <c r="D19" s="401" t="s">
        <v>286</v>
      </c>
      <c r="E19" s="401" t="s">
        <v>287</v>
      </c>
      <c r="F19" s="419"/>
      <c r="G19" s="419"/>
      <c r="H19" s="419"/>
      <c r="I19" s="419"/>
      <c r="J19" s="419"/>
      <c r="K19" s="419"/>
      <c r="L19" s="419"/>
      <c r="M19" s="419"/>
      <c r="N19" s="419">
        <v>1</v>
      </c>
      <c r="O19" s="419">
        <v>331</v>
      </c>
      <c r="P19" s="402"/>
      <c r="Q19" s="420">
        <v>331</v>
      </c>
    </row>
    <row r="20" spans="1:17" ht="14.4" customHeight="1" x14ac:dyDescent="0.3">
      <c r="A20" s="399" t="s">
        <v>313</v>
      </c>
      <c r="B20" s="401" t="s">
        <v>284</v>
      </c>
      <c r="C20" s="401" t="s">
        <v>285</v>
      </c>
      <c r="D20" s="401" t="s">
        <v>286</v>
      </c>
      <c r="E20" s="401" t="s">
        <v>287</v>
      </c>
      <c r="F20" s="419"/>
      <c r="G20" s="419"/>
      <c r="H20" s="419"/>
      <c r="I20" s="419"/>
      <c r="J20" s="419"/>
      <c r="K20" s="419"/>
      <c r="L20" s="419"/>
      <c r="M20" s="419"/>
      <c r="N20" s="419">
        <v>1</v>
      </c>
      <c r="O20" s="419">
        <v>331</v>
      </c>
      <c r="P20" s="402"/>
      <c r="Q20" s="420">
        <v>331</v>
      </c>
    </row>
    <row r="21" spans="1:17" ht="14.4" customHeight="1" x14ac:dyDescent="0.3">
      <c r="A21" s="399" t="s">
        <v>314</v>
      </c>
      <c r="B21" s="401" t="s">
        <v>284</v>
      </c>
      <c r="C21" s="401" t="s">
        <v>285</v>
      </c>
      <c r="D21" s="401" t="s">
        <v>286</v>
      </c>
      <c r="E21" s="401" t="s">
        <v>287</v>
      </c>
      <c r="F21" s="419"/>
      <c r="G21" s="419"/>
      <c r="H21" s="419"/>
      <c r="I21" s="419"/>
      <c r="J21" s="419">
        <v>2</v>
      </c>
      <c r="K21" s="419">
        <v>657</v>
      </c>
      <c r="L21" s="419"/>
      <c r="M21" s="419">
        <v>328.5</v>
      </c>
      <c r="N21" s="419"/>
      <c r="O21" s="419"/>
      <c r="P21" s="402"/>
      <c r="Q21" s="420"/>
    </row>
    <row r="22" spans="1:17" ht="14.4" customHeight="1" x14ac:dyDescent="0.3">
      <c r="A22" s="399" t="s">
        <v>315</v>
      </c>
      <c r="B22" s="401" t="s">
        <v>284</v>
      </c>
      <c r="C22" s="401" t="s">
        <v>285</v>
      </c>
      <c r="D22" s="401" t="s">
        <v>286</v>
      </c>
      <c r="E22" s="401" t="s">
        <v>287</v>
      </c>
      <c r="F22" s="419">
        <v>2</v>
      </c>
      <c r="G22" s="419">
        <v>654</v>
      </c>
      <c r="H22" s="419">
        <v>1</v>
      </c>
      <c r="I22" s="419">
        <v>327</v>
      </c>
      <c r="J22" s="419">
        <v>8</v>
      </c>
      <c r="K22" s="419">
        <v>2628</v>
      </c>
      <c r="L22" s="419">
        <v>4.0183486238532113</v>
      </c>
      <c r="M22" s="419">
        <v>328.5</v>
      </c>
      <c r="N22" s="419">
        <v>5</v>
      </c>
      <c r="O22" s="419">
        <v>1655</v>
      </c>
      <c r="P22" s="402">
        <v>2.5305810397553516</v>
      </c>
      <c r="Q22" s="420">
        <v>331</v>
      </c>
    </row>
    <row r="23" spans="1:17" ht="14.4" customHeight="1" x14ac:dyDescent="0.3">
      <c r="A23" s="399" t="s">
        <v>315</v>
      </c>
      <c r="B23" s="401" t="s">
        <v>284</v>
      </c>
      <c r="C23" s="401" t="s">
        <v>285</v>
      </c>
      <c r="D23" s="401" t="s">
        <v>304</v>
      </c>
      <c r="E23" s="401" t="s">
        <v>305</v>
      </c>
      <c r="F23" s="419"/>
      <c r="G23" s="419"/>
      <c r="H23" s="419"/>
      <c r="I23" s="419"/>
      <c r="J23" s="419">
        <v>1</v>
      </c>
      <c r="K23" s="419">
        <v>164</v>
      </c>
      <c r="L23" s="419"/>
      <c r="M23" s="419">
        <v>164</v>
      </c>
      <c r="N23" s="419">
        <v>1</v>
      </c>
      <c r="O23" s="419">
        <v>165</v>
      </c>
      <c r="P23" s="402"/>
      <c r="Q23" s="420">
        <v>165</v>
      </c>
    </row>
    <row r="24" spans="1:17" ht="14.4" customHeight="1" x14ac:dyDescent="0.3">
      <c r="A24" s="399" t="s">
        <v>316</v>
      </c>
      <c r="B24" s="401" t="s">
        <v>284</v>
      </c>
      <c r="C24" s="401" t="s">
        <v>285</v>
      </c>
      <c r="D24" s="401" t="s">
        <v>286</v>
      </c>
      <c r="E24" s="401" t="s">
        <v>287</v>
      </c>
      <c r="F24" s="419"/>
      <c r="G24" s="419"/>
      <c r="H24" s="419"/>
      <c r="I24" s="419"/>
      <c r="J24" s="419">
        <v>1</v>
      </c>
      <c r="K24" s="419">
        <v>330</v>
      </c>
      <c r="L24" s="419"/>
      <c r="M24" s="419">
        <v>330</v>
      </c>
      <c r="N24" s="419"/>
      <c r="O24" s="419"/>
      <c r="P24" s="402"/>
      <c r="Q24" s="420"/>
    </row>
    <row r="25" spans="1:17" ht="14.4" customHeight="1" x14ac:dyDescent="0.3">
      <c r="A25" s="399" t="s">
        <v>317</v>
      </c>
      <c r="B25" s="401" t="s">
        <v>284</v>
      </c>
      <c r="C25" s="401" t="s">
        <v>285</v>
      </c>
      <c r="D25" s="401" t="s">
        <v>286</v>
      </c>
      <c r="E25" s="401" t="s">
        <v>287</v>
      </c>
      <c r="F25" s="419">
        <v>1</v>
      </c>
      <c r="G25" s="419">
        <v>327</v>
      </c>
      <c r="H25" s="419">
        <v>1</v>
      </c>
      <c r="I25" s="419">
        <v>327</v>
      </c>
      <c r="J25" s="419"/>
      <c r="K25" s="419"/>
      <c r="L25" s="419"/>
      <c r="M25" s="419"/>
      <c r="N25" s="419"/>
      <c r="O25" s="419"/>
      <c r="P25" s="402"/>
      <c r="Q25" s="420"/>
    </row>
    <row r="26" spans="1:17" ht="14.4" customHeight="1" x14ac:dyDescent="0.3">
      <c r="A26" s="399" t="s">
        <v>318</v>
      </c>
      <c r="B26" s="401" t="s">
        <v>284</v>
      </c>
      <c r="C26" s="401" t="s">
        <v>285</v>
      </c>
      <c r="D26" s="401" t="s">
        <v>286</v>
      </c>
      <c r="E26" s="401" t="s">
        <v>287</v>
      </c>
      <c r="F26" s="419"/>
      <c r="G26" s="419"/>
      <c r="H26" s="419"/>
      <c r="I26" s="419"/>
      <c r="J26" s="419">
        <v>1</v>
      </c>
      <c r="K26" s="419">
        <v>327</v>
      </c>
      <c r="L26" s="419"/>
      <c r="M26" s="419">
        <v>327</v>
      </c>
      <c r="N26" s="419"/>
      <c r="O26" s="419"/>
      <c r="P26" s="402"/>
      <c r="Q26" s="420"/>
    </row>
    <row r="27" spans="1:17" ht="14.4" customHeight="1" thickBot="1" x14ac:dyDescent="0.35">
      <c r="A27" s="404" t="s">
        <v>318</v>
      </c>
      <c r="B27" s="406" t="s">
        <v>284</v>
      </c>
      <c r="C27" s="406" t="s">
        <v>285</v>
      </c>
      <c r="D27" s="406" t="s">
        <v>304</v>
      </c>
      <c r="E27" s="406" t="s">
        <v>305</v>
      </c>
      <c r="F27" s="421"/>
      <c r="G27" s="421"/>
      <c r="H27" s="421"/>
      <c r="I27" s="421"/>
      <c r="J27" s="421"/>
      <c r="K27" s="421"/>
      <c r="L27" s="421"/>
      <c r="M27" s="421"/>
      <c r="N27" s="421">
        <v>1</v>
      </c>
      <c r="O27" s="421">
        <v>165</v>
      </c>
      <c r="P27" s="407"/>
      <c r="Q27" s="422">
        <v>165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0" bestFit="1" customWidth="1"/>
    <col min="2" max="2" width="11.6640625" style="120" hidden="1" customWidth="1"/>
    <col min="3" max="4" width="11" style="122" customWidth="1"/>
    <col min="5" max="5" width="11" style="123" customWidth="1"/>
    <col min="6" max="16384" width="8.88671875" style="120"/>
  </cols>
  <sheetData>
    <row r="1" spans="1:5" ht="18.600000000000001" thickBot="1" x14ac:dyDescent="0.4">
      <c r="A1" s="264" t="s">
        <v>91</v>
      </c>
      <c r="B1" s="264"/>
      <c r="C1" s="265"/>
      <c r="D1" s="265"/>
      <c r="E1" s="265"/>
    </row>
    <row r="2" spans="1:5" ht="14.4" customHeight="1" thickBot="1" x14ac:dyDescent="0.35">
      <c r="A2" s="191" t="s">
        <v>216</v>
      </c>
      <c r="B2" s="121"/>
    </row>
    <row r="3" spans="1:5" ht="14.4" customHeight="1" thickBot="1" x14ac:dyDescent="0.35">
      <c r="A3" s="124"/>
      <c r="C3" s="125" t="s">
        <v>83</v>
      </c>
      <c r="D3" s="126" t="s">
        <v>49</v>
      </c>
      <c r="E3" s="127" t="s">
        <v>51</v>
      </c>
    </row>
    <row r="4" spans="1:5" ht="14.4" customHeight="1" thickBot="1" x14ac:dyDescent="0.35">
      <c r="A4" s="128" t="str">
        <f>HYPERLINK("#HI!A1","NÁKLADY CELKEM (v tisících Kč)")</f>
        <v>NÁKLADY CELKEM (v tisících Kč)</v>
      </c>
      <c r="B4" s="129"/>
      <c r="C4" s="130">
        <f ca="1">IF(ISERROR(VLOOKUP("Náklady celkem",INDIRECT("HI!$A:$G"),6,0)),0,VLOOKUP("Náklady celkem",INDIRECT("HI!$A:$G"),6,0))</f>
        <v>990.41637463983727</v>
      </c>
      <c r="D4" s="130">
        <f ca="1">IF(ISERROR(VLOOKUP("Náklady celkem",INDIRECT("HI!$A:$G"),5,0)),0,VLOOKUP("Náklady celkem",INDIRECT("HI!$A:$G"),5,0))</f>
        <v>950.04148999999995</v>
      </c>
      <c r="E4" s="131">
        <f ca="1">IF(C4=0,0,D4/C4)</f>
        <v>0.95923443344268255</v>
      </c>
    </row>
    <row r="5" spans="1:5" ht="14.4" customHeight="1" x14ac:dyDescent="0.3">
      <c r="A5" s="132" t="s">
        <v>103</v>
      </c>
      <c r="B5" s="133"/>
      <c r="C5" s="134"/>
      <c r="D5" s="134"/>
      <c r="E5" s="135"/>
    </row>
    <row r="6" spans="1:5" ht="14.4" customHeight="1" x14ac:dyDescent="0.3">
      <c r="A6" s="136" t="s">
        <v>108</v>
      </c>
      <c r="B6" s="137"/>
      <c r="C6" s="138"/>
      <c r="D6" s="138"/>
      <c r="E6" s="135"/>
    </row>
    <row r="7" spans="1:5" ht="14.4" customHeight="1" x14ac:dyDescent="0.3">
      <c r="A7" s="25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7" t="s">
        <v>87</v>
      </c>
      <c r="C7" s="138">
        <f>IF(ISERROR(HI!F5),"",HI!F5)</f>
        <v>0</v>
      </c>
      <c r="D7" s="138">
        <f>IF(ISERROR(HI!E5),"",HI!E5)</f>
        <v>0</v>
      </c>
      <c r="E7" s="135">
        <f t="shared" ref="E7:E11" si="0">IF(C7=0,0,D7/C7)</f>
        <v>0</v>
      </c>
    </row>
    <row r="8" spans="1:5" ht="14.4" customHeight="1" x14ac:dyDescent="0.3">
      <c r="A8" s="140" t="s">
        <v>104</v>
      </c>
      <c r="B8" s="137"/>
      <c r="C8" s="138"/>
      <c r="D8" s="138"/>
      <c r="E8" s="135"/>
    </row>
    <row r="9" spans="1:5" ht="14.4" customHeight="1" x14ac:dyDescent="0.3">
      <c r="A9" s="140" t="s">
        <v>105</v>
      </c>
      <c r="B9" s="137"/>
      <c r="C9" s="138"/>
      <c r="D9" s="138"/>
      <c r="E9" s="135"/>
    </row>
    <row r="10" spans="1:5" ht="14.4" customHeight="1" x14ac:dyDescent="0.3">
      <c r="A10" s="141" t="s">
        <v>109</v>
      </c>
      <c r="B10" s="137"/>
      <c r="C10" s="134"/>
      <c r="D10" s="134"/>
      <c r="E10" s="135"/>
    </row>
    <row r="11" spans="1:5" ht="14.4" customHeight="1" x14ac:dyDescent="0.3">
      <c r="A11" s="14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7" t="s">
        <v>87</v>
      </c>
      <c r="C11" s="138">
        <f>IF(ISERROR(HI!F6),"",HI!F6)</f>
        <v>0</v>
      </c>
      <c r="D11" s="138">
        <f>IF(ISERROR(HI!E6),"",HI!E6)</f>
        <v>0</v>
      </c>
      <c r="E11" s="135">
        <f t="shared" si="0"/>
        <v>0</v>
      </c>
    </row>
    <row r="12" spans="1:5" ht="14.4" customHeight="1" thickBot="1" x14ac:dyDescent="0.35">
      <c r="A12" s="143" t="str">
        <f>HYPERLINK("#HI!A1","Osobní náklady")</f>
        <v>Osobní náklady</v>
      </c>
      <c r="B12" s="137"/>
      <c r="C12" s="134">
        <f ca="1">IF(ISERROR(VLOOKUP("Osobní náklady (Kč) *",INDIRECT("HI!$A:$G"),6,0)),0,VLOOKUP("Osobní náklady (Kč) *",INDIRECT("HI!$A:$G"),6,0))</f>
        <v>987.90038659617744</v>
      </c>
      <c r="D12" s="134">
        <f ca="1">IF(ISERROR(VLOOKUP("Osobní náklady (Kč) *",INDIRECT("HI!$A:$G"),5,0)),0,VLOOKUP("Osobní náklady (Kč) *",INDIRECT("HI!$A:$G"),5,0))</f>
        <v>948.10451999999998</v>
      </c>
      <c r="E12" s="135">
        <f ca="1">IF(C12=0,0,D12/C12)</f>
        <v>0.95971672130497432</v>
      </c>
    </row>
    <row r="13" spans="1:5" ht="14.4" customHeight="1" thickBot="1" x14ac:dyDescent="0.35">
      <c r="A13" s="147"/>
      <c r="B13" s="148"/>
      <c r="C13" s="149"/>
      <c r="D13" s="149"/>
      <c r="E13" s="150"/>
    </row>
    <row r="14" spans="1:5" ht="14.4" customHeight="1" thickBot="1" x14ac:dyDescent="0.35">
      <c r="A14" s="151" t="str">
        <f>HYPERLINK("#HI!A1","VÝNOSY CELKEM (v tisících)")</f>
        <v>VÝNOSY CELKEM (v tisících)</v>
      </c>
      <c r="B14" s="152"/>
      <c r="C14" s="153">
        <f ca="1">IF(ISERROR(VLOOKUP("Výnosy celkem",INDIRECT("HI!$A:$G"),6,0)),0,VLOOKUP("Výnosy celkem",INDIRECT("HI!$A:$G"),6,0))</f>
        <v>0.32700000000000001</v>
      </c>
      <c r="D14" s="153">
        <f ca="1">IF(ISERROR(VLOOKUP("Výnosy celkem",INDIRECT("HI!$A:$G"),5,0)),0,VLOOKUP("Výnosy celkem",INDIRECT("HI!$A:$G"),5,0))</f>
        <v>0</v>
      </c>
      <c r="E14" s="154">
        <f t="shared" ref="E14:E17" ca="1" si="1">IF(C14=0,0,D14/C14)</f>
        <v>0</v>
      </c>
    </row>
    <row r="15" spans="1:5" ht="14.4" customHeight="1" x14ac:dyDescent="0.3">
      <c r="A15" s="155" t="str">
        <f>HYPERLINK("#HI!A1","Ambulance (body za výkony + Kč za ZUM a ZULP)")</f>
        <v>Ambulance (body za výkony + Kč za ZUM a ZULP)</v>
      </c>
      <c r="B15" s="133"/>
      <c r="C15" s="134">
        <f ca="1">IF(ISERROR(VLOOKUP("Ambulance *",INDIRECT("HI!$A:$G"),6,0)),0,VLOOKUP("Ambulance *",INDIRECT("HI!$A:$G"),6,0))</f>
        <v>0.32700000000000001</v>
      </c>
      <c r="D15" s="134">
        <f ca="1">IF(ISERROR(VLOOKUP("Ambulance *",INDIRECT("HI!$A:$G"),5,0)),0,VLOOKUP("Ambulance *",INDIRECT("HI!$A:$G"),5,0))</f>
        <v>0</v>
      </c>
      <c r="E15" s="135">
        <f t="shared" ca="1" si="1"/>
        <v>0</v>
      </c>
    </row>
    <row r="16" spans="1:5" ht="14.4" customHeight="1" x14ac:dyDescent="0.3">
      <c r="A16" s="156" t="str">
        <f>HYPERLINK("#'ZV Vykáz.-A'!A1","Zdravotní výkony vykázané u ambulantních pacientů (min. 100 %)")</f>
        <v>Zdravotní výkony vykázané u ambulantních pacientů (min. 100 %)</v>
      </c>
      <c r="B16" s="120" t="s">
        <v>93</v>
      </c>
      <c r="C16" s="139">
        <v>1</v>
      </c>
      <c r="D16" s="139">
        <f>IF(ISERROR(VLOOKUP("Celkem:",'ZV Vykáz.-A'!$A:$S,7,0)),"",VLOOKUP("Celkem:",'ZV Vykáz.-A'!$A:$S,7,0))</f>
        <v>0</v>
      </c>
      <c r="E16" s="135">
        <f t="shared" si="1"/>
        <v>0</v>
      </c>
    </row>
    <row r="17" spans="1:5" ht="14.4" customHeight="1" x14ac:dyDescent="0.3">
      <c r="A17" s="156" t="str">
        <f>HYPERLINK("#'ZV Vykáz.-H'!A1","Zdravotní výkony vykázané u hospitalizovaných pacientů (max. 85 %)")</f>
        <v>Zdravotní výkony vykázané u hospitalizovaných pacientů (max. 85 %)</v>
      </c>
      <c r="B17" s="120" t="s">
        <v>95</v>
      </c>
      <c r="C17" s="139">
        <v>0.85</v>
      </c>
      <c r="D17" s="139">
        <f>IF(ISERROR(VLOOKUP("Celkem:",'ZV Vykáz.-H'!$A:$S,7,0)),"",VLOOKUP("Celkem:",'ZV Vykáz.-H'!$A:$S,7,0))</f>
        <v>1.0119284294234592</v>
      </c>
      <c r="E17" s="135">
        <f t="shared" si="1"/>
        <v>1.1905040346158344</v>
      </c>
    </row>
    <row r="18" spans="1:5" ht="14.4" customHeight="1" x14ac:dyDescent="0.3">
      <c r="A18" s="157" t="str">
        <f>HYPERLINK("#HI!A1","Hospitalizace (casemix * 30000)")</f>
        <v>Hospitalizace (casemix * 30000)</v>
      </c>
      <c r="B18" s="137"/>
      <c r="C18" s="134">
        <f ca="1">IF(ISERROR(VLOOKUP("Hospitalizace *",INDIRECT("HI!$A:$G"),6,0)),0,VLOOKUP("Hospitalizace *",INDIRECT("HI!$A:$G"),6,0))</f>
        <v>0</v>
      </c>
      <c r="D18" s="134">
        <f ca="1">IF(ISERROR(VLOOKUP("Hospitalizace *",INDIRECT("HI!$A:$G"),5,0)),0,VLOOKUP("Hospitalizace *",INDIRECT("HI!$A:$G"),5,0))</f>
        <v>0</v>
      </c>
      <c r="E18" s="135">
        <f ca="1">IF(C18=0,0,D18/C18)</f>
        <v>0</v>
      </c>
    </row>
    <row r="19" spans="1:5" ht="14.4" customHeight="1" thickBot="1" x14ac:dyDescent="0.35">
      <c r="A19" s="158" t="s">
        <v>106</v>
      </c>
      <c r="B19" s="144"/>
      <c r="C19" s="145"/>
      <c r="D19" s="145"/>
      <c r="E19" s="146"/>
    </row>
    <row r="20" spans="1:5" ht="14.4" customHeight="1" thickBot="1" x14ac:dyDescent="0.35">
      <c r="A20" s="159"/>
      <c r="B20" s="160"/>
      <c r="C20" s="161"/>
      <c r="D20" s="161"/>
      <c r="E20" s="162"/>
    </row>
    <row r="21" spans="1:5" ht="14.4" customHeight="1" thickBot="1" x14ac:dyDescent="0.35">
      <c r="A21" s="163" t="s">
        <v>107</v>
      </c>
      <c r="B21" s="164"/>
      <c r="C21" s="165"/>
      <c r="D21" s="165"/>
      <c r="E21" s="166"/>
    </row>
  </sheetData>
  <mergeCells count="1">
    <mergeCell ref="A1:E1"/>
  </mergeCells>
  <conditionalFormatting sqref="E5">
    <cfRule type="cellIs" dxfId="1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15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1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13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8">
    <cfRule type="cellIs" dxfId="12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11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 E16">
    <cfRule type="cellIs" dxfId="10" priority="20" operator="lessThan">
      <formula>1</formula>
    </cfRule>
  </conditionalFormatting>
  <conditionalFormatting sqref="E14 E16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1 E17">
    <cfRule type="cellIs" dxfId="9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2" bestFit="1" customWidth="1"/>
    <col min="2" max="3" width="9.5546875" style="102" customWidth="1"/>
    <col min="4" max="4" width="2.21875" style="102" customWidth="1"/>
    <col min="5" max="8" width="9.5546875" style="102" customWidth="1"/>
    <col min="9" max="16384" width="8.88671875" style="102"/>
  </cols>
  <sheetData>
    <row r="1" spans="1:8" ht="18.600000000000001" customHeight="1" thickBot="1" x14ac:dyDescent="0.4">
      <c r="A1" s="264" t="s">
        <v>100</v>
      </c>
      <c r="B1" s="264"/>
      <c r="C1" s="264"/>
      <c r="D1" s="264"/>
      <c r="E1" s="264"/>
      <c r="F1" s="264"/>
      <c r="G1" s="265"/>
      <c r="H1" s="265"/>
    </row>
    <row r="2" spans="1:8" ht="14.4" customHeight="1" thickBot="1" x14ac:dyDescent="0.35">
      <c r="A2" s="191" t="s">
        <v>216</v>
      </c>
      <c r="B2" s="83"/>
      <c r="C2" s="83"/>
      <c r="D2" s="83"/>
      <c r="E2" s="83"/>
      <c r="F2" s="83"/>
    </row>
    <row r="3" spans="1:8" ht="14.4" customHeight="1" x14ac:dyDescent="0.3">
      <c r="A3" s="266"/>
      <c r="B3" s="79">
        <v>2013</v>
      </c>
      <c r="C3" s="40">
        <v>2014</v>
      </c>
      <c r="D3" s="7"/>
      <c r="E3" s="270">
        <v>2015</v>
      </c>
      <c r="F3" s="271"/>
      <c r="G3" s="271"/>
      <c r="H3" s="272"/>
    </row>
    <row r="4" spans="1:8" ht="14.4" customHeight="1" thickBot="1" x14ac:dyDescent="0.35">
      <c r="A4" s="267"/>
      <c r="B4" s="268" t="s">
        <v>49</v>
      </c>
      <c r="C4" s="269"/>
      <c r="D4" s="7"/>
      <c r="E4" s="100" t="s">
        <v>49</v>
      </c>
      <c r="F4" s="81" t="s">
        <v>50</v>
      </c>
      <c r="G4" s="81" t="s">
        <v>44</v>
      </c>
      <c r="H4" s="82" t="s">
        <v>51</v>
      </c>
    </row>
    <row r="5" spans="1:8" ht="14.4" customHeight="1" x14ac:dyDescent="0.3">
      <c r="A5" s="84" t="str">
        <f>HYPERLINK("#'Léky Žádanky'!A1","Léky (Kč)")</f>
        <v>Léky (Kč)</v>
      </c>
      <c r="B5" s="27">
        <v>0</v>
      </c>
      <c r="C5" s="29">
        <v>0</v>
      </c>
      <c r="D5" s="8"/>
      <c r="E5" s="89">
        <v>0</v>
      </c>
      <c r="F5" s="28">
        <v>0</v>
      </c>
      <c r="G5" s="88">
        <f>E5-F5</f>
        <v>0</v>
      </c>
      <c r="H5" s="94" t="str">
        <f>IF(F5&lt;0.00000001,"",E5/F5)</f>
        <v/>
      </c>
    </row>
    <row r="6" spans="1:8" ht="14.4" customHeight="1" x14ac:dyDescent="0.3">
      <c r="A6" s="84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8" ht="14.4" customHeight="1" x14ac:dyDescent="0.3">
      <c r="A7" s="84" t="str">
        <f>HYPERLINK("#'Osobní náklady'!A1","Osobní náklady (Kč) *")</f>
        <v>Osobní náklady (Kč) *</v>
      </c>
      <c r="B7" s="10">
        <v>910.33854999999994</v>
      </c>
      <c r="C7" s="31">
        <v>920.23994000000096</v>
      </c>
      <c r="D7" s="8"/>
      <c r="E7" s="90">
        <v>948.10451999999998</v>
      </c>
      <c r="F7" s="30">
        <v>987.90038659617744</v>
      </c>
      <c r="G7" s="91">
        <f>E7-F7</f>
        <v>-39.795866596177461</v>
      </c>
      <c r="H7" s="95">
        <f>IF(F7&lt;0.00000001,"",E7/F7)</f>
        <v>0.95971672130497432</v>
      </c>
    </row>
    <row r="8" spans="1:8" ht="14.4" customHeight="1" thickBot="1" x14ac:dyDescent="0.35">
      <c r="A8" s="1" t="s">
        <v>52</v>
      </c>
      <c r="B8" s="11">
        <v>6.3969300000001112</v>
      </c>
      <c r="C8" s="33">
        <v>4.6452699999999822</v>
      </c>
      <c r="D8" s="8"/>
      <c r="E8" s="92">
        <v>1.9369699999999739</v>
      </c>
      <c r="F8" s="32">
        <v>2.5159880436598314</v>
      </c>
      <c r="G8" s="93">
        <f>E8-F8</f>
        <v>-0.57901804365985754</v>
      </c>
      <c r="H8" s="96">
        <f>IF(F8&lt;0.00000001,"",E8/F8)</f>
        <v>0.76986454879268795</v>
      </c>
    </row>
    <row r="9" spans="1:8" ht="14.4" customHeight="1" thickBot="1" x14ac:dyDescent="0.35">
      <c r="A9" s="2" t="s">
        <v>53</v>
      </c>
      <c r="B9" s="3">
        <v>916.73548000000005</v>
      </c>
      <c r="C9" s="35">
        <v>924.88521000000094</v>
      </c>
      <c r="D9" s="8"/>
      <c r="E9" s="3">
        <v>950.04148999999995</v>
      </c>
      <c r="F9" s="34">
        <v>990.41637463983727</v>
      </c>
      <c r="G9" s="34">
        <f>E9-F9</f>
        <v>-40.374884639837319</v>
      </c>
      <c r="H9" s="97">
        <f>IF(F9&lt;0.00000001,"",E9/F9)</f>
        <v>0.95923443344268255</v>
      </c>
    </row>
    <row r="10" spans="1:8" ht="14.4" customHeight="1" thickBot="1" x14ac:dyDescent="0.35">
      <c r="A10" s="12"/>
      <c r="B10" s="12"/>
      <c r="C10" s="80"/>
      <c r="D10" s="8"/>
      <c r="E10" s="12"/>
      <c r="F10" s="13"/>
    </row>
    <row r="11" spans="1:8" ht="14.4" customHeight="1" x14ac:dyDescent="0.3">
      <c r="A11" s="105" t="str">
        <f>HYPERLINK("#'ZV Vykáz.-A'!A1","Ambulance *")</f>
        <v>Ambulance *</v>
      </c>
      <c r="B11" s="9">
        <f>IF(ISERROR(VLOOKUP("Celkem:",'ZV Vykáz.-A'!A:F,2,0)),0,VLOOKUP("Celkem:",'ZV Vykáz.-A'!A:F,2,0)/1000)</f>
        <v>0.32700000000000001</v>
      </c>
      <c r="C11" s="29">
        <f>IF(ISERROR(VLOOKUP("Celkem:",'ZV Vykáz.-A'!A:F,4,0)),0,VLOOKUP("Celkem:",'ZV Vykáz.-A'!A:F,4,0)/1000)</f>
        <v>0.32700000000000001</v>
      </c>
      <c r="D11" s="8"/>
      <c r="E11" s="89">
        <f>IF(ISERROR(VLOOKUP("Celkem:",'ZV Vykáz.-A'!A:F,6,0)),0,VLOOKUP("Celkem:",'ZV Vykáz.-A'!A:F,6,0)/1000)</f>
        <v>0</v>
      </c>
      <c r="F11" s="28">
        <f>B11</f>
        <v>0.32700000000000001</v>
      </c>
      <c r="G11" s="88">
        <f>E11-F11</f>
        <v>-0.32700000000000001</v>
      </c>
      <c r="H11" s="94">
        <f>IF(F11&lt;0.00000001,"",E11/F11)</f>
        <v>0</v>
      </c>
    </row>
    <row r="12" spans="1:8" ht="14.4" customHeight="1" thickBot="1" x14ac:dyDescent="0.35">
      <c r="A12" s="106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B12</f>
        <v>0</v>
      </c>
      <c r="G12" s="93">
        <f>E12-F12</f>
        <v>0</v>
      </c>
      <c r="H12" s="96" t="str">
        <f>IF(F12&lt;0.00000001,"",E12/F12)</f>
        <v/>
      </c>
    </row>
    <row r="13" spans="1:8" ht="14.4" customHeight="1" thickBot="1" x14ac:dyDescent="0.35">
      <c r="A13" s="4" t="s">
        <v>56</v>
      </c>
      <c r="B13" s="5">
        <f>SUM(B11:B12)</f>
        <v>0.32700000000000001</v>
      </c>
      <c r="C13" s="37">
        <f>SUM(C11:C12)</f>
        <v>0.32700000000000001</v>
      </c>
      <c r="D13" s="8"/>
      <c r="E13" s="5">
        <f>SUM(E11:E12)</f>
        <v>0</v>
      </c>
      <c r="F13" s="36">
        <f>SUM(F11:F12)</f>
        <v>0.32700000000000001</v>
      </c>
      <c r="G13" s="36">
        <f>E13-F13</f>
        <v>-0.32700000000000001</v>
      </c>
      <c r="H13" s="98">
        <f>IF(F13&lt;0.00000001,"",E13/F13)</f>
        <v>0</v>
      </c>
    </row>
    <row r="14" spans="1:8" ht="14.4" customHeight="1" thickBot="1" x14ac:dyDescent="0.35">
      <c r="A14" s="12"/>
      <c r="B14" s="12"/>
      <c r="C14" s="80"/>
      <c r="D14" s="8"/>
      <c r="E14" s="12"/>
      <c r="F14" s="13"/>
    </row>
    <row r="15" spans="1:8" ht="14.4" customHeight="1" thickBot="1" x14ac:dyDescent="0.35">
      <c r="A15" s="107" t="str">
        <f>HYPERLINK("#'HI Graf'!A1","Hospodářský index (Výnosy / Náklady) *")</f>
        <v>Hospodářský index (Výnosy / Náklady) *</v>
      </c>
      <c r="B15" s="6">
        <f>IF(B9=0,"",B13/B9)</f>
        <v>3.5670049554534531E-4</v>
      </c>
      <c r="C15" s="39">
        <f>IF(C9=0,"",C13/C9)</f>
        <v>3.5355738902993127E-4</v>
      </c>
      <c r="D15" s="8"/>
      <c r="E15" s="6">
        <f>IF(E9=0,"",E13/E9)</f>
        <v>0</v>
      </c>
      <c r="F15" s="38">
        <f>IF(F9=0,"",F13/F9)</f>
        <v>3.3016416970984837E-4</v>
      </c>
      <c r="G15" s="38">
        <f>IF(ISERROR(F15-E15),"",E15-F15)</f>
        <v>-3.3016416970984837E-4</v>
      </c>
      <c r="H15" s="99">
        <f>IF(ISERROR(F15-E15),"",IF(F15&lt;0.00000001,"",E15/F15))</f>
        <v>0</v>
      </c>
    </row>
    <row r="17" spans="1:8" ht="14.4" customHeight="1" x14ac:dyDescent="0.3">
      <c r="A17" s="85" t="s">
        <v>110</v>
      </c>
    </row>
    <row r="18" spans="1:8" ht="14.4" customHeight="1" x14ac:dyDescent="0.3">
      <c r="A18" s="244" t="s">
        <v>148</v>
      </c>
      <c r="B18" s="245"/>
      <c r="C18" s="245"/>
      <c r="D18" s="245"/>
      <c r="E18" s="245"/>
      <c r="F18" s="245"/>
      <c r="G18" s="245"/>
      <c r="H18" s="245"/>
    </row>
    <row r="19" spans="1:8" x14ac:dyDescent="0.3">
      <c r="A19" s="243" t="s">
        <v>147</v>
      </c>
      <c r="B19" s="245"/>
      <c r="C19" s="245"/>
      <c r="D19" s="245"/>
      <c r="E19" s="245"/>
      <c r="F19" s="245"/>
      <c r="G19" s="245"/>
      <c r="H19" s="245"/>
    </row>
    <row r="20" spans="1:8" ht="14.4" customHeight="1" x14ac:dyDescent="0.3">
      <c r="A20" s="86" t="s">
        <v>190</v>
      </c>
    </row>
    <row r="21" spans="1:8" ht="14.4" customHeight="1" x14ac:dyDescent="0.3">
      <c r="A21" s="86" t="s">
        <v>111</v>
      </c>
    </row>
    <row r="22" spans="1:8" ht="14.4" customHeight="1" x14ac:dyDescent="0.3">
      <c r="A22" s="87" t="s">
        <v>112</v>
      </c>
    </row>
    <row r="23" spans="1:8" ht="14.4" customHeight="1" x14ac:dyDescent="0.3">
      <c r="A23" s="87" t="s">
        <v>113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" priority="4" operator="greaterThan">
      <formula>0</formula>
    </cfRule>
  </conditionalFormatting>
  <conditionalFormatting sqref="G11:G13 G15">
    <cfRule type="cellIs" dxfId="7" priority="3" operator="lessThan">
      <formula>0</formula>
    </cfRule>
  </conditionalFormatting>
  <conditionalFormatting sqref="H5:H9">
    <cfRule type="cellIs" dxfId="6" priority="2" operator="greaterThan">
      <formula>1</formula>
    </cfRule>
  </conditionalFormatting>
  <conditionalFormatting sqref="H11:H13 H15">
    <cfRule type="cellIs" dxfId="5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2"/>
    <col min="2" max="13" width="8.88671875" style="102" customWidth="1"/>
    <col min="14" max="16384" width="8.88671875" style="102"/>
  </cols>
  <sheetData>
    <row r="1" spans="1:13" ht="18.600000000000001" customHeight="1" thickBot="1" x14ac:dyDescent="0.4">
      <c r="A1" s="264" t="s">
        <v>80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</row>
    <row r="2" spans="1:13" ht="14.4" customHeight="1" x14ac:dyDescent="0.3">
      <c r="A2" s="191" t="s">
        <v>216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14.4" customHeight="1" x14ac:dyDescent="0.3">
      <c r="A3" s="167"/>
      <c r="B3" s="168" t="s">
        <v>58</v>
      </c>
      <c r="C3" s="169" t="s">
        <v>59</v>
      </c>
      <c r="D3" s="169" t="s">
        <v>60</v>
      </c>
      <c r="E3" s="168" t="s">
        <v>61</v>
      </c>
      <c r="F3" s="169" t="s">
        <v>62</v>
      </c>
      <c r="G3" s="169" t="s">
        <v>63</v>
      </c>
      <c r="H3" s="169" t="s">
        <v>64</v>
      </c>
      <c r="I3" s="169" t="s">
        <v>65</v>
      </c>
      <c r="J3" s="169" t="s">
        <v>66</v>
      </c>
      <c r="K3" s="169" t="s">
        <v>67</v>
      </c>
      <c r="L3" s="169" t="s">
        <v>68</v>
      </c>
      <c r="M3" s="169" t="s">
        <v>69</v>
      </c>
    </row>
    <row r="4" spans="1:13" ht="14.4" customHeight="1" x14ac:dyDescent="0.3">
      <c r="A4" s="167" t="s">
        <v>57</v>
      </c>
      <c r="B4" s="170">
        <f>(B10+B8)/B6</f>
        <v>0</v>
      </c>
      <c r="C4" s="170">
        <f t="shared" ref="C4:M4" si="0">(C10+C8)/C6</f>
        <v>0</v>
      </c>
      <c r="D4" s="170">
        <f t="shared" si="0"/>
        <v>0</v>
      </c>
      <c r="E4" s="170">
        <f t="shared" si="0"/>
        <v>0</v>
      </c>
      <c r="F4" s="170">
        <f t="shared" si="0"/>
        <v>0</v>
      </c>
      <c r="G4" s="170">
        <f t="shared" si="0"/>
        <v>0</v>
      </c>
      <c r="H4" s="170">
        <f t="shared" si="0"/>
        <v>0</v>
      </c>
      <c r="I4" s="170">
        <f t="shared" si="0"/>
        <v>0</v>
      </c>
      <c r="J4" s="170">
        <f t="shared" si="0"/>
        <v>0</v>
      </c>
      <c r="K4" s="170">
        <f t="shared" si="0"/>
        <v>0</v>
      </c>
      <c r="L4" s="170">
        <f t="shared" si="0"/>
        <v>0</v>
      </c>
      <c r="M4" s="170">
        <f t="shared" si="0"/>
        <v>0</v>
      </c>
    </row>
    <row r="5" spans="1:13" ht="14.4" customHeight="1" x14ac:dyDescent="0.3">
      <c r="A5" s="171" t="s">
        <v>29</v>
      </c>
      <c r="B5" s="170">
        <f>IF(ISERROR(VLOOKUP($A5,'Man Tab'!$A:$Q,COLUMN()+2,0)),0,VLOOKUP($A5,'Man Tab'!$A:$Q,COLUMN()+2,0))</f>
        <v>127.03761</v>
      </c>
      <c r="C5" s="170">
        <f>IF(ISERROR(VLOOKUP($A5,'Man Tab'!$A:$Q,COLUMN()+2,0)),0,VLOOKUP($A5,'Man Tab'!$A:$Q,COLUMN()+2,0))</f>
        <v>114.08555</v>
      </c>
      <c r="D5" s="170">
        <f>IF(ISERROR(VLOOKUP($A5,'Man Tab'!$A:$Q,COLUMN()+2,0)),0,VLOOKUP($A5,'Man Tab'!$A:$Q,COLUMN()+2,0))</f>
        <v>114.91518000000001</v>
      </c>
      <c r="E5" s="170">
        <f>IF(ISERROR(VLOOKUP($A5,'Man Tab'!$A:$Q,COLUMN()+2,0)),0,VLOOKUP($A5,'Man Tab'!$A:$Q,COLUMN()+2,0))</f>
        <v>119.6409</v>
      </c>
      <c r="F5" s="170">
        <f>IF(ISERROR(VLOOKUP($A5,'Man Tab'!$A:$Q,COLUMN()+2,0)),0,VLOOKUP($A5,'Man Tab'!$A:$Q,COLUMN()+2,0))</f>
        <v>119.37074</v>
      </c>
      <c r="G5" s="170">
        <f>IF(ISERROR(VLOOKUP($A5,'Man Tab'!$A:$Q,COLUMN()+2,0)),0,VLOOKUP($A5,'Man Tab'!$A:$Q,COLUMN()+2,0))</f>
        <v>119.25785999999999</v>
      </c>
      <c r="H5" s="170">
        <f>IF(ISERROR(VLOOKUP($A5,'Man Tab'!$A:$Q,COLUMN()+2,0)),0,VLOOKUP($A5,'Man Tab'!$A:$Q,COLUMN()+2,0))</f>
        <v>235.73365000000001</v>
      </c>
      <c r="I5" s="170">
        <f>IF(ISERROR(VLOOKUP($A5,'Man Tab'!$A:$Q,COLUMN()+2,0)),0,VLOOKUP($A5,'Man Tab'!$A:$Q,COLUMN()+2,0))</f>
        <v>0</v>
      </c>
      <c r="J5" s="170">
        <f>IF(ISERROR(VLOOKUP($A5,'Man Tab'!$A:$Q,COLUMN()+2,0)),0,VLOOKUP($A5,'Man Tab'!$A:$Q,COLUMN()+2,0))</f>
        <v>0</v>
      </c>
      <c r="K5" s="170">
        <f>IF(ISERROR(VLOOKUP($A5,'Man Tab'!$A:$Q,COLUMN()+2,0)),0,VLOOKUP($A5,'Man Tab'!$A:$Q,COLUMN()+2,0))</f>
        <v>0</v>
      </c>
      <c r="L5" s="170">
        <f>IF(ISERROR(VLOOKUP($A5,'Man Tab'!$A:$Q,COLUMN()+2,0)),0,VLOOKUP($A5,'Man Tab'!$A:$Q,COLUMN()+2,0))</f>
        <v>0</v>
      </c>
      <c r="M5" s="170">
        <f>IF(ISERROR(VLOOKUP($A5,'Man Tab'!$A:$Q,COLUMN()+2,0)),0,VLOOKUP($A5,'Man Tab'!$A:$Q,COLUMN()+2,0))</f>
        <v>0</v>
      </c>
    </row>
    <row r="6" spans="1:13" ht="14.4" customHeight="1" x14ac:dyDescent="0.3">
      <c r="A6" s="171" t="s">
        <v>53</v>
      </c>
      <c r="B6" s="172">
        <f>B5</f>
        <v>127.03761</v>
      </c>
      <c r="C6" s="172">
        <f t="shared" ref="C6:M6" si="1">C5+B6</f>
        <v>241.12315999999998</v>
      </c>
      <c r="D6" s="172">
        <f t="shared" si="1"/>
        <v>356.03834000000001</v>
      </c>
      <c r="E6" s="172">
        <f t="shared" si="1"/>
        <v>475.67923999999999</v>
      </c>
      <c r="F6" s="172">
        <f t="shared" si="1"/>
        <v>595.04998000000001</v>
      </c>
      <c r="G6" s="172">
        <f t="shared" si="1"/>
        <v>714.30783999999994</v>
      </c>
      <c r="H6" s="172">
        <f t="shared" si="1"/>
        <v>950.04148999999995</v>
      </c>
      <c r="I6" s="172">
        <f t="shared" si="1"/>
        <v>950.04148999999995</v>
      </c>
      <c r="J6" s="172">
        <f t="shared" si="1"/>
        <v>950.04148999999995</v>
      </c>
      <c r="K6" s="172">
        <f t="shared" si="1"/>
        <v>950.04148999999995</v>
      </c>
      <c r="L6" s="172">
        <f t="shared" si="1"/>
        <v>950.04148999999995</v>
      </c>
      <c r="M6" s="172">
        <f t="shared" si="1"/>
        <v>950.04148999999995</v>
      </c>
    </row>
    <row r="7" spans="1:13" ht="14.4" customHeight="1" x14ac:dyDescent="0.3">
      <c r="A7" s="171" t="s">
        <v>78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ht="14.4" customHeight="1" x14ac:dyDescent="0.3">
      <c r="A8" s="171" t="s">
        <v>54</v>
      </c>
      <c r="B8" s="172">
        <f>B7*30</f>
        <v>0</v>
      </c>
      <c r="C8" s="172">
        <f t="shared" ref="C8:M8" si="2">C7*30</f>
        <v>0</v>
      </c>
      <c r="D8" s="172">
        <f t="shared" si="2"/>
        <v>0</v>
      </c>
      <c r="E8" s="172">
        <f t="shared" si="2"/>
        <v>0</v>
      </c>
      <c r="F8" s="172">
        <f t="shared" si="2"/>
        <v>0</v>
      </c>
      <c r="G8" s="172">
        <f t="shared" si="2"/>
        <v>0</v>
      </c>
      <c r="H8" s="172">
        <f t="shared" si="2"/>
        <v>0</v>
      </c>
      <c r="I8" s="172">
        <f t="shared" si="2"/>
        <v>0</v>
      </c>
      <c r="J8" s="172">
        <f t="shared" si="2"/>
        <v>0</v>
      </c>
      <c r="K8" s="172">
        <f t="shared" si="2"/>
        <v>0</v>
      </c>
      <c r="L8" s="172">
        <f t="shared" si="2"/>
        <v>0</v>
      </c>
      <c r="M8" s="172">
        <f t="shared" si="2"/>
        <v>0</v>
      </c>
    </row>
    <row r="9" spans="1:13" ht="14.4" customHeight="1" x14ac:dyDescent="0.3">
      <c r="A9" s="171" t="s">
        <v>79</v>
      </c>
      <c r="B9" s="171"/>
      <c r="C9" s="171"/>
      <c r="D9" s="171">
        <v>0</v>
      </c>
      <c r="E9" s="171">
        <v>0</v>
      </c>
      <c r="F9" s="171">
        <v>0</v>
      </c>
      <c r="G9" s="171">
        <v>0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</row>
    <row r="10" spans="1:13" ht="14.4" customHeight="1" x14ac:dyDescent="0.3">
      <c r="A10" s="171" t="s">
        <v>55</v>
      </c>
      <c r="B10" s="172">
        <f>B9/1000</f>
        <v>0</v>
      </c>
      <c r="C10" s="172">
        <f t="shared" ref="C10:M10" si="3">C9/1000+B10</f>
        <v>0</v>
      </c>
      <c r="D10" s="172">
        <f t="shared" si="3"/>
        <v>0</v>
      </c>
      <c r="E10" s="172">
        <f t="shared" si="3"/>
        <v>0</v>
      </c>
      <c r="F10" s="172">
        <f t="shared" si="3"/>
        <v>0</v>
      </c>
      <c r="G10" s="172">
        <f t="shared" si="3"/>
        <v>0</v>
      </c>
      <c r="H10" s="172">
        <f t="shared" si="3"/>
        <v>0</v>
      </c>
      <c r="I10" s="172">
        <f t="shared" si="3"/>
        <v>0</v>
      </c>
      <c r="J10" s="172">
        <f t="shared" si="3"/>
        <v>0</v>
      </c>
      <c r="K10" s="172">
        <f t="shared" si="3"/>
        <v>0</v>
      </c>
      <c r="L10" s="172">
        <f t="shared" si="3"/>
        <v>0</v>
      </c>
      <c r="M10" s="172">
        <f t="shared" si="3"/>
        <v>0</v>
      </c>
    </row>
    <row r="11" spans="1:13" ht="14.4" customHeight="1" x14ac:dyDescent="0.3">
      <c r="A11" s="167"/>
      <c r="B11" s="167" t="s">
        <v>70</v>
      </c>
      <c r="C11" s="167">
        <f ca="1">IF(MONTH(TODAY())=1,12,MONTH(TODAY())-1)</f>
        <v>7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3" ht="14.4" customHeight="1" x14ac:dyDescent="0.3">
      <c r="A12" s="167">
        <v>0</v>
      </c>
      <c r="B12" s="170">
        <f>IF(ISERROR(HI!F15),#REF!,HI!F15)</f>
        <v>3.3016416970984837E-4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</row>
    <row r="13" spans="1:13" ht="14.4" customHeight="1" x14ac:dyDescent="0.3">
      <c r="A13" s="167">
        <v>1</v>
      </c>
      <c r="B13" s="170">
        <f>IF(ISERROR(HI!F15),#REF!,HI!F15)</f>
        <v>3.3016416970984837E-4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2" bestFit="1" customWidth="1"/>
    <col min="2" max="2" width="12.77734375" style="102" bestFit="1" customWidth="1"/>
    <col min="3" max="3" width="13.6640625" style="102" bestFit="1" customWidth="1"/>
    <col min="4" max="15" width="7.77734375" style="102" bestFit="1" customWidth="1"/>
    <col min="16" max="16" width="8.88671875" style="102" customWidth="1"/>
    <col min="17" max="17" width="6.6640625" style="102" bestFit="1" customWidth="1"/>
    <col min="18" max="16384" width="8.88671875" style="102"/>
  </cols>
  <sheetData>
    <row r="1" spans="1:17" s="173" customFormat="1" ht="18.600000000000001" customHeight="1" thickBot="1" x14ac:dyDescent="0.4">
      <c r="A1" s="273" t="s">
        <v>218</v>
      </c>
      <c r="B1" s="273"/>
      <c r="C1" s="273"/>
      <c r="D1" s="273"/>
      <c r="E1" s="273"/>
      <c r="F1" s="273"/>
      <c r="G1" s="273"/>
      <c r="H1" s="264"/>
      <c r="I1" s="264"/>
      <c r="J1" s="264"/>
      <c r="K1" s="264"/>
      <c r="L1" s="264"/>
      <c r="M1" s="264"/>
      <c r="N1" s="264"/>
      <c r="O1" s="264"/>
      <c r="P1" s="264"/>
      <c r="Q1" s="264"/>
    </row>
    <row r="2" spans="1:17" s="173" customFormat="1" ht="14.4" customHeight="1" thickBot="1" x14ac:dyDescent="0.3">
      <c r="A2" s="191" t="s">
        <v>216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4.4" customHeight="1" x14ac:dyDescent="0.3">
      <c r="A3" s="59"/>
      <c r="B3" s="274" t="s">
        <v>5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110"/>
      <c r="Q3" s="112"/>
    </row>
    <row r="4" spans="1:17" ht="14.4" customHeight="1" x14ac:dyDescent="0.3">
      <c r="A4" s="60"/>
      <c r="B4" s="20">
        <v>2015</v>
      </c>
      <c r="C4" s="111" t="s">
        <v>6</v>
      </c>
      <c r="D4" s="101" t="s">
        <v>193</v>
      </c>
      <c r="E4" s="101" t="s">
        <v>194</v>
      </c>
      <c r="F4" s="101" t="s">
        <v>195</v>
      </c>
      <c r="G4" s="101" t="s">
        <v>196</v>
      </c>
      <c r="H4" s="101" t="s">
        <v>197</v>
      </c>
      <c r="I4" s="101" t="s">
        <v>198</v>
      </c>
      <c r="J4" s="101" t="s">
        <v>199</v>
      </c>
      <c r="K4" s="101" t="s">
        <v>200</v>
      </c>
      <c r="L4" s="101" t="s">
        <v>201</v>
      </c>
      <c r="M4" s="101" t="s">
        <v>202</v>
      </c>
      <c r="N4" s="101" t="s">
        <v>203</v>
      </c>
      <c r="O4" s="101" t="s">
        <v>204</v>
      </c>
      <c r="P4" s="276" t="s">
        <v>2</v>
      </c>
      <c r="Q4" s="277"/>
    </row>
    <row r="5" spans="1:17" ht="14.4" customHeight="1" thickBot="1" x14ac:dyDescent="0.35">
      <c r="A5" s="61"/>
      <c r="B5" s="21" t="s">
        <v>7</v>
      </c>
      <c r="C5" s="22" t="s">
        <v>7</v>
      </c>
      <c r="D5" s="22" t="s">
        <v>8</v>
      </c>
      <c r="E5" s="22" t="s">
        <v>8</v>
      </c>
      <c r="F5" s="22" t="s">
        <v>8</v>
      </c>
      <c r="G5" s="22" t="s">
        <v>8</v>
      </c>
      <c r="H5" s="22" t="s">
        <v>8</v>
      </c>
      <c r="I5" s="22" t="s">
        <v>8</v>
      </c>
      <c r="J5" s="22" t="s">
        <v>8</v>
      </c>
      <c r="K5" s="22" t="s">
        <v>8</v>
      </c>
      <c r="L5" s="22" t="s">
        <v>8</v>
      </c>
      <c r="M5" s="22" t="s">
        <v>8</v>
      </c>
      <c r="N5" s="22" t="s">
        <v>8</v>
      </c>
      <c r="O5" s="22" t="s">
        <v>8</v>
      </c>
      <c r="P5" s="22" t="s">
        <v>8</v>
      </c>
      <c r="Q5" s="23" t="s">
        <v>9</v>
      </c>
    </row>
    <row r="6" spans="1:17" ht="14.4" customHeight="1" x14ac:dyDescent="0.3">
      <c r="A6" s="14" t="s">
        <v>10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217</v>
      </c>
    </row>
    <row r="7" spans="1:17" ht="14.4" customHeight="1" x14ac:dyDescent="0.3">
      <c r="A7" s="15" t="s">
        <v>11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 t="s">
        <v>217</v>
      </c>
    </row>
    <row r="8" spans="1:17" ht="14.4" customHeight="1" x14ac:dyDescent="0.3">
      <c r="A8" s="15" t="s">
        <v>12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217</v>
      </c>
    </row>
    <row r="9" spans="1:17" ht="14.4" customHeight="1" x14ac:dyDescent="0.3">
      <c r="A9" s="15" t="s">
        <v>13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 t="s">
        <v>217</v>
      </c>
    </row>
    <row r="10" spans="1:17" ht="14.4" customHeight="1" x14ac:dyDescent="0.3">
      <c r="A10" s="15" t="s">
        <v>14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217</v>
      </c>
    </row>
    <row r="11" spans="1:17" ht="14.4" customHeight="1" x14ac:dyDescent="0.3">
      <c r="A11" s="15" t="s">
        <v>15</v>
      </c>
      <c r="B11" s="46">
        <v>4.3062894542860004</v>
      </c>
      <c r="C11" s="47">
        <v>0.358857454523</v>
      </c>
      <c r="D11" s="47">
        <v>0</v>
      </c>
      <c r="E11" s="47">
        <v>0</v>
      </c>
      <c r="F11" s="47">
        <v>0</v>
      </c>
      <c r="G11" s="47">
        <v>1.89897</v>
      </c>
      <c r="H11" s="47">
        <v>3.7999999999999999E-2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1.9369700000000001</v>
      </c>
      <c r="Q11" s="70">
        <v>0.77108611375199998</v>
      </c>
    </row>
    <row r="12" spans="1:17" ht="14.4" customHeight="1" x14ac:dyDescent="0.3">
      <c r="A12" s="15" t="s">
        <v>16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0" t="s">
        <v>217</v>
      </c>
    </row>
    <row r="13" spans="1:17" ht="14.4" customHeight="1" x14ac:dyDescent="0.3">
      <c r="A13" s="15" t="s">
        <v>17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70" t="s">
        <v>217</v>
      </c>
    </row>
    <row r="14" spans="1:17" ht="14.4" customHeight="1" x14ac:dyDescent="0.3">
      <c r="A14" s="15" t="s">
        <v>18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70" t="s">
        <v>217</v>
      </c>
    </row>
    <row r="15" spans="1:17" ht="14.4" customHeight="1" x14ac:dyDescent="0.3">
      <c r="A15" s="15" t="s">
        <v>19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217</v>
      </c>
    </row>
    <row r="16" spans="1:17" ht="14.4" customHeight="1" x14ac:dyDescent="0.3">
      <c r="A16" s="15" t="s">
        <v>20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217</v>
      </c>
    </row>
    <row r="17" spans="1:17" ht="14.4" customHeight="1" x14ac:dyDescent="0.3">
      <c r="A17" s="15" t="s">
        <v>21</v>
      </c>
      <c r="B17" s="46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70" t="s">
        <v>217</v>
      </c>
    </row>
    <row r="18" spans="1:17" ht="14.4" customHeight="1" x14ac:dyDescent="0.3">
      <c r="A18" s="15" t="s">
        <v>22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70" t="s">
        <v>217</v>
      </c>
    </row>
    <row r="19" spans="1:17" ht="14.4" customHeight="1" x14ac:dyDescent="0.3">
      <c r="A19" s="15" t="s">
        <v>23</v>
      </c>
      <c r="B19" s="46">
        <v>6.8329062649999999E-3</v>
      </c>
      <c r="C19" s="47">
        <v>5.6940885500000003E-4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0</v>
      </c>
      <c r="Q19" s="70">
        <v>0</v>
      </c>
    </row>
    <row r="20" spans="1:17" ht="14.4" customHeight="1" x14ac:dyDescent="0.3">
      <c r="A20" s="15" t="s">
        <v>24</v>
      </c>
      <c r="B20" s="46">
        <v>1693.5435198791599</v>
      </c>
      <c r="C20" s="47">
        <v>141.12862665659699</v>
      </c>
      <c r="D20" s="47">
        <v>127.03761</v>
      </c>
      <c r="E20" s="47">
        <v>114.08555</v>
      </c>
      <c r="F20" s="47">
        <v>114.91518000000001</v>
      </c>
      <c r="G20" s="47">
        <v>117.74193</v>
      </c>
      <c r="H20" s="47">
        <v>119.33274</v>
      </c>
      <c r="I20" s="47">
        <v>119.25785999999999</v>
      </c>
      <c r="J20" s="47">
        <v>235.73365000000001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948.10451999999998</v>
      </c>
      <c r="Q20" s="70">
        <v>0.95971672130399999</v>
      </c>
    </row>
    <row r="21" spans="1:17" ht="14.4" customHeight="1" x14ac:dyDescent="0.3">
      <c r="A21" s="16" t="s">
        <v>25</v>
      </c>
      <c r="B21" s="46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0</v>
      </c>
      <c r="Q21" s="70" t="s">
        <v>217</v>
      </c>
    </row>
    <row r="22" spans="1:17" ht="14.4" customHeight="1" x14ac:dyDescent="0.3">
      <c r="A22" s="15" t="s">
        <v>26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0" t="s">
        <v>217</v>
      </c>
    </row>
    <row r="23" spans="1:17" ht="14.4" customHeight="1" x14ac:dyDescent="0.3">
      <c r="A23" s="16" t="s">
        <v>27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217</v>
      </c>
    </row>
    <row r="24" spans="1:17" ht="14.4" customHeight="1" x14ac:dyDescent="0.3">
      <c r="A24" s="16" t="s">
        <v>28</v>
      </c>
      <c r="B24" s="46">
        <v>0</v>
      </c>
      <c r="C24" s="47">
        <v>0</v>
      </c>
      <c r="D24" s="47">
        <v>0</v>
      </c>
      <c r="E24" s="47">
        <v>0</v>
      </c>
      <c r="F24" s="47">
        <v>0</v>
      </c>
      <c r="G24" s="47">
        <v>1.4210854715202001E-14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1.4210854715202001E-14</v>
      </c>
      <c r="Q24" s="70"/>
    </row>
    <row r="25" spans="1:17" ht="14.4" customHeight="1" x14ac:dyDescent="0.3">
      <c r="A25" s="17" t="s">
        <v>29</v>
      </c>
      <c r="B25" s="49">
        <v>1697.85664223972</v>
      </c>
      <c r="C25" s="50">
        <v>141.48805351997601</v>
      </c>
      <c r="D25" s="50">
        <v>127.03761</v>
      </c>
      <c r="E25" s="50">
        <v>114.08555</v>
      </c>
      <c r="F25" s="50">
        <v>114.91518000000001</v>
      </c>
      <c r="G25" s="50">
        <v>119.6409</v>
      </c>
      <c r="H25" s="50">
        <v>119.37074</v>
      </c>
      <c r="I25" s="50">
        <v>119.25785999999999</v>
      </c>
      <c r="J25" s="50">
        <v>235.73365000000001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950.04148999999995</v>
      </c>
      <c r="Q25" s="71">
        <v>0.95923443344199999</v>
      </c>
    </row>
    <row r="26" spans="1:17" ht="14.4" customHeight="1" x14ac:dyDescent="0.3">
      <c r="A26" s="15" t="s">
        <v>30</v>
      </c>
      <c r="B26" s="46">
        <v>290.69688242625398</v>
      </c>
      <c r="C26" s="47">
        <v>24.224740202187</v>
      </c>
      <c r="D26" s="47">
        <v>21.42699</v>
      </c>
      <c r="E26" s="47">
        <v>19.515450000000001</v>
      </c>
      <c r="F26" s="47">
        <v>22.171420000000001</v>
      </c>
      <c r="G26" s="47">
        <v>19.75094</v>
      </c>
      <c r="H26" s="47">
        <v>17.99832</v>
      </c>
      <c r="I26" s="47">
        <v>29.045850000000002</v>
      </c>
      <c r="J26" s="47">
        <v>33.495780000000003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163.40475000000001</v>
      </c>
      <c r="Q26" s="70">
        <v>0.96362377963400003</v>
      </c>
    </row>
    <row r="27" spans="1:17" ht="14.4" customHeight="1" x14ac:dyDescent="0.3">
      <c r="A27" s="18" t="s">
        <v>31</v>
      </c>
      <c r="B27" s="49">
        <v>1988.5535246659699</v>
      </c>
      <c r="C27" s="50">
        <v>165.71279372216401</v>
      </c>
      <c r="D27" s="50">
        <v>148.46459999999999</v>
      </c>
      <c r="E27" s="50">
        <v>133.601</v>
      </c>
      <c r="F27" s="50">
        <v>137.0866</v>
      </c>
      <c r="G27" s="50">
        <v>139.39184</v>
      </c>
      <c r="H27" s="50">
        <v>137.36905999999999</v>
      </c>
      <c r="I27" s="50">
        <v>148.30371</v>
      </c>
      <c r="J27" s="50">
        <v>269.22942999999998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1113.44624</v>
      </c>
      <c r="Q27" s="71">
        <v>0.95987609042400002</v>
      </c>
    </row>
    <row r="28" spans="1:17" ht="14.4" customHeight="1" x14ac:dyDescent="0.3">
      <c r="A28" s="16" t="s">
        <v>32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0">
        <v>0</v>
      </c>
    </row>
    <row r="29" spans="1:17" ht="14.4" customHeight="1" x14ac:dyDescent="0.3">
      <c r="A29" s="16" t="s">
        <v>33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217</v>
      </c>
    </row>
    <row r="30" spans="1:17" ht="14.4" customHeight="1" x14ac:dyDescent="0.3">
      <c r="A30" s="16" t="s">
        <v>34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>
        <v>0</v>
      </c>
    </row>
    <row r="31" spans="1:17" ht="14.4" customHeight="1" thickBot="1" x14ac:dyDescent="0.35">
      <c r="A31" s="19" t="s">
        <v>35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217</v>
      </c>
    </row>
    <row r="32" spans="1:17" ht="14.4" customHeight="1" x14ac:dyDescent="0.3"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</row>
    <row r="33" spans="1:17" ht="14.4" customHeight="1" x14ac:dyDescent="0.3">
      <c r="A33" s="85" t="s">
        <v>110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1:17" ht="14.4" customHeight="1" x14ac:dyDescent="0.3">
      <c r="A34" s="108" t="s">
        <v>213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1:17" ht="14.4" customHeight="1" x14ac:dyDescent="0.3">
      <c r="A35" s="109" t="s">
        <v>36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6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2" customWidth="1"/>
    <col min="2" max="11" width="10" style="102" customWidth="1"/>
    <col min="12" max="16384" width="8.88671875" style="102"/>
  </cols>
  <sheetData>
    <row r="1" spans="1:11" s="55" customFormat="1" ht="18.600000000000001" customHeight="1" thickBot="1" x14ac:dyDescent="0.4">
      <c r="A1" s="273" t="s">
        <v>37</v>
      </c>
      <c r="B1" s="273"/>
      <c r="C1" s="273"/>
      <c r="D1" s="273"/>
      <c r="E1" s="273"/>
      <c r="F1" s="273"/>
      <c r="G1" s="273"/>
      <c r="H1" s="278"/>
      <c r="I1" s="278"/>
      <c r="J1" s="278"/>
      <c r="K1" s="278"/>
    </row>
    <row r="2" spans="1:11" s="55" customFormat="1" ht="14.4" customHeight="1" thickBot="1" x14ac:dyDescent="0.35">
      <c r="A2" s="191" t="s">
        <v>216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9"/>
      <c r="B3" s="274" t="s">
        <v>38</v>
      </c>
      <c r="C3" s="275"/>
      <c r="D3" s="275"/>
      <c r="E3" s="275"/>
      <c r="F3" s="281" t="s">
        <v>39</v>
      </c>
      <c r="G3" s="275"/>
      <c r="H3" s="275"/>
      <c r="I3" s="275"/>
      <c r="J3" s="275"/>
      <c r="K3" s="282"/>
    </row>
    <row r="4" spans="1:11" ht="14.4" customHeight="1" x14ac:dyDescent="0.3">
      <c r="A4" s="60"/>
      <c r="B4" s="279"/>
      <c r="C4" s="280"/>
      <c r="D4" s="280"/>
      <c r="E4" s="280"/>
      <c r="F4" s="283" t="s">
        <v>209</v>
      </c>
      <c r="G4" s="285" t="s">
        <v>40</v>
      </c>
      <c r="H4" s="113" t="s">
        <v>102</v>
      </c>
      <c r="I4" s="283" t="s">
        <v>41</v>
      </c>
      <c r="J4" s="285" t="s">
        <v>211</v>
      </c>
      <c r="K4" s="286" t="s">
        <v>212</v>
      </c>
    </row>
    <row r="5" spans="1:11" ht="42" thickBot="1" x14ac:dyDescent="0.35">
      <c r="A5" s="61"/>
      <c r="B5" s="24" t="s">
        <v>205</v>
      </c>
      <c r="C5" s="25" t="s">
        <v>206</v>
      </c>
      <c r="D5" s="26" t="s">
        <v>207</v>
      </c>
      <c r="E5" s="26" t="s">
        <v>208</v>
      </c>
      <c r="F5" s="284"/>
      <c r="G5" s="284"/>
      <c r="H5" s="25" t="s">
        <v>210</v>
      </c>
      <c r="I5" s="284"/>
      <c r="J5" s="284"/>
      <c r="K5" s="287"/>
    </row>
    <row r="6" spans="1:11" ht="14.4" customHeight="1" thickBot="1" x14ac:dyDescent="0.35">
      <c r="A6" s="331" t="s">
        <v>219</v>
      </c>
      <c r="B6" s="313">
        <v>1732.96179687734</v>
      </c>
      <c r="C6" s="313">
        <v>1540.22019</v>
      </c>
      <c r="D6" s="314">
        <v>-192.74160687733601</v>
      </c>
      <c r="E6" s="315">
        <v>0.88877907913200005</v>
      </c>
      <c r="F6" s="313">
        <v>1697.85664223972</v>
      </c>
      <c r="G6" s="314">
        <v>990.416374639835</v>
      </c>
      <c r="H6" s="316">
        <v>235.73365000000001</v>
      </c>
      <c r="I6" s="313">
        <v>950.04148999999995</v>
      </c>
      <c r="J6" s="314">
        <v>-40.374884639834001</v>
      </c>
      <c r="K6" s="317">
        <v>0.55955341950799997</v>
      </c>
    </row>
    <row r="7" spans="1:11" ht="14.4" customHeight="1" thickBot="1" x14ac:dyDescent="0.35">
      <c r="A7" s="332" t="s">
        <v>220</v>
      </c>
      <c r="B7" s="313">
        <v>0.95855070338299997</v>
      </c>
      <c r="C7" s="313">
        <v>1.60684</v>
      </c>
      <c r="D7" s="314">
        <v>0.64828929661599999</v>
      </c>
      <c r="E7" s="315">
        <v>1.676322383707</v>
      </c>
      <c r="F7" s="313">
        <v>4.3062894542860004</v>
      </c>
      <c r="G7" s="314">
        <v>2.512002181667</v>
      </c>
      <c r="H7" s="316">
        <v>0</v>
      </c>
      <c r="I7" s="313">
        <v>1.9369700000000001</v>
      </c>
      <c r="J7" s="314">
        <v>-0.57503218166699999</v>
      </c>
      <c r="K7" s="317">
        <v>0.44980023302200001</v>
      </c>
    </row>
    <row r="8" spans="1:11" ht="14.4" customHeight="1" thickBot="1" x14ac:dyDescent="0.35">
      <c r="A8" s="333" t="s">
        <v>221</v>
      </c>
      <c r="B8" s="313">
        <v>0.95855070338299997</v>
      </c>
      <c r="C8" s="313">
        <v>1.60684</v>
      </c>
      <c r="D8" s="314">
        <v>0.64828929661599999</v>
      </c>
      <c r="E8" s="315">
        <v>1.676322383707</v>
      </c>
      <c r="F8" s="313">
        <v>4.3062894542860004</v>
      </c>
      <c r="G8" s="314">
        <v>2.512002181667</v>
      </c>
      <c r="H8" s="316">
        <v>0</v>
      </c>
      <c r="I8" s="313">
        <v>1.9369700000000001</v>
      </c>
      <c r="J8" s="314">
        <v>-0.57503218166699999</v>
      </c>
      <c r="K8" s="317">
        <v>0.44980023302200001</v>
      </c>
    </row>
    <row r="9" spans="1:11" ht="14.4" customHeight="1" thickBot="1" x14ac:dyDescent="0.35">
      <c r="A9" s="334" t="s">
        <v>222</v>
      </c>
      <c r="B9" s="318">
        <v>0.33331868456199998</v>
      </c>
      <c r="C9" s="318">
        <v>1.60684</v>
      </c>
      <c r="D9" s="319">
        <v>1.273521315437</v>
      </c>
      <c r="E9" s="320">
        <v>4.820731853391</v>
      </c>
      <c r="F9" s="318">
        <v>4.3062894542860004</v>
      </c>
      <c r="G9" s="319">
        <v>2.512002181667</v>
      </c>
      <c r="H9" s="321">
        <v>0</v>
      </c>
      <c r="I9" s="318">
        <v>1.9369700000000001</v>
      </c>
      <c r="J9" s="319">
        <v>-0.57503218166699999</v>
      </c>
      <c r="K9" s="322">
        <v>0.44980023302200001</v>
      </c>
    </row>
    <row r="10" spans="1:11" ht="14.4" customHeight="1" thickBot="1" x14ac:dyDescent="0.35">
      <c r="A10" s="335" t="s">
        <v>223</v>
      </c>
      <c r="B10" s="313">
        <v>0</v>
      </c>
      <c r="C10" s="313">
        <v>0.18</v>
      </c>
      <c r="D10" s="314">
        <v>0.18</v>
      </c>
      <c r="E10" s="323" t="s">
        <v>224</v>
      </c>
      <c r="F10" s="313">
        <v>0.31905168952099999</v>
      </c>
      <c r="G10" s="314">
        <v>0.18611348555400001</v>
      </c>
      <c r="H10" s="316">
        <v>0</v>
      </c>
      <c r="I10" s="313">
        <v>0.84599999999999997</v>
      </c>
      <c r="J10" s="314">
        <v>0.65988651444500002</v>
      </c>
      <c r="K10" s="317">
        <v>0</v>
      </c>
    </row>
    <row r="11" spans="1:11" ht="14.4" customHeight="1" thickBot="1" x14ac:dyDescent="0.35">
      <c r="A11" s="335" t="s">
        <v>225</v>
      </c>
      <c r="B11" s="313">
        <v>0</v>
      </c>
      <c r="C11" s="313">
        <v>0</v>
      </c>
      <c r="D11" s="314">
        <v>0</v>
      </c>
      <c r="E11" s="315">
        <v>1</v>
      </c>
      <c r="F11" s="313">
        <v>1</v>
      </c>
      <c r="G11" s="314">
        <v>0.58333333333299997</v>
      </c>
      <c r="H11" s="316">
        <v>0</v>
      </c>
      <c r="I11" s="313">
        <v>0</v>
      </c>
      <c r="J11" s="314">
        <v>-0.58333333333299997</v>
      </c>
      <c r="K11" s="317">
        <v>0</v>
      </c>
    </row>
    <row r="12" spans="1:11" ht="14.4" customHeight="1" thickBot="1" x14ac:dyDescent="0.35">
      <c r="A12" s="335" t="s">
        <v>226</v>
      </c>
      <c r="B12" s="313">
        <v>0.33331868456199998</v>
      </c>
      <c r="C12" s="313">
        <v>0.34644000000000003</v>
      </c>
      <c r="D12" s="314">
        <v>1.3121315437E-2</v>
      </c>
      <c r="E12" s="315">
        <v>1.039365676289</v>
      </c>
      <c r="F12" s="313">
        <v>1</v>
      </c>
      <c r="G12" s="314">
        <v>0.58333333333299997</v>
      </c>
      <c r="H12" s="316">
        <v>0</v>
      </c>
      <c r="I12" s="313">
        <v>0.18346999999999999</v>
      </c>
      <c r="J12" s="314">
        <v>-0.399863333333</v>
      </c>
      <c r="K12" s="317">
        <v>0.18346999999999999</v>
      </c>
    </row>
    <row r="13" spans="1:11" ht="14.4" customHeight="1" thickBot="1" x14ac:dyDescent="0.35">
      <c r="A13" s="335" t="s">
        <v>227</v>
      </c>
      <c r="B13" s="313">
        <v>0</v>
      </c>
      <c r="C13" s="313">
        <v>0.99839999999999995</v>
      </c>
      <c r="D13" s="314">
        <v>0.99839999999999995</v>
      </c>
      <c r="E13" s="323" t="s">
        <v>217</v>
      </c>
      <c r="F13" s="313">
        <v>0.98723776476500003</v>
      </c>
      <c r="G13" s="314">
        <v>0.57588869611299998</v>
      </c>
      <c r="H13" s="316">
        <v>0</v>
      </c>
      <c r="I13" s="313">
        <v>0.90749999999999997</v>
      </c>
      <c r="J13" s="314">
        <v>0.33161130388600002</v>
      </c>
      <c r="K13" s="317">
        <v>0.91923144797300005</v>
      </c>
    </row>
    <row r="14" spans="1:11" ht="14.4" customHeight="1" thickBot="1" x14ac:dyDescent="0.35">
      <c r="A14" s="335" t="s">
        <v>228</v>
      </c>
      <c r="B14" s="313">
        <v>0</v>
      </c>
      <c r="C14" s="313">
        <v>8.2000000000000003E-2</v>
      </c>
      <c r="D14" s="314">
        <v>8.2000000000000003E-2</v>
      </c>
      <c r="E14" s="323" t="s">
        <v>224</v>
      </c>
      <c r="F14" s="313">
        <v>1</v>
      </c>
      <c r="G14" s="314">
        <v>0.58333333333299997</v>
      </c>
      <c r="H14" s="316">
        <v>0</v>
      </c>
      <c r="I14" s="313">
        <v>0</v>
      </c>
      <c r="J14" s="314">
        <v>-0.58333333333299997</v>
      </c>
      <c r="K14" s="317">
        <v>0</v>
      </c>
    </row>
    <row r="15" spans="1:11" ht="14.4" customHeight="1" thickBot="1" x14ac:dyDescent="0.35">
      <c r="A15" s="334" t="s">
        <v>229</v>
      </c>
      <c r="B15" s="318">
        <v>0.62523201882000001</v>
      </c>
      <c r="C15" s="318">
        <v>0</v>
      </c>
      <c r="D15" s="319">
        <v>-0.62523201882000001</v>
      </c>
      <c r="E15" s="320">
        <v>0</v>
      </c>
      <c r="F15" s="318">
        <v>0</v>
      </c>
      <c r="G15" s="319">
        <v>0</v>
      </c>
      <c r="H15" s="321">
        <v>0</v>
      </c>
      <c r="I15" s="318">
        <v>0</v>
      </c>
      <c r="J15" s="319">
        <v>0</v>
      </c>
      <c r="K15" s="322">
        <v>0</v>
      </c>
    </row>
    <row r="16" spans="1:11" ht="14.4" customHeight="1" thickBot="1" x14ac:dyDescent="0.35">
      <c r="A16" s="335" t="s">
        <v>230</v>
      </c>
      <c r="B16" s="313">
        <v>0.62523201882000001</v>
      </c>
      <c r="C16" s="313">
        <v>0</v>
      </c>
      <c r="D16" s="314">
        <v>-0.62523201882000001</v>
      </c>
      <c r="E16" s="315">
        <v>0</v>
      </c>
      <c r="F16" s="313">
        <v>0</v>
      </c>
      <c r="G16" s="314">
        <v>0</v>
      </c>
      <c r="H16" s="316">
        <v>0</v>
      </c>
      <c r="I16" s="313">
        <v>0</v>
      </c>
      <c r="J16" s="314">
        <v>0</v>
      </c>
      <c r="K16" s="317">
        <v>0</v>
      </c>
    </row>
    <row r="17" spans="1:11" ht="14.4" customHeight="1" thickBot="1" x14ac:dyDescent="0.35">
      <c r="A17" s="336" t="s">
        <v>231</v>
      </c>
      <c r="B17" s="318">
        <v>-5.3815686699999997E-3</v>
      </c>
      <c r="C17" s="318">
        <v>6.1199999999999996E-3</v>
      </c>
      <c r="D17" s="319">
        <v>1.150156867E-2</v>
      </c>
      <c r="E17" s="320">
        <v>-1.137214885581</v>
      </c>
      <c r="F17" s="318">
        <v>6.8329062649999999E-3</v>
      </c>
      <c r="G17" s="319">
        <v>3.9858619879999998E-3</v>
      </c>
      <c r="H17" s="321">
        <v>0</v>
      </c>
      <c r="I17" s="318">
        <v>0</v>
      </c>
      <c r="J17" s="319">
        <v>-3.9858619879999998E-3</v>
      </c>
      <c r="K17" s="322">
        <v>0</v>
      </c>
    </row>
    <row r="18" spans="1:11" ht="14.4" customHeight="1" thickBot="1" x14ac:dyDescent="0.35">
      <c r="A18" s="333" t="s">
        <v>23</v>
      </c>
      <c r="B18" s="313">
        <v>-5.3815686699999997E-3</v>
      </c>
      <c r="C18" s="313">
        <v>6.1199999999999996E-3</v>
      </c>
      <c r="D18" s="314">
        <v>1.150156867E-2</v>
      </c>
      <c r="E18" s="315">
        <v>-1.137214885581</v>
      </c>
      <c r="F18" s="313">
        <v>6.8329062649999999E-3</v>
      </c>
      <c r="G18" s="314">
        <v>3.9858619879999998E-3</v>
      </c>
      <c r="H18" s="316">
        <v>0</v>
      </c>
      <c r="I18" s="313">
        <v>0</v>
      </c>
      <c r="J18" s="314">
        <v>-3.9858619879999998E-3</v>
      </c>
      <c r="K18" s="317">
        <v>0</v>
      </c>
    </row>
    <row r="19" spans="1:11" ht="14.4" customHeight="1" thickBot="1" x14ac:dyDescent="0.35">
      <c r="A19" s="334" t="s">
        <v>232</v>
      </c>
      <c r="B19" s="318">
        <v>-5.3815686699999997E-3</v>
      </c>
      <c r="C19" s="318">
        <v>6.1199999999999996E-3</v>
      </c>
      <c r="D19" s="319">
        <v>1.150156867E-2</v>
      </c>
      <c r="E19" s="320">
        <v>-1.137214885581</v>
      </c>
      <c r="F19" s="318">
        <v>6.8329062649999999E-3</v>
      </c>
      <c r="G19" s="319">
        <v>3.9858619879999998E-3</v>
      </c>
      <c r="H19" s="321">
        <v>0</v>
      </c>
      <c r="I19" s="318">
        <v>0</v>
      </c>
      <c r="J19" s="319">
        <v>-3.9858619879999998E-3</v>
      </c>
      <c r="K19" s="322">
        <v>0</v>
      </c>
    </row>
    <row r="20" spans="1:11" ht="14.4" customHeight="1" thickBot="1" x14ac:dyDescent="0.35">
      <c r="A20" s="335" t="s">
        <v>233</v>
      </c>
      <c r="B20" s="313">
        <v>-5.3815686699999997E-3</v>
      </c>
      <c r="C20" s="313">
        <v>6.1199999999999996E-3</v>
      </c>
      <c r="D20" s="314">
        <v>1.150156867E-2</v>
      </c>
      <c r="E20" s="315">
        <v>-1.137214885581</v>
      </c>
      <c r="F20" s="313">
        <v>6.8329062649999999E-3</v>
      </c>
      <c r="G20" s="314">
        <v>3.9858619879999998E-3</v>
      </c>
      <c r="H20" s="316">
        <v>0</v>
      </c>
      <c r="I20" s="313">
        <v>0</v>
      </c>
      <c r="J20" s="314">
        <v>-3.9858619879999998E-3</v>
      </c>
      <c r="K20" s="317">
        <v>0</v>
      </c>
    </row>
    <row r="21" spans="1:11" ht="14.4" customHeight="1" thickBot="1" x14ac:dyDescent="0.35">
      <c r="A21" s="332" t="s">
        <v>24</v>
      </c>
      <c r="B21" s="313">
        <v>1732.0086277426201</v>
      </c>
      <c r="C21" s="313">
        <v>1535.1072300000001</v>
      </c>
      <c r="D21" s="314">
        <v>-196.901397742623</v>
      </c>
      <c r="E21" s="315">
        <v>0.88631615651899998</v>
      </c>
      <c r="F21" s="313">
        <v>1693.5435198791599</v>
      </c>
      <c r="G21" s="314">
        <v>987.90038659617903</v>
      </c>
      <c r="H21" s="316">
        <v>235.73365000000001</v>
      </c>
      <c r="I21" s="313">
        <v>948.10451999999998</v>
      </c>
      <c r="J21" s="314">
        <v>-39.795866596179003</v>
      </c>
      <c r="K21" s="317">
        <v>0.55983475409399996</v>
      </c>
    </row>
    <row r="22" spans="1:11" ht="14.4" customHeight="1" thickBot="1" x14ac:dyDescent="0.35">
      <c r="A22" s="337" t="s">
        <v>234</v>
      </c>
      <c r="B22" s="318">
        <v>1282.99999999998</v>
      </c>
      <c r="C22" s="318">
        <v>1144.5319999999999</v>
      </c>
      <c r="D22" s="319">
        <v>-138.467999999976</v>
      </c>
      <c r="E22" s="320">
        <v>0.89207482462900001</v>
      </c>
      <c r="F22" s="318">
        <v>1254.12876931146</v>
      </c>
      <c r="G22" s="319">
        <v>731.575115431688</v>
      </c>
      <c r="H22" s="321">
        <v>174.61799999999999</v>
      </c>
      <c r="I22" s="318">
        <v>705.774</v>
      </c>
      <c r="J22" s="319">
        <v>-25.801115431686998</v>
      </c>
      <c r="K22" s="322">
        <v>0.56276039372499997</v>
      </c>
    </row>
    <row r="23" spans="1:11" ht="14.4" customHeight="1" thickBot="1" x14ac:dyDescent="0.35">
      <c r="A23" s="334" t="s">
        <v>235</v>
      </c>
      <c r="B23" s="318">
        <v>1277.99999999998</v>
      </c>
      <c r="C23" s="318">
        <v>1144.5319999999999</v>
      </c>
      <c r="D23" s="319">
        <v>-133.467999999976</v>
      </c>
      <c r="E23" s="320">
        <v>0.89556494522600005</v>
      </c>
      <c r="F23" s="318">
        <v>1249.9999606280301</v>
      </c>
      <c r="G23" s="319">
        <v>729.16664369968396</v>
      </c>
      <c r="H23" s="321">
        <v>174.61799999999999</v>
      </c>
      <c r="I23" s="318">
        <v>705.39300000000003</v>
      </c>
      <c r="J23" s="319">
        <v>-23.773643699682999</v>
      </c>
      <c r="K23" s="322">
        <v>0.56431441777400004</v>
      </c>
    </row>
    <row r="24" spans="1:11" ht="14.4" customHeight="1" thickBot="1" x14ac:dyDescent="0.35">
      <c r="A24" s="335" t="s">
        <v>236</v>
      </c>
      <c r="B24" s="313">
        <v>1277.99999999998</v>
      </c>
      <c r="C24" s="313">
        <v>1144.5319999999999</v>
      </c>
      <c r="D24" s="314">
        <v>-133.467999999976</v>
      </c>
      <c r="E24" s="315">
        <v>0.89556494522600005</v>
      </c>
      <c r="F24" s="313">
        <v>1249.9999606280301</v>
      </c>
      <c r="G24" s="314">
        <v>729.16664369968396</v>
      </c>
      <c r="H24" s="316">
        <v>174.61799999999999</v>
      </c>
      <c r="I24" s="313">
        <v>705.39300000000003</v>
      </c>
      <c r="J24" s="314">
        <v>-23.773643699682999</v>
      </c>
      <c r="K24" s="317">
        <v>0.56431441777400004</v>
      </c>
    </row>
    <row r="25" spans="1:11" ht="14.4" customHeight="1" thickBot="1" x14ac:dyDescent="0.35">
      <c r="A25" s="334" t="s">
        <v>237</v>
      </c>
      <c r="B25" s="318">
        <v>4.9999999999989999</v>
      </c>
      <c r="C25" s="318">
        <v>0</v>
      </c>
      <c r="D25" s="319">
        <v>-4.9999999999989999</v>
      </c>
      <c r="E25" s="320">
        <v>0</v>
      </c>
      <c r="F25" s="318">
        <v>4.1288086834350004</v>
      </c>
      <c r="G25" s="319">
        <v>2.4084717320040001</v>
      </c>
      <c r="H25" s="321">
        <v>0</v>
      </c>
      <c r="I25" s="318">
        <v>0.38100000000000001</v>
      </c>
      <c r="J25" s="319">
        <v>-2.0274717320039999</v>
      </c>
      <c r="K25" s="322">
        <v>9.2278434098000003E-2</v>
      </c>
    </row>
    <row r="26" spans="1:11" ht="14.4" customHeight="1" thickBot="1" x14ac:dyDescent="0.35">
      <c r="A26" s="335" t="s">
        <v>238</v>
      </c>
      <c r="B26" s="313">
        <v>4.9999999999989999</v>
      </c>
      <c r="C26" s="313">
        <v>0</v>
      </c>
      <c r="D26" s="314">
        <v>-4.9999999999989999</v>
      </c>
      <c r="E26" s="315">
        <v>0</v>
      </c>
      <c r="F26" s="313">
        <v>4.1288086834350004</v>
      </c>
      <c r="G26" s="314">
        <v>2.4084717320040001</v>
      </c>
      <c r="H26" s="316">
        <v>0</v>
      </c>
      <c r="I26" s="313">
        <v>0.38100000000000001</v>
      </c>
      <c r="J26" s="314">
        <v>-2.0274717320039999</v>
      </c>
      <c r="K26" s="317">
        <v>9.2278434098000003E-2</v>
      </c>
    </row>
    <row r="27" spans="1:11" ht="14.4" customHeight="1" thickBot="1" x14ac:dyDescent="0.35">
      <c r="A27" s="333" t="s">
        <v>239</v>
      </c>
      <c r="B27" s="313">
        <v>436.00862774264698</v>
      </c>
      <c r="C27" s="313">
        <v>379.08800000000002</v>
      </c>
      <c r="D27" s="314">
        <v>-56.920627742645998</v>
      </c>
      <c r="E27" s="315">
        <v>0.86945068486900001</v>
      </c>
      <c r="F27" s="313">
        <v>425.99998658203202</v>
      </c>
      <c r="G27" s="314">
        <v>248.49999217285199</v>
      </c>
      <c r="H27" s="316">
        <v>59.369500000000002</v>
      </c>
      <c r="I27" s="313">
        <v>235.27350000000001</v>
      </c>
      <c r="J27" s="314">
        <v>-13.226492172852</v>
      </c>
      <c r="K27" s="317">
        <v>0.55228522866300001</v>
      </c>
    </row>
    <row r="28" spans="1:11" ht="14.4" customHeight="1" thickBot="1" x14ac:dyDescent="0.35">
      <c r="A28" s="334" t="s">
        <v>240</v>
      </c>
      <c r="B28" s="318">
        <v>116.008627742653</v>
      </c>
      <c r="C28" s="318">
        <v>103.002</v>
      </c>
      <c r="D28" s="319">
        <v>-13.006627742653</v>
      </c>
      <c r="E28" s="320">
        <v>0.88788223776300002</v>
      </c>
      <c r="F28" s="318">
        <v>112.999996440774</v>
      </c>
      <c r="G28" s="319">
        <v>65.916664590451006</v>
      </c>
      <c r="H28" s="321">
        <v>15.715</v>
      </c>
      <c r="I28" s="318">
        <v>63.484999999999999</v>
      </c>
      <c r="J28" s="319">
        <v>-2.4316645904510001</v>
      </c>
      <c r="K28" s="322">
        <v>0.56181417698699998</v>
      </c>
    </row>
    <row r="29" spans="1:11" ht="14.4" customHeight="1" thickBot="1" x14ac:dyDescent="0.35">
      <c r="A29" s="335" t="s">
        <v>241</v>
      </c>
      <c r="B29" s="313">
        <v>116.008627742653</v>
      </c>
      <c r="C29" s="313">
        <v>103.002</v>
      </c>
      <c r="D29" s="314">
        <v>-13.006627742653</v>
      </c>
      <c r="E29" s="315">
        <v>0.88788223776300002</v>
      </c>
      <c r="F29" s="313">
        <v>112.999996440774</v>
      </c>
      <c r="G29" s="314">
        <v>65.916664590451006</v>
      </c>
      <c r="H29" s="316">
        <v>15.715</v>
      </c>
      <c r="I29" s="313">
        <v>63.484999999999999</v>
      </c>
      <c r="J29" s="314">
        <v>-2.4316645904510001</v>
      </c>
      <c r="K29" s="317">
        <v>0.56181417698699998</v>
      </c>
    </row>
    <row r="30" spans="1:11" ht="14.4" customHeight="1" thickBot="1" x14ac:dyDescent="0.35">
      <c r="A30" s="334" t="s">
        <v>242</v>
      </c>
      <c r="B30" s="318">
        <v>319.99999999999301</v>
      </c>
      <c r="C30" s="318">
        <v>276.08600000000001</v>
      </c>
      <c r="D30" s="319">
        <v>-43.913999999993003</v>
      </c>
      <c r="E30" s="320">
        <v>0.86276874999999997</v>
      </c>
      <c r="F30" s="318">
        <v>312.99999014125899</v>
      </c>
      <c r="G30" s="319">
        <v>182.58332758240101</v>
      </c>
      <c r="H30" s="321">
        <v>43.654499999999999</v>
      </c>
      <c r="I30" s="318">
        <v>171.7885</v>
      </c>
      <c r="J30" s="319">
        <v>-10.7948275824</v>
      </c>
      <c r="K30" s="322">
        <v>0.54884506520999998</v>
      </c>
    </row>
    <row r="31" spans="1:11" ht="14.4" customHeight="1" thickBot="1" x14ac:dyDescent="0.35">
      <c r="A31" s="335" t="s">
        <v>243</v>
      </c>
      <c r="B31" s="313">
        <v>319.99999999999301</v>
      </c>
      <c r="C31" s="313">
        <v>276.08600000000001</v>
      </c>
      <c r="D31" s="314">
        <v>-43.913999999993003</v>
      </c>
      <c r="E31" s="315">
        <v>0.86276874999999997</v>
      </c>
      <c r="F31" s="313">
        <v>312.99999014125899</v>
      </c>
      <c r="G31" s="314">
        <v>182.58332758240101</v>
      </c>
      <c r="H31" s="316">
        <v>43.654499999999999</v>
      </c>
      <c r="I31" s="313">
        <v>171.7885</v>
      </c>
      <c r="J31" s="314">
        <v>-10.7948275824</v>
      </c>
      <c r="K31" s="317">
        <v>0.54884506520999998</v>
      </c>
    </row>
    <row r="32" spans="1:11" ht="14.4" customHeight="1" thickBot="1" x14ac:dyDescent="0.35">
      <c r="A32" s="333" t="s">
        <v>244</v>
      </c>
      <c r="B32" s="313">
        <v>12.999999999999</v>
      </c>
      <c r="C32" s="313">
        <v>11.48723</v>
      </c>
      <c r="D32" s="314">
        <v>-1.5127699999990001</v>
      </c>
      <c r="E32" s="315">
        <v>0.88363307692299997</v>
      </c>
      <c r="F32" s="313">
        <v>13.414763985666999</v>
      </c>
      <c r="G32" s="314">
        <v>7.8252789916390002</v>
      </c>
      <c r="H32" s="316">
        <v>1.7461500000000001</v>
      </c>
      <c r="I32" s="313">
        <v>7.0570199999999996</v>
      </c>
      <c r="J32" s="314">
        <v>-0.76825899163900002</v>
      </c>
      <c r="K32" s="317">
        <v>0.52606367190199999</v>
      </c>
    </row>
    <row r="33" spans="1:11" ht="14.4" customHeight="1" thickBot="1" x14ac:dyDescent="0.35">
      <c r="A33" s="334" t="s">
        <v>245</v>
      </c>
      <c r="B33" s="318">
        <v>12.999999999999</v>
      </c>
      <c r="C33" s="318">
        <v>11.48723</v>
      </c>
      <c r="D33" s="319">
        <v>-1.5127699999990001</v>
      </c>
      <c r="E33" s="320">
        <v>0.88363307692299997</v>
      </c>
      <c r="F33" s="318">
        <v>13.414763985666999</v>
      </c>
      <c r="G33" s="319">
        <v>7.8252789916390002</v>
      </c>
      <c r="H33" s="321">
        <v>1.7461500000000001</v>
      </c>
      <c r="I33" s="318">
        <v>7.0570199999999996</v>
      </c>
      <c r="J33" s="319">
        <v>-0.76825899163900002</v>
      </c>
      <c r="K33" s="322">
        <v>0.52606367190199999</v>
      </c>
    </row>
    <row r="34" spans="1:11" ht="14.4" customHeight="1" thickBot="1" x14ac:dyDescent="0.35">
      <c r="A34" s="335" t="s">
        <v>246</v>
      </c>
      <c r="B34" s="313">
        <v>12.999999999999</v>
      </c>
      <c r="C34" s="313">
        <v>11.48723</v>
      </c>
      <c r="D34" s="314">
        <v>-1.5127699999990001</v>
      </c>
      <c r="E34" s="315">
        <v>0.88363307692299997</v>
      </c>
      <c r="F34" s="313">
        <v>13.414763985666999</v>
      </c>
      <c r="G34" s="314">
        <v>7.8252789916390002</v>
      </c>
      <c r="H34" s="316">
        <v>1.7461500000000001</v>
      </c>
      <c r="I34" s="313">
        <v>7.0570199999999996</v>
      </c>
      <c r="J34" s="314">
        <v>-0.76825899163900002</v>
      </c>
      <c r="K34" s="317">
        <v>0.52606367190199999</v>
      </c>
    </row>
    <row r="35" spans="1:11" ht="14.4" customHeight="1" thickBot="1" x14ac:dyDescent="0.35">
      <c r="A35" s="332" t="s">
        <v>247</v>
      </c>
      <c r="B35" s="313">
        <v>0</v>
      </c>
      <c r="C35" s="313">
        <v>3.5</v>
      </c>
      <c r="D35" s="314">
        <v>3.5</v>
      </c>
      <c r="E35" s="323" t="s">
        <v>217</v>
      </c>
      <c r="F35" s="313">
        <v>0</v>
      </c>
      <c r="G35" s="314">
        <v>0</v>
      </c>
      <c r="H35" s="316">
        <v>0</v>
      </c>
      <c r="I35" s="313">
        <v>0</v>
      </c>
      <c r="J35" s="314">
        <v>0</v>
      </c>
      <c r="K35" s="324" t="s">
        <v>217</v>
      </c>
    </row>
    <row r="36" spans="1:11" ht="14.4" customHeight="1" thickBot="1" x14ac:dyDescent="0.35">
      <c r="A36" s="333" t="s">
        <v>248</v>
      </c>
      <c r="B36" s="313">
        <v>0</v>
      </c>
      <c r="C36" s="313">
        <v>3.5</v>
      </c>
      <c r="D36" s="314">
        <v>3.5</v>
      </c>
      <c r="E36" s="323" t="s">
        <v>217</v>
      </c>
      <c r="F36" s="313">
        <v>0</v>
      </c>
      <c r="G36" s="314">
        <v>0</v>
      </c>
      <c r="H36" s="316">
        <v>0</v>
      </c>
      <c r="I36" s="313">
        <v>0</v>
      </c>
      <c r="J36" s="314">
        <v>0</v>
      </c>
      <c r="K36" s="324" t="s">
        <v>217</v>
      </c>
    </row>
    <row r="37" spans="1:11" ht="14.4" customHeight="1" thickBot="1" x14ac:dyDescent="0.35">
      <c r="A37" s="334" t="s">
        <v>249</v>
      </c>
      <c r="B37" s="318">
        <v>0</v>
      </c>
      <c r="C37" s="318">
        <v>3.5</v>
      </c>
      <c r="D37" s="319">
        <v>3.5</v>
      </c>
      <c r="E37" s="325" t="s">
        <v>217</v>
      </c>
      <c r="F37" s="318">
        <v>0</v>
      </c>
      <c r="G37" s="319">
        <v>0</v>
      </c>
      <c r="H37" s="321">
        <v>0</v>
      </c>
      <c r="I37" s="318">
        <v>0</v>
      </c>
      <c r="J37" s="319">
        <v>0</v>
      </c>
      <c r="K37" s="326" t="s">
        <v>217</v>
      </c>
    </row>
    <row r="38" spans="1:11" ht="14.4" customHeight="1" thickBot="1" x14ac:dyDescent="0.35">
      <c r="A38" s="335" t="s">
        <v>250</v>
      </c>
      <c r="B38" s="313">
        <v>0</v>
      </c>
      <c r="C38" s="313">
        <v>3.5</v>
      </c>
      <c r="D38" s="314">
        <v>3.5</v>
      </c>
      <c r="E38" s="323" t="s">
        <v>217</v>
      </c>
      <c r="F38" s="313">
        <v>0</v>
      </c>
      <c r="G38" s="314">
        <v>0</v>
      </c>
      <c r="H38" s="316">
        <v>0</v>
      </c>
      <c r="I38" s="313">
        <v>0</v>
      </c>
      <c r="J38" s="314">
        <v>0</v>
      </c>
      <c r="K38" s="324" t="s">
        <v>217</v>
      </c>
    </row>
    <row r="39" spans="1:11" ht="14.4" customHeight="1" thickBot="1" x14ac:dyDescent="0.35">
      <c r="A39" s="331" t="s">
        <v>251</v>
      </c>
      <c r="B39" s="313">
        <v>66.057504682323</v>
      </c>
      <c r="C39" s="313">
        <v>90.79177</v>
      </c>
      <c r="D39" s="314">
        <v>24.734265317676002</v>
      </c>
      <c r="E39" s="315">
        <v>1.374435356537</v>
      </c>
      <c r="F39" s="313">
        <v>44.000000000010999</v>
      </c>
      <c r="G39" s="314">
        <v>25.666666666672999</v>
      </c>
      <c r="H39" s="316">
        <v>3.05145</v>
      </c>
      <c r="I39" s="313">
        <v>27.14864</v>
      </c>
      <c r="J39" s="314">
        <v>1.4819733333259999</v>
      </c>
      <c r="K39" s="317">
        <v>0.61701454545400003</v>
      </c>
    </row>
    <row r="40" spans="1:11" ht="14.4" customHeight="1" thickBot="1" x14ac:dyDescent="0.35">
      <c r="A40" s="332" t="s">
        <v>252</v>
      </c>
      <c r="B40" s="313">
        <v>63</v>
      </c>
      <c r="C40" s="313">
        <v>44.062980000000003</v>
      </c>
      <c r="D40" s="314">
        <v>-18.93702</v>
      </c>
      <c r="E40" s="315">
        <v>0.69941238095199998</v>
      </c>
      <c r="F40" s="313">
        <v>44.000000000010999</v>
      </c>
      <c r="G40" s="314">
        <v>25.666666666672999</v>
      </c>
      <c r="H40" s="316">
        <v>3.05145</v>
      </c>
      <c r="I40" s="313">
        <v>27.14864</v>
      </c>
      <c r="J40" s="314">
        <v>1.4819733333259999</v>
      </c>
      <c r="K40" s="317">
        <v>0.61701454545400003</v>
      </c>
    </row>
    <row r="41" spans="1:11" ht="14.4" customHeight="1" thickBot="1" x14ac:dyDescent="0.35">
      <c r="A41" s="333" t="s">
        <v>253</v>
      </c>
      <c r="B41" s="313">
        <v>63</v>
      </c>
      <c r="C41" s="313">
        <v>44.062980000000003</v>
      </c>
      <c r="D41" s="314">
        <v>-18.93702</v>
      </c>
      <c r="E41" s="315">
        <v>0.69941238095199998</v>
      </c>
      <c r="F41" s="313">
        <v>44.000000000010999</v>
      </c>
      <c r="G41" s="314">
        <v>25.666666666672999</v>
      </c>
      <c r="H41" s="316">
        <v>3.05145</v>
      </c>
      <c r="I41" s="313">
        <v>27.14864</v>
      </c>
      <c r="J41" s="314">
        <v>1.4819733333259999</v>
      </c>
      <c r="K41" s="317">
        <v>0.61701454545400003</v>
      </c>
    </row>
    <row r="42" spans="1:11" ht="14.4" customHeight="1" thickBot="1" x14ac:dyDescent="0.35">
      <c r="A42" s="334" t="s">
        <v>254</v>
      </c>
      <c r="B42" s="318">
        <v>63</v>
      </c>
      <c r="C42" s="318">
        <v>39.99259</v>
      </c>
      <c r="D42" s="319">
        <v>-23.00741</v>
      </c>
      <c r="E42" s="320">
        <v>0.63480301587300003</v>
      </c>
      <c r="F42" s="318">
        <v>44.000000000010999</v>
      </c>
      <c r="G42" s="319">
        <v>25.666666666672999</v>
      </c>
      <c r="H42" s="321">
        <v>2.4855</v>
      </c>
      <c r="I42" s="318">
        <v>25.182939999999999</v>
      </c>
      <c r="J42" s="319">
        <v>-0.48372666667300002</v>
      </c>
      <c r="K42" s="322">
        <v>0.57233954545400001</v>
      </c>
    </row>
    <row r="43" spans="1:11" ht="14.4" customHeight="1" thickBot="1" x14ac:dyDescent="0.35">
      <c r="A43" s="335" t="s">
        <v>255</v>
      </c>
      <c r="B43" s="313">
        <v>31</v>
      </c>
      <c r="C43" s="313">
        <v>19.9404</v>
      </c>
      <c r="D43" s="314">
        <v>-11.0596</v>
      </c>
      <c r="E43" s="315">
        <v>0.64323870967700003</v>
      </c>
      <c r="F43" s="313">
        <v>23.000000000006001</v>
      </c>
      <c r="G43" s="314">
        <v>13.41666666667</v>
      </c>
      <c r="H43" s="316">
        <v>1.3380799999999999</v>
      </c>
      <c r="I43" s="313">
        <v>10.611800000000001</v>
      </c>
      <c r="J43" s="314">
        <v>-2.8048666666700002</v>
      </c>
      <c r="K43" s="317">
        <v>0.46138260869499997</v>
      </c>
    </row>
    <row r="44" spans="1:11" ht="14.4" customHeight="1" thickBot="1" x14ac:dyDescent="0.35">
      <c r="A44" s="335" t="s">
        <v>256</v>
      </c>
      <c r="B44" s="313">
        <v>32</v>
      </c>
      <c r="C44" s="313">
        <v>20.05219</v>
      </c>
      <c r="D44" s="314">
        <v>-11.94781</v>
      </c>
      <c r="E44" s="315">
        <v>0.62663093749999998</v>
      </c>
      <c r="F44" s="313">
        <v>21.000000000004999</v>
      </c>
      <c r="G44" s="314">
        <v>12.250000000003</v>
      </c>
      <c r="H44" s="316">
        <v>1.1474200000000001</v>
      </c>
      <c r="I44" s="313">
        <v>14.57114</v>
      </c>
      <c r="J44" s="314">
        <v>2.3211399999959998</v>
      </c>
      <c r="K44" s="317">
        <v>0.69386380952299997</v>
      </c>
    </row>
    <row r="45" spans="1:11" ht="14.4" customHeight="1" thickBot="1" x14ac:dyDescent="0.35">
      <c r="A45" s="334" t="s">
        <v>257</v>
      </c>
      <c r="B45" s="318">
        <v>0</v>
      </c>
      <c r="C45" s="318">
        <v>4.0703899999999997</v>
      </c>
      <c r="D45" s="319">
        <v>4.0703899999999997</v>
      </c>
      <c r="E45" s="325" t="s">
        <v>217</v>
      </c>
      <c r="F45" s="318">
        <v>0</v>
      </c>
      <c r="G45" s="319">
        <v>0</v>
      </c>
      <c r="H45" s="321">
        <v>0.56594999999999995</v>
      </c>
      <c r="I45" s="318">
        <v>1.9657</v>
      </c>
      <c r="J45" s="319">
        <v>1.9657</v>
      </c>
      <c r="K45" s="326" t="s">
        <v>217</v>
      </c>
    </row>
    <row r="46" spans="1:11" ht="14.4" customHeight="1" thickBot="1" x14ac:dyDescent="0.35">
      <c r="A46" s="335" t="s">
        <v>258</v>
      </c>
      <c r="B46" s="313">
        <v>0</v>
      </c>
      <c r="C46" s="313">
        <v>0.19932</v>
      </c>
      <c r="D46" s="314">
        <v>0.19932</v>
      </c>
      <c r="E46" s="323" t="s">
        <v>217</v>
      </c>
      <c r="F46" s="313">
        <v>0</v>
      </c>
      <c r="G46" s="314">
        <v>0</v>
      </c>
      <c r="H46" s="316">
        <v>0</v>
      </c>
      <c r="I46" s="313">
        <v>0.50183999999999995</v>
      </c>
      <c r="J46" s="314">
        <v>0.50183999999999995</v>
      </c>
      <c r="K46" s="324" t="s">
        <v>217</v>
      </c>
    </row>
    <row r="47" spans="1:11" ht="14.4" customHeight="1" thickBot="1" x14ac:dyDescent="0.35">
      <c r="A47" s="335" t="s">
        <v>259</v>
      </c>
      <c r="B47" s="313">
        <v>0</v>
      </c>
      <c r="C47" s="313">
        <v>3.87107</v>
      </c>
      <c r="D47" s="314">
        <v>3.87107</v>
      </c>
      <c r="E47" s="323" t="s">
        <v>217</v>
      </c>
      <c r="F47" s="313">
        <v>0</v>
      </c>
      <c r="G47" s="314">
        <v>0</v>
      </c>
      <c r="H47" s="316">
        <v>0.56594999999999995</v>
      </c>
      <c r="I47" s="313">
        <v>1.4638599999999999</v>
      </c>
      <c r="J47" s="314">
        <v>1.4638599999999999</v>
      </c>
      <c r="K47" s="324" t="s">
        <v>217</v>
      </c>
    </row>
    <row r="48" spans="1:11" ht="14.4" customHeight="1" thickBot="1" x14ac:dyDescent="0.35">
      <c r="A48" s="332" t="s">
        <v>260</v>
      </c>
      <c r="B48" s="313">
        <v>3.0575046823230001</v>
      </c>
      <c r="C48" s="313">
        <v>0</v>
      </c>
      <c r="D48" s="314">
        <v>-3.0575046823230001</v>
      </c>
      <c r="E48" s="315">
        <v>0</v>
      </c>
      <c r="F48" s="313">
        <v>0</v>
      </c>
      <c r="G48" s="314">
        <v>0</v>
      </c>
      <c r="H48" s="316">
        <v>0</v>
      </c>
      <c r="I48" s="313">
        <v>0</v>
      </c>
      <c r="J48" s="314">
        <v>0</v>
      </c>
      <c r="K48" s="324" t="s">
        <v>217</v>
      </c>
    </row>
    <row r="49" spans="1:11" ht="14.4" customHeight="1" thickBot="1" x14ac:dyDescent="0.35">
      <c r="A49" s="337" t="s">
        <v>261</v>
      </c>
      <c r="B49" s="318">
        <v>3.0575046823230001</v>
      </c>
      <c r="C49" s="318">
        <v>0</v>
      </c>
      <c r="D49" s="319">
        <v>-3.0575046823230001</v>
      </c>
      <c r="E49" s="320">
        <v>0</v>
      </c>
      <c r="F49" s="318">
        <v>0</v>
      </c>
      <c r="G49" s="319">
        <v>0</v>
      </c>
      <c r="H49" s="321">
        <v>0</v>
      </c>
      <c r="I49" s="318">
        <v>0</v>
      </c>
      <c r="J49" s="319">
        <v>0</v>
      </c>
      <c r="K49" s="326" t="s">
        <v>217</v>
      </c>
    </row>
    <row r="50" spans="1:11" ht="14.4" customHeight="1" thickBot="1" x14ac:dyDescent="0.35">
      <c r="A50" s="334" t="s">
        <v>262</v>
      </c>
      <c r="B50" s="318">
        <v>3.0575046823230001</v>
      </c>
      <c r="C50" s="318">
        <v>0</v>
      </c>
      <c r="D50" s="319">
        <v>-3.0575046823230001</v>
      </c>
      <c r="E50" s="320">
        <v>0</v>
      </c>
      <c r="F50" s="318">
        <v>0</v>
      </c>
      <c r="G50" s="319">
        <v>0</v>
      </c>
      <c r="H50" s="321">
        <v>0</v>
      </c>
      <c r="I50" s="318">
        <v>0</v>
      </c>
      <c r="J50" s="319">
        <v>0</v>
      </c>
      <c r="K50" s="322">
        <v>0</v>
      </c>
    </row>
    <row r="51" spans="1:11" ht="14.4" customHeight="1" thickBot="1" x14ac:dyDescent="0.35">
      <c r="A51" s="335" t="s">
        <v>263</v>
      </c>
      <c r="B51" s="313">
        <v>3.0575046823230001</v>
      </c>
      <c r="C51" s="313">
        <v>0</v>
      </c>
      <c r="D51" s="314">
        <v>-3.0575046823230001</v>
      </c>
      <c r="E51" s="315">
        <v>0</v>
      </c>
      <c r="F51" s="313">
        <v>0</v>
      </c>
      <c r="G51" s="314">
        <v>0</v>
      </c>
      <c r="H51" s="316">
        <v>0</v>
      </c>
      <c r="I51" s="313">
        <v>0</v>
      </c>
      <c r="J51" s="314">
        <v>0</v>
      </c>
      <c r="K51" s="317">
        <v>0</v>
      </c>
    </row>
    <row r="52" spans="1:11" ht="14.4" customHeight="1" thickBot="1" x14ac:dyDescent="0.35">
      <c r="A52" s="332" t="s">
        <v>264</v>
      </c>
      <c r="B52" s="313">
        <v>0</v>
      </c>
      <c r="C52" s="313">
        <v>46.728789999999996</v>
      </c>
      <c r="D52" s="314">
        <v>46.728789999999996</v>
      </c>
      <c r="E52" s="323" t="s">
        <v>224</v>
      </c>
      <c r="F52" s="313">
        <v>0</v>
      </c>
      <c r="G52" s="314">
        <v>0</v>
      </c>
      <c r="H52" s="316">
        <v>0</v>
      </c>
      <c r="I52" s="313">
        <v>0</v>
      </c>
      <c r="J52" s="314">
        <v>0</v>
      </c>
      <c r="K52" s="317">
        <v>0</v>
      </c>
    </row>
    <row r="53" spans="1:11" ht="14.4" customHeight="1" thickBot="1" x14ac:dyDescent="0.35">
      <c r="A53" s="337" t="s">
        <v>265</v>
      </c>
      <c r="B53" s="318">
        <v>0</v>
      </c>
      <c r="C53" s="318">
        <v>46.728789999999996</v>
      </c>
      <c r="D53" s="319">
        <v>46.728789999999996</v>
      </c>
      <c r="E53" s="325" t="s">
        <v>224</v>
      </c>
      <c r="F53" s="318">
        <v>0</v>
      </c>
      <c r="G53" s="319">
        <v>0</v>
      </c>
      <c r="H53" s="321">
        <v>0</v>
      </c>
      <c r="I53" s="318">
        <v>0</v>
      </c>
      <c r="J53" s="319">
        <v>0</v>
      </c>
      <c r="K53" s="322">
        <v>0</v>
      </c>
    </row>
    <row r="54" spans="1:11" ht="14.4" customHeight="1" thickBot="1" x14ac:dyDescent="0.35">
      <c r="A54" s="334" t="s">
        <v>266</v>
      </c>
      <c r="B54" s="318">
        <v>0</v>
      </c>
      <c r="C54" s="318">
        <v>46.728789999999996</v>
      </c>
      <c r="D54" s="319">
        <v>46.728789999999996</v>
      </c>
      <c r="E54" s="325" t="s">
        <v>224</v>
      </c>
      <c r="F54" s="318">
        <v>0</v>
      </c>
      <c r="G54" s="319">
        <v>0</v>
      </c>
      <c r="H54" s="321">
        <v>0</v>
      </c>
      <c r="I54" s="318">
        <v>0</v>
      </c>
      <c r="J54" s="319">
        <v>0</v>
      </c>
      <c r="K54" s="322">
        <v>0</v>
      </c>
    </row>
    <row r="55" spans="1:11" ht="14.4" customHeight="1" thickBot="1" x14ac:dyDescent="0.35">
      <c r="A55" s="335" t="s">
        <v>267</v>
      </c>
      <c r="B55" s="313">
        <v>0</v>
      </c>
      <c r="C55" s="313">
        <v>46.728789999999996</v>
      </c>
      <c r="D55" s="314">
        <v>46.728789999999996</v>
      </c>
      <c r="E55" s="323" t="s">
        <v>224</v>
      </c>
      <c r="F55" s="313">
        <v>0</v>
      </c>
      <c r="G55" s="314">
        <v>0</v>
      </c>
      <c r="H55" s="316">
        <v>0</v>
      </c>
      <c r="I55" s="313">
        <v>0</v>
      </c>
      <c r="J55" s="314">
        <v>0</v>
      </c>
      <c r="K55" s="317">
        <v>0</v>
      </c>
    </row>
    <row r="56" spans="1:11" ht="14.4" customHeight="1" thickBot="1" x14ac:dyDescent="0.35">
      <c r="A56" s="331" t="s">
        <v>268</v>
      </c>
      <c r="B56" s="313">
        <v>367</v>
      </c>
      <c r="C56" s="313">
        <v>328.03831000000002</v>
      </c>
      <c r="D56" s="314">
        <v>-38.961689999999997</v>
      </c>
      <c r="E56" s="315">
        <v>0.89383735694800004</v>
      </c>
      <c r="F56" s="313">
        <v>290.69688242625398</v>
      </c>
      <c r="G56" s="314">
        <v>169.57318141531499</v>
      </c>
      <c r="H56" s="316">
        <v>33.495780000000003</v>
      </c>
      <c r="I56" s="313">
        <v>163.40475000000001</v>
      </c>
      <c r="J56" s="314">
        <v>-6.1684314153140001</v>
      </c>
      <c r="K56" s="317">
        <v>0.56211387145299996</v>
      </c>
    </row>
    <row r="57" spans="1:11" ht="14.4" customHeight="1" thickBot="1" x14ac:dyDescent="0.35">
      <c r="A57" s="336" t="s">
        <v>269</v>
      </c>
      <c r="B57" s="318">
        <v>367</v>
      </c>
      <c r="C57" s="318">
        <v>328.03831000000002</v>
      </c>
      <c r="D57" s="319">
        <v>-38.961689999999997</v>
      </c>
      <c r="E57" s="320">
        <v>0.89383735694800004</v>
      </c>
      <c r="F57" s="318">
        <v>290.69688242625398</v>
      </c>
      <c r="G57" s="319">
        <v>169.57318141531499</v>
      </c>
      <c r="H57" s="321">
        <v>33.495780000000003</v>
      </c>
      <c r="I57" s="318">
        <v>163.40475000000001</v>
      </c>
      <c r="J57" s="319">
        <v>-6.1684314153140001</v>
      </c>
      <c r="K57" s="322">
        <v>0.56211387145299996</v>
      </c>
    </row>
    <row r="58" spans="1:11" ht="14.4" customHeight="1" thickBot="1" x14ac:dyDescent="0.35">
      <c r="A58" s="337" t="s">
        <v>30</v>
      </c>
      <c r="B58" s="318">
        <v>367</v>
      </c>
      <c r="C58" s="318">
        <v>328.03831000000002</v>
      </c>
      <c r="D58" s="319">
        <v>-38.961689999999997</v>
      </c>
      <c r="E58" s="320">
        <v>0.89383735694800004</v>
      </c>
      <c r="F58" s="318">
        <v>290.69688242625398</v>
      </c>
      <c r="G58" s="319">
        <v>169.57318141531499</v>
      </c>
      <c r="H58" s="321">
        <v>33.495780000000003</v>
      </c>
      <c r="I58" s="318">
        <v>163.40475000000001</v>
      </c>
      <c r="J58" s="319">
        <v>-6.1684314153140001</v>
      </c>
      <c r="K58" s="322">
        <v>0.56211387145299996</v>
      </c>
    </row>
    <row r="59" spans="1:11" ht="14.4" customHeight="1" thickBot="1" x14ac:dyDescent="0.35">
      <c r="A59" s="334" t="s">
        <v>270</v>
      </c>
      <c r="B59" s="318">
        <v>179</v>
      </c>
      <c r="C59" s="318">
        <v>157.04347999999999</v>
      </c>
      <c r="D59" s="319">
        <v>-21.956520000000001</v>
      </c>
      <c r="E59" s="320">
        <v>0.87733787709400002</v>
      </c>
      <c r="F59" s="318">
        <v>125</v>
      </c>
      <c r="G59" s="319">
        <v>72.916666666666003</v>
      </c>
      <c r="H59" s="321">
        <v>9.6164699999999996</v>
      </c>
      <c r="I59" s="318">
        <v>63.242820000000002</v>
      </c>
      <c r="J59" s="319">
        <v>-9.6738466666659999</v>
      </c>
      <c r="K59" s="322">
        <v>0.50594256000000004</v>
      </c>
    </row>
    <row r="60" spans="1:11" ht="14.4" customHeight="1" thickBot="1" x14ac:dyDescent="0.35">
      <c r="A60" s="335" t="s">
        <v>271</v>
      </c>
      <c r="B60" s="313">
        <v>178</v>
      </c>
      <c r="C60" s="313">
        <v>155.70818</v>
      </c>
      <c r="D60" s="314">
        <v>-22.291820000000001</v>
      </c>
      <c r="E60" s="315">
        <v>0.87476505617900002</v>
      </c>
      <c r="F60" s="313">
        <v>125</v>
      </c>
      <c r="G60" s="314">
        <v>72.916666666666003</v>
      </c>
      <c r="H60" s="316">
        <v>9.6164699999999996</v>
      </c>
      <c r="I60" s="313">
        <v>63.242820000000002</v>
      </c>
      <c r="J60" s="314">
        <v>-9.6738466666659999</v>
      </c>
      <c r="K60" s="317">
        <v>0.50594256000000004</v>
      </c>
    </row>
    <row r="61" spans="1:11" ht="14.4" customHeight="1" thickBot="1" x14ac:dyDescent="0.35">
      <c r="A61" s="335" t="s">
        <v>272</v>
      </c>
      <c r="B61" s="313">
        <v>1</v>
      </c>
      <c r="C61" s="313">
        <v>1.3352999999999999</v>
      </c>
      <c r="D61" s="314">
        <v>0.33529999999900001</v>
      </c>
      <c r="E61" s="315">
        <v>1.3352999999999999</v>
      </c>
      <c r="F61" s="313">
        <v>0</v>
      </c>
      <c r="G61" s="314">
        <v>0</v>
      </c>
      <c r="H61" s="316">
        <v>0</v>
      </c>
      <c r="I61" s="313">
        <v>0</v>
      </c>
      <c r="J61" s="314">
        <v>0</v>
      </c>
      <c r="K61" s="324" t="s">
        <v>217</v>
      </c>
    </row>
    <row r="62" spans="1:11" ht="14.4" customHeight="1" thickBot="1" x14ac:dyDescent="0.35">
      <c r="A62" s="334" t="s">
        <v>273</v>
      </c>
      <c r="B62" s="318">
        <v>188</v>
      </c>
      <c r="C62" s="318">
        <v>170.99483000000001</v>
      </c>
      <c r="D62" s="319">
        <v>-17.00517</v>
      </c>
      <c r="E62" s="320">
        <v>0.90954696808500002</v>
      </c>
      <c r="F62" s="318">
        <v>165.69688242625401</v>
      </c>
      <c r="G62" s="319">
        <v>96.656514748647993</v>
      </c>
      <c r="H62" s="321">
        <v>23.87931</v>
      </c>
      <c r="I62" s="318">
        <v>100.16193</v>
      </c>
      <c r="J62" s="319">
        <v>3.5054152513510002</v>
      </c>
      <c r="K62" s="322">
        <v>0.60448892298599999</v>
      </c>
    </row>
    <row r="63" spans="1:11" ht="14.4" customHeight="1" thickBot="1" x14ac:dyDescent="0.35">
      <c r="A63" s="335" t="s">
        <v>274</v>
      </c>
      <c r="B63" s="313">
        <v>188</v>
      </c>
      <c r="C63" s="313">
        <v>170.99483000000001</v>
      </c>
      <c r="D63" s="314">
        <v>-17.00517</v>
      </c>
      <c r="E63" s="315">
        <v>0.90954696808500002</v>
      </c>
      <c r="F63" s="313">
        <v>165.69688242625401</v>
      </c>
      <c r="G63" s="314">
        <v>96.656514748647993</v>
      </c>
      <c r="H63" s="316">
        <v>23.87931</v>
      </c>
      <c r="I63" s="313">
        <v>100.16193</v>
      </c>
      <c r="J63" s="314">
        <v>3.5054152513510002</v>
      </c>
      <c r="K63" s="317">
        <v>0.60448892298599999</v>
      </c>
    </row>
    <row r="64" spans="1:11" ht="14.4" customHeight="1" thickBot="1" x14ac:dyDescent="0.35">
      <c r="A64" s="338"/>
      <c r="B64" s="313">
        <v>-2033.9042921950099</v>
      </c>
      <c r="C64" s="313">
        <v>-1777.4667300000001</v>
      </c>
      <c r="D64" s="314">
        <v>256.43756219501199</v>
      </c>
      <c r="E64" s="315">
        <v>0.87391856972799997</v>
      </c>
      <c r="F64" s="313">
        <v>-1944.5535246659599</v>
      </c>
      <c r="G64" s="314">
        <v>-1134.32288938848</v>
      </c>
      <c r="H64" s="316">
        <v>-266.17797999999999</v>
      </c>
      <c r="I64" s="313">
        <v>-1086.2976000000001</v>
      </c>
      <c r="J64" s="314">
        <v>48.025289388475002</v>
      </c>
      <c r="K64" s="317">
        <v>0.55863599855699997</v>
      </c>
    </row>
    <row r="65" spans="1:11" ht="14.4" customHeight="1" thickBot="1" x14ac:dyDescent="0.35">
      <c r="A65" s="339" t="s">
        <v>42</v>
      </c>
      <c r="B65" s="327">
        <v>-2033.9042921950099</v>
      </c>
      <c r="C65" s="327">
        <v>-1777.4667300000001</v>
      </c>
      <c r="D65" s="328">
        <v>256.43756219501199</v>
      </c>
      <c r="E65" s="329">
        <v>-0.40818107954299998</v>
      </c>
      <c r="F65" s="327">
        <v>-1944.5535246659599</v>
      </c>
      <c r="G65" s="328">
        <v>-1134.32288938848</v>
      </c>
      <c r="H65" s="327">
        <v>-266.17797999999999</v>
      </c>
      <c r="I65" s="327">
        <v>-1086.2976000000001</v>
      </c>
      <c r="J65" s="328">
        <v>48.025289388475002</v>
      </c>
      <c r="K65" s="330">
        <v>0.55863599855699997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21" width="13.109375" hidden="1" customWidth="1"/>
    <col min="22" max="22" width="13.109375" customWidth="1"/>
    <col min="23" max="33" width="13.109375" hidden="1" customWidth="1"/>
    <col min="34" max="34" width="13.109375" customWidth="1"/>
  </cols>
  <sheetData>
    <row r="1" spans="1:35" ht="18.600000000000001" thickBot="1" x14ac:dyDescent="0.4">
      <c r="A1" s="289" t="s">
        <v>82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</row>
    <row r="2" spans="1:35" ht="15" thickBot="1" x14ac:dyDescent="0.35">
      <c r="A2" s="191" t="s">
        <v>216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</row>
    <row r="3" spans="1:35" x14ac:dyDescent="0.3">
      <c r="A3" s="210" t="s">
        <v>151</v>
      </c>
      <c r="B3" s="290" t="s">
        <v>132</v>
      </c>
      <c r="C3" s="193">
        <v>0</v>
      </c>
      <c r="D3" s="194">
        <v>101</v>
      </c>
      <c r="E3" s="194">
        <v>102</v>
      </c>
      <c r="F3" s="213">
        <v>305</v>
      </c>
      <c r="G3" s="213">
        <v>306</v>
      </c>
      <c r="H3" s="213">
        <v>407</v>
      </c>
      <c r="I3" s="213">
        <v>408</v>
      </c>
      <c r="J3" s="213">
        <v>409</v>
      </c>
      <c r="K3" s="213">
        <v>410</v>
      </c>
      <c r="L3" s="213">
        <v>415</v>
      </c>
      <c r="M3" s="213">
        <v>416</v>
      </c>
      <c r="N3" s="213">
        <v>418</v>
      </c>
      <c r="O3" s="213">
        <v>419</v>
      </c>
      <c r="P3" s="213">
        <v>420</v>
      </c>
      <c r="Q3" s="213">
        <v>421</v>
      </c>
      <c r="R3" s="213">
        <v>522</v>
      </c>
      <c r="S3" s="213">
        <v>523</v>
      </c>
      <c r="T3" s="213">
        <v>524</v>
      </c>
      <c r="U3" s="213">
        <v>525</v>
      </c>
      <c r="V3" s="213">
        <v>526</v>
      </c>
      <c r="W3" s="213">
        <v>527</v>
      </c>
      <c r="X3" s="213">
        <v>528</v>
      </c>
      <c r="Y3" s="213">
        <v>629</v>
      </c>
      <c r="Z3" s="213">
        <v>630</v>
      </c>
      <c r="AA3" s="213">
        <v>636</v>
      </c>
      <c r="AB3" s="213">
        <v>637</v>
      </c>
      <c r="AC3" s="213">
        <v>640</v>
      </c>
      <c r="AD3" s="213">
        <v>642</v>
      </c>
      <c r="AE3" s="213">
        <v>743</v>
      </c>
      <c r="AF3" s="194">
        <v>745</v>
      </c>
      <c r="AG3" s="194">
        <v>746</v>
      </c>
      <c r="AH3" s="349">
        <v>930</v>
      </c>
      <c r="AI3" s="365"/>
    </row>
    <row r="4" spans="1:35" ht="36.6" outlineLevel="1" thickBot="1" x14ac:dyDescent="0.35">
      <c r="A4" s="211">
        <v>2015</v>
      </c>
      <c r="B4" s="291"/>
      <c r="C4" s="195" t="s">
        <v>133</v>
      </c>
      <c r="D4" s="196" t="s">
        <v>134</v>
      </c>
      <c r="E4" s="196" t="s">
        <v>135</v>
      </c>
      <c r="F4" s="214" t="s">
        <v>163</v>
      </c>
      <c r="G4" s="214" t="s">
        <v>164</v>
      </c>
      <c r="H4" s="214" t="s">
        <v>214</v>
      </c>
      <c r="I4" s="214" t="s">
        <v>165</v>
      </c>
      <c r="J4" s="214" t="s">
        <v>166</v>
      </c>
      <c r="K4" s="214" t="s">
        <v>167</v>
      </c>
      <c r="L4" s="214" t="s">
        <v>168</v>
      </c>
      <c r="M4" s="214" t="s">
        <v>169</v>
      </c>
      <c r="N4" s="214" t="s">
        <v>170</v>
      </c>
      <c r="O4" s="214" t="s">
        <v>171</v>
      </c>
      <c r="P4" s="214" t="s">
        <v>172</v>
      </c>
      <c r="Q4" s="214" t="s">
        <v>173</v>
      </c>
      <c r="R4" s="214" t="s">
        <v>174</v>
      </c>
      <c r="S4" s="214" t="s">
        <v>175</v>
      </c>
      <c r="T4" s="214" t="s">
        <v>176</v>
      </c>
      <c r="U4" s="214" t="s">
        <v>177</v>
      </c>
      <c r="V4" s="214" t="s">
        <v>178</v>
      </c>
      <c r="W4" s="214" t="s">
        <v>179</v>
      </c>
      <c r="X4" s="214" t="s">
        <v>188</v>
      </c>
      <c r="Y4" s="214" t="s">
        <v>180</v>
      </c>
      <c r="Z4" s="214" t="s">
        <v>189</v>
      </c>
      <c r="AA4" s="214" t="s">
        <v>181</v>
      </c>
      <c r="AB4" s="214" t="s">
        <v>182</v>
      </c>
      <c r="AC4" s="214" t="s">
        <v>183</v>
      </c>
      <c r="AD4" s="214" t="s">
        <v>184</v>
      </c>
      <c r="AE4" s="214" t="s">
        <v>185</v>
      </c>
      <c r="AF4" s="196" t="s">
        <v>186</v>
      </c>
      <c r="AG4" s="196" t="s">
        <v>187</v>
      </c>
      <c r="AH4" s="350" t="s">
        <v>153</v>
      </c>
      <c r="AI4" s="365"/>
    </row>
    <row r="5" spans="1:35" x14ac:dyDescent="0.3">
      <c r="A5" s="197" t="s">
        <v>136</v>
      </c>
      <c r="B5" s="233"/>
      <c r="C5" s="234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35"/>
      <c r="AB5" s="235"/>
      <c r="AC5" s="235"/>
      <c r="AD5" s="235"/>
      <c r="AE5" s="235"/>
      <c r="AF5" s="235"/>
      <c r="AG5" s="235"/>
      <c r="AH5" s="351"/>
      <c r="AI5" s="365"/>
    </row>
    <row r="6" spans="1:35" ht="15" collapsed="1" thickBot="1" x14ac:dyDescent="0.35">
      <c r="A6" s="198" t="s">
        <v>49</v>
      </c>
      <c r="B6" s="236">
        <f xml:space="preserve">
TRUNC(IF($A$4&lt;=12,SUMIFS('ON Data'!F:F,'ON Data'!$D:$D,$A$4,'ON Data'!$E:$E,1),SUMIFS('ON Data'!F:F,'ON Data'!$E:$E,1)/'ON Data'!$D$3),1)</f>
        <v>2.6</v>
      </c>
      <c r="C6" s="237">
        <f xml:space="preserve">
TRUNC(IF($A$4&lt;=12,SUMIFS('ON Data'!G:G,'ON Data'!$D:$D,$A$4,'ON Data'!$E:$E,1),SUMIFS('ON Data'!G:G,'ON Data'!$E:$E,1)/'ON Data'!$D$3),1)</f>
        <v>0</v>
      </c>
      <c r="D6" s="238">
        <f xml:space="preserve">
TRUNC(IF($A$4&lt;=12,SUMIFS('ON Data'!H:H,'ON Data'!$D:$D,$A$4,'ON Data'!$E:$E,1),SUMIFS('ON Data'!H:H,'ON Data'!$E:$E,1)/'ON Data'!$D$3),1)</f>
        <v>2</v>
      </c>
      <c r="E6" s="238">
        <f xml:space="preserve">
TRUNC(IF($A$4&lt;=12,SUMIFS('ON Data'!I:I,'ON Data'!$D:$D,$A$4,'ON Data'!$E:$E,1),SUMIFS('ON Data'!I:I,'ON Data'!$E:$E,1)/'ON Data'!$D$3),1)</f>
        <v>0</v>
      </c>
      <c r="F6" s="238">
        <f xml:space="preserve">
TRUNC(IF($A$4&lt;=12,SUMIFS('ON Data'!K:K,'ON Data'!$D:$D,$A$4,'ON Data'!$E:$E,1),SUMIFS('ON Data'!K:K,'ON Data'!$E:$E,1)/'ON Data'!$D$3),1)</f>
        <v>0</v>
      </c>
      <c r="G6" s="238">
        <f xml:space="preserve">
TRUNC(IF($A$4&lt;=12,SUMIFS('ON Data'!L:L,'ON Data'!$D:$D,$A$4,'ON Data'!$E:$E,1),SUMIFS('ON Data'!L:L,'ON Data'!$E:$E,1)/'ON Data'!$D$3),1)</f>
        <v>0</v>
      </c>
      <c r="H6" s="238">
        <f xml:space="preserve">
TRUNC(IF($A$4&lt;=12,SUMIFS('ON Data'!M:M,'ON Data'!$D:$D,$A$4,'ON Data'!$E:$E,1),SUMIFS('ON Data'!M:M,'ON Data'!$E:$E,1)/'ON Data'!$D$3),1)</f>
        <v>0</v>
      </c>
      <c r="I6" s="238">
        <f xml:space="preserve">
TRUNC(IF($A$4&lt;=12,SUMIFS('ON Data'!N:N,'ON Data'!$D:$D,$A$4,'ON Data'!$E:$E,1),SUMIFS('ON Data'!N:N,'ON Data'!$E:$E,1)/'ON Data'!$D$3),1)</f>
        <v>0</v>
      </c>
      <c r="J6" s="238">
        <f xml:space="preserve">
TRUNC(IF($A$4&lt;=12,SUMIFS('ON Data'!O:O,'ON Data'!$D:$D,$A$4,'ON Data'!$E:$E,1),SUMIFS('ON Data'!O:O,'ON Data'!$E:$E,1)/'ON Data'!$D$3),1)</f>
        <v>0</v>
      </c>
      <c r="K6" s="238">
        <f xml:space="preserve">
TRUNC(IF($A$4&lt;=12,SUMIFS('ON Data'!P:P,'ON Data'!$D:$D,$A$4,'ON Data'!$E:$E,1),SUMIFS('ON Data'!P:P,'ON Data'!$E:$E,1)/'ON Data'!$D$3),1)</f>
        <v>0</v>
      </c>
      <c r="L6" s="238">
        <f xml:space="preserve">
TRUNC(IF($A$4&lt;=12,SUMIFS('ON Data'!Q:Q,'ON Data'!$D:$D,$A$4,'ON Data'!$E:$E,1),SUMIFS('ON Data'!Q:Q,'ON Data'!$E:$E,1)/'ON Data'!$D$3),1)</f>
        <v>0</v>
      </c>
      <c r="M6" s="238">
        <f xml:space="preserve">
TRUNC(IF($A$4&lt;=12,SUMIFS('ON Data'!R:R,'ON Data'!$D:$D,$A$4,'ON Data'!$E:$E,1),SUMIFS('ON Data'!R:R,'ON Data'!$E:$E,1)/'ON Data'!$D$3),1)</f>
        <v>0</v>
      </c>
      <c r="N6" s="238">
        <f xml:space="preserve">
TRUNC(IF($A$4&lt;=12,SUMIFS('ON Data'!S:S,'ON Data'!$D:$D,$A$4,'ON Data'!$E:$E,1),SUMIFS('ON Data'!S:S,'ON Data'!$E:$E,1)/'ON Data'!$D$3),1)</f>
        <v>0</v>
      </c>
      <c r="O6" s="238">
        <f xml:space="preserve">
TRUNC(IF($A$4&lt;=12,SUMIFS('ON Data'!T:T,'ON Data'!$D:$D,$A$4,'ON Data'!$E:$E,1),SUMIFS('ON Data'!T:T,'ON Data'!$E:$E,1)/'ON Data'!$D$3),1)</f>
        <v>0</v>
      </c>
      <c r="P6" s="238">
        <f xml:space="preserve">
TRUNC(IF($A$4&lt;=12,SUMIFS('ON Data'!U:U,'ON Data'!$D:$D,$A$4,'ON Data'!$E:$E,1),SUMIFS('ON Data'!U:U,'ON Data'!$E:$E,1)/'ON Data'!$D$3),1)</f>
        <v>0</v>
      </c>
      <c r="Q6" s="238">
        <f xml:space="preserve">
TRUNC(IF($A$4&lt;=12,SUMIFS('ON Data'!V:V,'ON Data'!$D:$D,$A$4,'ON Data'!$E:$E,1),SUMIFS('ON Data'!V:V,'ON Data'!$E:$E,1)/'ON Data'!$D$3),1)</f>
        <v>0</v>
      </c>
      <c r="R6" s="238">
        <f xml:space="preserve">
TRUNC(IF($A$4&lt;=12,SUMIFS('ON Data'!W:W,'ON Data'!$D:$D,$A$4,'ON Data'!$E:$E,1),SUMIFS('ON Data'!W:W,'ON Data'!$E:$E,1)/'ON Data'!$D$3),1)</f>
        <v>0</v>
      </c>
      <c r="S6" s="238">
        <f xml:space="preserve">
TRUNC(IF($A$4&lt;=12,SUMIFS('ON Data'!X:X,'ON Data'!$D:$D,$A$4,'ON Data'!$E:$E,1),SUMIFS('ON Data'!X:X,'ON Data'!$E:$E,1)/'ON Data'!$D$3),1)</f>
        <v>0</v>
      </c>
      <c r="T6" s="238">
        <f xml:space="preserve">
TRUNC(IF($A$4&lt;=12,SUMIFS('ON Data'!Y:Y,'ON Data'!$D:$D,$A$4,'ON Data'!$E:$E,1),SUMIFS('ON Data'!Y:Y,'ON Data'!$E:$E,1)/'ON Data'!$D$3),1)</f>
        <v>0</v>
      </c>
      <c r="U6" s="238">
        <f xml:space="preserve">
TRUNC(IF($A$4&lt;=12,SUMIFS('ON Data'!Z:Z,'ON Data'!$D:$D,$A$4,'ON Data'!$E:$E,1),SUMIFS('ON Data'!Z:Z,'ON Data'!$E:$E,1)/'ON Data'!$D$3),1)</f>
        <v>0</v>
      </c>
      <c r="V6" s="238">
        <f xml:space="preserve">
TRUNC(IF($A$4&lt;=12,SUMIFS('ON Data'!AA:AA,'ON Data'!$D:$D,$A$4,'ON Data'!$E:$E,1),SUMIFS('ON Data'!AA:AA,'ON Data'!$E:$E,1)/'ON Data'!$D$3),1)</f>
        <v>0</v>
      </c>
      <c r="W6" s="238">
        <f xml:space="preserve">
TRUNC(IF($A$4&lt;=12,SUMIFS('ON Data'!AB:AB,'ON Data'!$D:$D,$A$4,'ON Data'!$E:$E,1),SUMIFS('ON Data'!AB:AB,'ON Data'!$E:$E,1)/'ON Data'!$D$3),1)</f>
        <v>0</v>
      </c>
      <c r="X6" s="238">
        <f xml:space="preserve">
TRUNC(IF($A$4&lt;=12,SUMIFS('ON Data'!AC:AC,'ON Data'!$D:$D,$A$4,'ON Data'!$E:$E,1),SUMIFS('ON Data'!AC:AC,'ON Data'!$E:$E,1)/'ON Data'!$D$3),1)</f>
        <v>0</v>
      </c>
      <c r="Y6" s="238">
        <f xml:space="preserve">
TRUNC(IF($A$4&lt;=12,SUMIFS('ON Data'!AD:AD,'ON Data'!$D:$D,$A$4,'ON Data'!$E:$E,1),SUMIFS('ON Data'!AD:AD,'ON Data'!$E:$E,1)/'ON Data'!$D$3),1)</f>
        <v>0</v>
      </c>
      <c r="Z6" s="238">
        <f xml:space="preserve">
TRUNC(IF($A$4&lt;=12,SUMIFS('ON Data'!AE:AE,'ON Data'!$D:$D,$A$4,'ON Data'!$E:$E,1),SUMIFS('ON Data'!AE:AE,'ON Data'!$E:$E,1)/'ON Data'!$D$3),1)</f>
        <v>0</v>
      </c>
      <c r="AA6" s="238">
        <f xml:space="preserve">
TRUNC(IF($A$4&lt;=12,SUMIFS('ON Data'!AF:AF,'ON Data'!$D:$D,$A$4,'ON Data'!$E:$E,1),SUMIFS('ON Data'!AF:AF,'ON Data'!$E:$E,1)/'ON Data'!$D$3),1)</f>
        <v>0</v>
      </c>
      <c r="AB6" s="238">
        <f xml:space="preserve">
TRUNC(IF($A$4&lt;=12,SUMIFS('ON Data'!AG:AG,'ON Data'!$D:$D,$A$4,'ON Data'!$E:$E,1),SUMIFS('ON Data'!AG:AG,'ON Data'!$E:$E,1)/'ON Data'!$D$3),1)</f>
        <v>0</v>
      </c>
      <c r="AC6" s="238">
        <f xml:space="preserve">
TRUNC(IF($A$4&lt;=12,SUMIFS('ON Data'!AH:AH,'ON Data'!$D:$D,$A$4,'ON Data'!$E:$E,1),SUMIFS('ON Data'!AH:AH,'ON Data'!$E:$E,1)/'ON Data'!$D$3),1)</f>
        <v>0</v>
      </c>
      <c r="AD6" s="238">
        <f xml:space="preserve">
TRUNC(IF($A$4&lt;=12,SUMIFS('ON Data'!AI:AI,'ON Data'!$D:$D,$A$4,'ON Data'!$E:$E,1),SUMIFS('ON Data'!AI:AI,'ON Data'!$E:$E,1)/'ON Data'!$D$3),1)</f>
        <v>0</v>
      </c>
      <c r="AE6" s="238">
        <f xml:space="preserve">
TRUNC(IF($A$4&lt;=12,SUMIFS('ON Data'!AJ:AJ,'ON Data'!$D:$D,$A$4,'ON Data'!$E:$E,1),SUMIFS('ON Data'!AJ:AJ,'ON Data'!$E:$E,1)/'ON Data'!$D$3),1)</f>
        <v>0</v>
      </c>
      <c r="AF6" s="238">
        <f xml:space="preserve">
TRUNC(IF($A$4&lt;=12,SUMIFS('ON Data'!AK:AK,'ON Data'!$D:$D,$A$4,'ON Data'!$E:$E,1),SUMIFS('ON Data'!AK:AK,'ON Data'!$E:$E,1)/'ON Data'!$D$3),1)</f>
        <v>0</v>
      </c>
      <c r="AG6" s="238">
        <f xml:space="preserve">
TRUNC(IF($A$4&lt;=12,SUMIFS('ON Data'!AL:AL,'ON Data'!$D:$D,$A$4,'ON Data'!$E:$E,1),SUMIFS('ON Data'!AL:AL,'ON Data'!$E:$E,1)/'ON Data'!$D$3),1)</f>
        <v>0</v>
      </c>
      <c r="AH6" s="352">
        <f xml:space="preserve">
TRUNC(IF($A$4&lt;=12,SUMIFS('ON Data'!AN:AN,'ON Data'!$D:$D,$A$4,'ON Data'!$E:$E,1),SUMIFS('ON Data'!AN:AN,'ON Data'!$E:$E,1)/'ON Data'!$D$3),1)</f>
        <v>0.6</v>
      </c>
      <c r="AI6" s="365"/>
    </row>
    <row r="7" spans="1:35" ht="15" hidden="1" outlineLevel="1" thickBot="1" x14ac:dyDescent="0.35">
      <c r="A7" s="198" t="s">
        <v>83</v>
      </c>
      <c r="B7" s="236"/>
      <c r="C7" s="239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352"/>
      <c r="AI7" s="365"/>
    </row>
    <row r="8" spans="1:35" ht="15" hidden="1" outlineLevel="1" thickBot="1" x14ac:dyDescent="0.35">
      <c r="A8" s="198" t="s">
        <v>51</v>
      </c>
      <c r="B8" s="236"/>
      <c r="C8" s="239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352"/>
      <c r="AI8" s="365"/>
    </row>
    <row r="9" spans="1:35" ht="15" hidden="1" outlineLevel="1" thickBot="1" x14ac:dyDescent="0.35">
      <c r="A9" s="199" t="s">
        <v>44</v>
      </c>
      <c r="B9" s="240"/>
      <c r="C9" s="241"/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353"/>
      <c r="AI9" s="365"/>
    </row>
    <row r="10" spans="1:35" x14ac:dyDescent="0.3">
      <c r="A10" s="200" t="s">
        <v>137</v>
      </c>
      <c r="B10" s="215"/>
      <c r="C10" s="216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354"/>
      <c r="AI10" s="365"/>
    </row>
    <row r="11" spans="1:35" x14ac:dyDescent="0.3">
      <c r="A11" s="201" t="s">
        <v>138</v>
      </c>
      <c r="B11" s="218">
        <f xml:space="preserve">
IF($A$4&lt;=12,SUMIFS('ON Data'!F:F,'ON Data'!$D:$D,$A$4,'ON Data'!$E:$E,2),SUMIFS('ON Data'!F:F,'ON Data'!$E:$E,2))</f>
        <v>2957.2</v>
      </c>
      <c r="C11" s="219">
        <f xml:space="preserve">
IF($A$4&lt;=12,SUMIFS('ON Data'!G:G,'ON Data'!$D:$D,$A$4,'ON Data'!$E:$E,2),SUMIFS('ON Data'!G:G,'ON Data'!$E:$E,2))</f>
        <v>0</v>
      </c>
      <c r="D11" s="220">
        <f xml:space="preserve">
IF($A$4&lt;=12,SUMIFS('ON Data'!H:H,'ON Data'!$D:$D,$A$4,'ON Data'!$E:$E,2),SUMIFS('ON Data'!H:H,'ON Data'!$E:$E,2))</f>
        <v>2216</v>
      </c>
      <c r="E11" s="220">
        <f xml:space="preserve">
IF($A$4&lt;=12,SUMIFS('ON Data'!I:I,'ON Data'!$D:$D,$A$4,'ON Data'!$E:$E,2),SUMIFS('ON Data'!I:I,'ON Data'!$E:$E,2))</f>
        <v>0</v>
      </c>
      <c r="F11" s="220">
        <f xml:space="preserve">
IF($A$4&lt;=12,SUMIFS('ON Data'!K:K,'ON Data'!$D:$D,$A$4,'ON Data'!$E:$E,2),SUMIFS('ON Data'!K:K,'ON Data'!$E:$E,2))</f>
        <v>0</v>
      </c>
      <c r="G11" s="220">
        <f xml:space="preserve">
IF($A$4&lt;=12,SUMIFS('ON Data'!L:L,'ON Data'!$D:$D,$A$4,'ON Data'!$E:$E,2),SUMIFS('ON Data'!L:L,'ON Data'!$E:$E,2))</f>
        <v>0</v>
      </c>
      <c r="H11" s="220">
        <f xml:space="preserve">
IF($A$4&lt;=12,SUMIFS('ON Data'!M:M,'ON Data'!$D:$D,$A$4,'ON Data'!$E:$E,2),SUMIFS('ON Data'!M:M,'ON Data'!$E:$E,2))</f>
        <v>0</v>
      </c>
      <c r="I11" s="220">
        <f xml:space="preserve">
IF($A$4&lt;=12,SUMIFS('ON Data'!N:N,'ON Data'!$D:$D,$A$4,'ON Data'!$E:$E,2),SUMIFS('ON Data'!N:N,'ON Data'!$E:$E,2))</f>
        <v>0</v>
      </c>
      <c r="J11" s="220">
        <f xml:space="preserve">
IF($A$4&lt;=12,SUMIFS('ON Data'!O:O,'ON Data'!$D:$D,$A$4,'ON Data'!$E:$E,2),SUMIFS('ON Data'!O:O,'ON Data'!$E:$E,2))</f>
        <v>0</v>
      </c>
      <c r="K11" s="220">
        <f xml:space="preserve">
IF($A$4&lt;=12,SUMIFS('ON Data'!P:P,'ON Data'!$D:$D,$A$4,'ON Data'!$E:$E,2),SUMIFS('ON Data'!P:P,'ON Data'!$E:$E,2))</f>
        <v>0</v>
      </c>
      <c r="L11" s="220">
        <f xml:space="preserve">
IF($A$4&lt;=12,SUMIFS('ON Data'!Q:Q,'ON Data'!$D:$D,$A$4,'ON Data'!$E:$E,2),SUMIFS('ON Data'!Q:Q,'ON Data'!$E:$E,2))</f>
        <v>0</v>
      </c>
      <c r="M11" s="220">
        <f xml:space="preserve">
IF($A$4&lt;=12,SUMIFS('ON Data'!R:R,'ON Data'!$D:$D,$A$4,'ON Data'!$E:$E,2),SUMIFS('ON Data'!R:R,'ON Data'!$E:$E,2))</f>
        <v>0</v>
      </c>
      <c r="N11" s="220">
        <f xml:space="preserve">
IF($A$4&lt;=12,SUMIFS('ON Data'!S:S,'ON Data'!$D:$D,$A$4,'ON Data'!$E:$E,2),SUMIFS('ON Data'!S:S,'ON Data'!$E:$E,2))</f>
        <v>0</v>
      </c>
      <c r="O11" s="220">
        <f xml:space="preserve">
IF($A$4&lt;=12,SUMIFS('ON Data'!T:T,'ON Data'!$D:$D,$A$4,'ON Data'!$E:$E,2),SUMIFS('ON Data'!T:T,'ON Data'!$E:$E,2))</f>
        <v>0</v>
      </c>
      <c r="P11" s="220">
        <f xml:space="preserve">
IF($A$4&lt;=12,SUMIFS('ON Data'!U:U,'ON Data'!$D:$D,$A$4,'ON Data'!$E:$E,2),SUMIFS('ON Data'!U:U,'ON Data'!$E:$E,2))</f>
        <v>0</v>
      </c>
      <c r="Q11" s="220">
        <f xml:space="preserve">
IF($A$4&lt;=12,SUMIFS('ON Data'!V:V,'ON Data'!$D:$D,$A$4,'ON Data'!$E:$E,2),SUMIFS('ON Data'!V:V,'ON Data'!$E:$E,2))</f>
        <v>0</v>
      </c>
      <c r="R11" s="220">
        <f xml:space="preserve">
IF($A$4&lt;=12,SUMIFS('ON Data'!W:W,'ON Data'!$D:$D,$A$4,'ON Data'!$E:$E,2),SUMIFS('ON Data'!W:W,'ON Data'!$E:$E,2))</f>
        <v>0</v>
      </c>
      <c r="S11" s="220">
        <f xml:space="preserve">
IF($A$4&lt;=12,SUMIFS('ON Data'!X:X,'ON Data'!$D:$D,$A$4,'ON Data'!$E:$E,2),SUMIFS('ON Data'!X:X,'ON Data'!$E:$E,2))</f>
        <v>0</v>
      </c>
      <c r="T11" s="220">
        <f xml:space="preserve">
IF($A$4&lt;=12,SUMIFS('ON Data'!Y:Y,'ON Data'!$D:$D,$A$4,'ON Data'!$E:$E,2),SUMIFS('ON Data'!Y:Y,'ON Data'!$E:$E,2))</f>
        <v>0</v>
      </c>
      <c r="U11" s="220">
        <f xml:space="preserve">
IF($A$4&lt;=12,SUMIFS('ON Data'!Z:Z,'ON Data'!$D:$D,$A$4,'ON Data'!$E:$E,2),SUMIFS('ON Data'!Z:Z,'ON Data'!$E:$E,2))</f>
        <v>0</v>
      </c>
      <c r="V11" s="220">
        <f xml:space="preserve">
IF($A$4&lt;=12,SUMIFS('ON Data'!AA:AA,'ON Data'!$D:$D,$A$4,'ON Data'!$E:$E,2),SUMIFS('ON Data'!AA:AA,'ON Data'!$E:$E,2))</f>
        <v>38.799999999999997</v>
      </c>
      <c r="W11" s="220">
        <f xml:space="preserve">
IF($A$4&lt;=12,SUMIFS('ON Data'!AB:AB,'ON Data'!$D:$D,$A$4,'ON Data'!$E:$E,2),SUMIFS('ON Data'!AB:AB,'ON Data'!$E:$E,2))</f>
        <v>0</v>
      </c>
      <c r="X11" s="220">
        <f xml:space="preserve">
IF($A$4&lt;=12,SUMIFS('ON Data'!AC:AC,'ON Data'!$D:$D,$A$4,'ON Data'!$E:$E,2),SUMIFS('ON Data'!AC:AC,'ON Data'!$E:$E,2))</f>
        <v>0</v>
      </c>
      <c r="Y11" s="220">
        <f xml:space="preserve">
IF($A$4&lt;=12,SUMIFS('ON Data'!AD:AD,'ON Data'!$D:$D,$A$4,'ON Data'!$E:$E,2),SUMIFS('ON Data'!AD:AD,'ON Data'!$E:$E,2))</f>
        <v>0</v>
      </c>
      <c r="Z11" s="220">
        <f xml:space="preserve">
IF($A$4&lt;=12,SUMIFS('ON Data'!AE:AE,'ON Data'!$D:$D,$A$4,'ON Data'!$E:$E,2),SUMIFS('ON Data'!AE:AE,'ON Data'!$E:$E,2))</f>
        <v>0</v>
      </c>
      <c r="AA11" s="220">
        <f xml:space="preserve">
IF($A$4&lt;=12,SUMIFS('ON Data'!AF:AF,'ON Data'!$D:$D,$A$4,'ON Data'!$E:$E,2),SUMIFS('ON Data'!AF:AF,'ON Data'!$E:$E,2))</f>
        <v>0</v>
      </c>
      <c r="AB11" s="220">
        <f xml:space="preserve">
IF($A$4&lt;=12,SUMIFS('ON Data'!AG:AG,'ON Data'!$D:$D,$A$4,'ON Data'!$E:$E,2),SUMIFS('ON Data'!AG:AG,'ON Data'!$E:$E,2))</f>
        <v>0</v>
      </c>
      <c r="AC11" s="220">
        <f xml:space="preserve">
IF($A$4&lt;=12,SUMIFS('ON Data'!AH:AH,'ON Data'!$D:$D,$A$4,'ON Data'!$E:$E,2),SUMIFS('ON Data'!AH:AH,'ON Data'!$E:$E,2))</f>
        <v>0</v>
      </c>
      <c r="AD11" s="220">
        <f xml:space="preserve">
IF($A$4&lt;=12,SUMIFS('ON Data'!AI:AI,'ON Data'!$D:$D,$A$4,'ON Data'!$E:$E,2),SUMIFS('ON Data'!AI:AI,'ON Data'!$E:$E,2))</f>
        <v>0</v>
      </c>
      <c r="AE11" s="220">
        <f xml:space="preserve">
IF($A$4&lt;=12,SUMIFS('ON Data'!AJ:AJ,'ON Data'!$D:$D,$A$4,'ON Data'!$E:$E,2),SUMIFS('ON Data'!AJ:AJ,'ON Data'!$E:$E,2))</f>
        <v>0</v>
      </c>
      <c r="AF11" s="220">
        <f xml:space="preserve">
IF($A$4&lt;=12,SUMIFS('ON Data'!AK:AK,'ON Data'!$D:$D,$A$4,'ON Data'!$E:$E,2),SUMIFS('ON Data'!AK:AK,'ON Data'!$E:$E,2))</f>
        <v>0</v>
      </c>
      <c r="AG11" s="220">
        <f xml:space="preserve">
IF($A$4&lt;=12,SUMIFS('ON Data'!AL:AL,'ON Data'!$D:$D,$A$4,'ON Data'!$E:$E,2),SUMIFS('ON Data'!AL:AL,'ON Data'!$E:$E,2))</f>
        <v>0</v>
      </c>
      <c r="AH11" s="355">
        <f xml:space="preserve">
IF($A$4&lt;=12,SUMIFS('ON Data'!AN:AN,'ON Data'!$D:$D,$A$4,'ON Data'!$E:$E,2),SUMIFS('ON Data'!AN:AN,'ON Data'!$E:$E,2))</f>
        <v>702.4</v>
      </c>
      <c r="AI11" s="365"/>
    </row>
    <row r="12" spans="1:35" x14ac:dyDescent="0.3">
      <c r="A12" s="201" t="s">
        <v>139</v>
      </c>
      <c r="B12" s="218">
        <f xml:space="preserve">
IF($A$4&lt;=12,SUMIFS('ON Data'!F:F,'ON Data'!$D:$D,$A$4,'ON Data'!$E:$E,3),SUMIFS('ON Data'!F:F,'ON Data'!$E:$E,3))</f>
        <v>0</v>
      </c>
      <c r="C12" s="219">
        <f xml:space="preserve">
IF($A$4&lt;=12,SUMIFS('ON Data'!G:G,'ON Data'!$D:$D,$A$4,'ON Data'!$E:$E,3),SUMIFS('ON Data'!G:G,'ON Data'!$E:$E,3))</f>
        <v>0</v>
      </c>
      <c r="D12" s="220">
        <f xml:space="preserve">
IF($A$4&lt;=12,SUMIFS('ON Data'!H:H,'ON Data'!$D:$D,$A$4,'ON Data'!$E:$E,3),SUMIFS('ON Data'!H:H,'ON Data'!$E:$E,3))</f>
        <v>0</v>
      </c>
      <c r="E12" s="220">
        <f xml:space="preserve">
IF($A$4&lt;=12,SUMIFS('ON Data'!I:I,'ON Data'!$D:$D,$A$4,'ON Data'!$E:$E,3),SUMIFS('ON Data'!I:I,'ON Data'!$E:$E,3))</f>
        <v>0</v>
      </c>
      <c r="F12" s="220">
        <f xml:space="preserve">
IF($A$4&lt;=12,SUMIFS('ON Data'!K:K,'ON Data'!$D:$D,$A$4,'ON Data'!$E:$E,3),SUMIFS('ON Data'!K:K,'ON Data'!$E:$E,3))</f>
        <v>0</v>
      </c>
      <c r="G12" s="220">
        <f xml:space="preserve">
IF($A$4&lt;=12,SUMIFS('ON Data'!L:L,'ON Data'!$D:$D,$A$4,'ON Data'!$E:$E,3),SUMIFS('ON Data'!L:L,'ON Data'!$E:$E,3))</f>
        <v>0</v>
      </c>
      <c r="H12" s="220">
        <f xml:space="preserve">
IF($A$4&lt;=12,SUMIFS('ON Data'!M:M,'ON Data'!$D:$D,$A$4,'ON Data'!$E:$E,3),SUMIFS('ON Data'!M:M,'ON Data'!$E:$E,3))</f>
        <v>0</v>
      </c>
      <c r="I12" s="220">
        <f xml:space="preserve">
IF($A$4&lt;=12,SUMIFS('ON Data'!N:N,'ON Data'!$D:$D,$A$4,'ON Data'!$E:$E,3),SUMIFS('ON Data'!N:N,'ON Data'!$E:$E,3))</f>
        <v>0</v>
      </c>
      <c r="J12" s="220">
        <f xml:space="preserve">
IF($A$4&lt;=12,SUMIFS('ON Data'!O:O,'ON Data'!$D:$D,$A$4,'ON Data'!$E:$E,3),SUMIFS('ON Data'!O:O,'ON Data'!$E:$E,3))</f>
        <v>0</v>
      </c>
      <c r="K12" s="220">
        <f xml:space="preserve">
IF($A$4&lt;=12,SUMIFS('ON Data'!P:P,'ON Data'!$D:$D,$A$4,'ON Data'!$E:$E,3),SUMIFS('ON Data'!P:P,'ON Data'!$E:$E,3))</f>
        <v>0</v>
      </c>
      <c r="L12" s="220">
        <f xml:space="preserve">
IF($A$4&lt;=12,SUMIFS('ON Data'!Q:Q,'ON Data'!$D:$D,$A$4,'ON Data'!$E:$E,3),SUMIFS('ON Data'!Q:Q,'ON Data'!$E:$E,3))</f>
        <v>0</v>
      </c>
      <c r="M12" s="220">
        <f xml:space="preserve">
IF($A$4&lt;=12,SUMIFS('ON Data'!R:R,'ON Data'!$D:$D,$A$4,'ON Data'!$E:$E,3),SUMIFS('ON Data'!R:R,'ON Data'!$E:$E,3))</f>
        <v>0</v>
      </c>
      <c r="N12" s="220">
        <f xml:space="preserve">
IF($A$4&lt;=12,SUMIFS('ON Data'!S:S,'ON Data'!$D:$D,$A$4,'ON Data'!$E:$E,3),SUMIFS('ON Data'!S:S,'ON Data'!$E:$E,3))</f>
        <v>0</v>
      </c>
      <c r="O12" s="220">
        <f xml:space="preserve">
IF($A$4&lt;=12,SUMIFS('ON Data'!T:T,'ON Data'!$D:$D,$A$4,'ON Data'!$E:$E,3),SUMIFS('ON Data'!T:T,'ON Data'!$E:$E,3))</f>
        <v>0</v>
      </c>
      <c r="P12" s="220">
        <f xml:space="preserve">
IF($A$4&lt;=12,SUMIFS('ON Data'!U:U,'ON Data'!$D:$D,$A$4,'ON Data'!$E:$E,3),SUMIFS('ON Data'!U:U,'ON Data'!$E:$E,3))</f>
        <v>0</v>
      </c>
      <c r="Q12" s="220">
        <f xml:space="preserve">
IF($A$4&lt;=12,SUMIFS('ON Data'!V:V,'ON Data'!$D:$D,$A$4,'ON Data'!$E:$E,3),SUMIFS('ON Data'!V:V,'ON Data'!$E:$E,3))</f>
        <v>0</v>
      </c>
      <c r="R12" s="220">
        <f xml:space="preserve">
IF($A$4&lt;=12,SUMIFS('ON Data'!W:W,'ON Data'!$D:$D,$A$4,'ON Data'!$E:$E,3),SUMIFS('ON Data'!W:W,'ON Data'!$E:$E,3))</f>
        <v>0</v>
      </c>
      <c r="S12" s="220">
        <f xml:space="preserve">
IF($A$4&lt;=12,SUMIFS('ON Data'!X:X,'ON Data'!$D:$D,$A$4,'ON Data'!$E:$E,3),SUMIFS('ON Data'!X:X,'ON Data'!$E:$E,3))</f>
        <v>0</v>
      </c>
      <c r="T12" s="220">
        <f xml:space="preserve">
IF($A$4&lt;=12,SUMIFS('ON Data'!Y:Y,'ON Data'!$D:$D,$A$4,'ON Data'!$E:$E,3),SUMIFS('ON Data'!Y:Y,'ON Data'!$E:$E,3))</f>
        <v>0</v>
      </c>
      <c r="U12" s="220">
        <f xml:space="preserve">
IF($A$4&lt;=12,SUMIFS('ON Data'!Z:Z,'ON Data'!$D:$D,$A$4,'ON Data'!$E:$E,3),SUMIFS('ON Data'!Z:Z,'ON Data'!$E:$E,3))</f>
        <v>0</v>
      </c>
      <c r="V12" s="220">
        <f xml:space="preserve">
IF($A$4&lt;=12,SUMIFS('ON Data'!AA:AA,'ON Data'!$D:$D,$A$4,'ON Data'!$E:$E,3),SUMIFS('ON Data'!AA:AA,'ON Data'!$E:$E,3))</f>
        <v>0</v>
      </c>
      <c r="W12" s="220">
        <f xml:space="preserve">
IF($A$4&lt;=12,SUMIFS('ON Data'!AB:AB,'ON Data'!$D:$D,$A$4,'ON Data'!$E:$E,3),SUMIFS('ON Data'!AB:AB,'ON Data'!$E:$E,3))</f>
        <v>0</v>
      </c>
      <c r="X12" s="220">
        <f xml:space="preserve">
IF($A$4&lt;=12,SUMIFS('ON Data'!AC:AC,'ON Data'!$D:$D,$A$4,'ON Data'!$E:$E,3),SUMIFS('ON Data'!AC:AC,'ON Data'!$E:$E,3))</f>
        <v>0</v>
      </c>
      <c r="Y12" s="220">
        <f xml:space="preserve">
IF($A$4&lt;=12,SUMIFS('ON Data'!AD:AD,'ON Data'!$D:$D,$A$4,'ON Data'!$E:$E,3),SUMIFS('ON Data'!AD:AD,'ON Data'!$E:$E,3))</f>
        <v>0</v>
      </c>
      <c r="Z12" s="220">
        <f xml:space="preserve">
IF($A$4&lt;=12,SUMIFS('ON Data'!AE:AE,'ON Data'!$D:$D,$A$4,'ON Data'!$E:$E,3),SUMIFS('ON Data'!AE:AE,'ON Data'!$E:$E,3))</f>
        <v>0</v>
      </c>
      <c r="AA12" s="220">
        <f xml:space="preserve">
IF($A$4&lt;=12,SUMIFS('ON Data'!AF:AF,'ON Data'!$D:$D,$A$4,'ON Data'!$E:$E,3),SUMIFS('ON Data'!AF:AF,'ON Data'!$E:$E,3))</f>
        <v>0</v>
      </c>
      <c r="AB12" s="220">
        <f xml:space="preserve">
IF($A$4&lt;=12,SUMIFS('ON Data'!AG:AG,'ON Data'!$D:$D,$A$4,'ON Data'!$E:$E,3),SUMIFS('ON Data'!AG:AG,'ON Data'!$E:$E,3))</f>
        <v>0</v>
      </c>
      <c r="AC12" s="220">
        <f xml:space="preserve">
IF($A$4&lt;=12,SUMIFS('ON Data'!AH:AH,'ON Data'!$D:$D,$A$4,'ON Data'!$E:$E,3),SUMIFS('ON Data'!AH:AH,'ON Data'!$E:$E,3))</f>
        <v>0</v>
      </c>
      <c r="AD12" s="220">
        <f xml:space="preserve">
IF($A$4&lt;=12,SUMIFS('ON Data'!AI:AI,'ON Data'!$D:$D,$A$4,'ON Data'!$E:$E,3),SUMIFS('ON Data'!AI:AI,'ON Data'!$E:$E,3))</f>
        <v>0</v>
      </c>
      <c r="AE12" s="220">
        <f xml:space="preserve">
IF($A$4&lt;=12,SUMIFS('ON Data'!AJ:AJ,'ON Data'!$D:$D,$A$4,'ON Data'!$E:$E,3),SUMIFS('ON Data'!AJ:AJ,'ON Data'!$E:$E,3))</f>
        <v>0</v>
      </c>
      <c r="AF12" s="220">
        <f xml:space="preserve">
IF($A$4&lt;=12,SUMIFS('ON Data'!AK:AK,'ON Data'!$D:$D,$A$4,'ON Data'!$E:$E,3),SUMIFS('ON Data'!AK:AK,'ON Data'!$E:$E,3))</f>
        <v>0</v>
      </c>
      <c r="AG12" s="220">
        <f xml:space="preserve">
IF($A$4&lt;=12,SUMIFS('ON Data'!AL:AL,'ON Data'!$D:$D,$A$4,'ON Data'!$E:$E,3),SUMIFS('ON Data'!AL:AL,'ON Data'!$E:$E,3))</f>
        <v>0</v>
      </c>
      <c r="AH12" s="355">
        <f xml:space="preserve">
IF($A$4&lt;=12,SUMIFS('ON Data'!AN:AN,'ON Data'!$D:$D,$A$4,'ON Data'!$E:$E,3),SUMIFS('ON Data'!AN:AN,'ON Data'!$E:$E,3))</f>
        <v>0</v>
      </c>
      <c r="AI12" s="365"/>
    </row>
    <row r="13" spans="1:35" x14ac:dyDescent="0.3">
      <c r="A13" s="201" t="s">
        <v>146</v>
      </c>
      <c r="B13" s="218">
        <f xml:space="preserve">
IF($A$4&lt;=12,SUMIFS('ON Data'!F:F,'ON Data'!$D:$D,$A$4,'ON Data'!$E:$E,4),SUMIFS('ON Data'!F:F,'ON Data'!$E:$E,4))</f>
        <v>0</v>
      </c>
      <c r="C13" s="219">
        <f xml:space="preserve">
IF($A$4&lt;=12,SUMIFS('ON Data'!G:G,'ON Data'!$D:$D,$A$4,'ON Data'!$E:$E,4),SUMIFS('ON Data'!G:G,'ON Data'!$E:$E,4))</f>
        <v>0</v>
      </c>
      <c r="D13" s="220">
        <f xml:space="preserve">
IF($A$4&lt;=12,SUMIFS('ON Data'!H:H,'ON Data'!$D:$D,$A$4,'ON Data'!$E:$E,4),SUMIFS('ON Data'!H:H,'ON Data'!$E:$E,4))</f>
        <v>0</v>
      </c>
      <c r="E13" s="220">
        <f xml:space="preserve">
IF($A$4&lt;=12,SUMIFS('ON Data'!I:I,'ON Data'!$D:$D,$A$4,'ON Data'!$E:$E,4),SUMIFS('ON Data'!I:I,'ON Data'!$E:$E,4))</f>
        <v>0</v>
      </c>
      <c r="F13" s="220">
        <f xml:space="preserve">
IF($A$4&lt;=12,SUMIFS('ON Data'!K:K,'ON Data'!$D:$D,$A$4,'ON Data'!$E:$E,4),SUMIFS('ON Data'!K:K,'ON Data'!$E:$E,4))</f>
        <v>0</v>
      </c>
      <c r="G13" s="220">
        <f xml:space="preserve">
IF($A$4&lt;=12,SUMIFS('ON Data'!L:L,'ON Data'!$D:$D,$A$4,'ON Data'!$E:$E,4),SUMIFS('ON Data'!L:L,'ON Data'!$E:$E,4))</f>
        <v>0</v>
      </c>
      <c r="H13" s="220">
        <f xml:space="preserve">
IF($A$4&lt;=12,SUMIFS('ON Data'!M:M,'ON Data'!$D:$D,$A$4,'ON Data'!$E:$E,4),SUMIFS('ON Data'!M:M,'ON Data'!$E:$E,4))</f>
        <v>0</v>
      </c>
      <c r="I13" s="220">
        <f xml:space="preserve">
IF($A$4&lt;=12,SUMIFS('ON Data'!N:N,'ON Data'!$D:$D,$A$4,'ON Data'!$E:$E,4),SUMIFS('ON Data'!N:N,'ON Data'!$E:$E,4))</f>
        <v>0</v>
      </c>
      <c r="J13" s="220">
        <f xml:space="preserve">
IF($A$4&lt;=12,SUMIFS('ON Data'!O:O,'ON Data'!$D:$D,$A$4,'ON Data'!$E:$E,4),SUMIFS('ON Data'!O:O,'ON Data'!$E:$E,4))</f>
        <v>0</v>
      </c>
      <c r="K13" s="220">
        <f xml:space="preserve">
IF($A$4&lt;=12,SUMIFS('ON Data'!P:P,'ON Data'!$D:$D,$A$4,'ON Data'!$E:$E,4),SUMIFS('ON Data'!P:P,'ON Data'!$E:$E,4))</f>
        <v>0</v>
      </c>
      <c r="L13" s="220">
        <f xml:space="preserve">
IF($A$4&lt;=12,SUMIFS('ON Data'!Q:Q,'ON Data'!$D:$D,$A$4,'ON Data'!$E:$E,4),SUMIFS('ON Data'!Q:Q,'ON Data'!$E:$E,4))</f>
        <v>0</v>
      </c>
      <c r="M13" s="220">
        <f xml:space="preserve">
IF($A$4&lt;=12,SUMIFS('ON Data'!R:R,'ON Data'!$D:$D,$A$4,'ON Data'!$E:$E,4),SUMIFS('ON Data'!R:R,'ON Data'!$E:$E,4))</f>
        <v>0</v>
      </c>
      <c r="N13" s="220">
        <f xml:space="preserve">
IF($A$4&lt;=12,SUMIFS('ON Data'!S:S,'ON Data'!$D:$D,$A$4,'ON Data'!$E:$E,4),SUMIFS('ON Data'!S:S,'ON Data'!$E:$E,4))</f>
        <v>0</v>
      </c>
      <c r="O13" s="220">
        <f xml:space="preserve">
IF($A$4&lt;=12,SUMIFS('ON Data'!T:T,'ON Data'!$D:$D,$A$4,'ON Data'!$E:$E,4),SUMIFS('ON Data'!T:T,'ON Data'!$E:$E,4))</f>
        <v>0</v>
      </c>
      <c r="P13" s="220">
        <f xml:space="preserve">
IF($A$4&lt;=12,SUMIFS('ON Data'!U:U,'ON Data'!$D:$D,$A$4,'ON Data'!$E:$E,4),SUMIFS('ON Data'!U:U,'ON Data'!$E:$E,4))</f>
        <v>0</v>
      </c>
      <c r="Q13" s="220">
        <f xml:space="preserve">
IF($A$4&lt;=12,SUMIFS('ON Data'!V:V,'ON Data'!$D:$D,$A$4,'ON Data'!$E:$E,4),SUMIFS('ON Data'!V:V,'ON Data'!$E:$E,4))</f>
        <v>0</v>
      </c>
      <c r="R13" s="220">
        <f xml:space="preserve">
IF($A$4&lt;=12,SUMIFS('ON Data'!W:W,'ON Data'!$D:$D,$A$4,'ON Data'!$E:$E,4),SUMIFS('ON Data'!W:W,'ON Data'!$E:$E,4))</f>
        <v>0</v>
      </c>
      <c r="S13" s="220">
        <f xml:space="preserve">
IF($A$4&lt;=12,SUMIFS('ON Data'!X:X,'ON Data'!$D:$D,$A$4,'ON Data'!$E:$E,4),SUMIFS('ON Data'!X:X,'ON Data'!$E:$E,4))</f>
        <v>0</v>
      </c>
      <c r="T13" s="220">
        <f xml:space="preserve">
IF($A$4&lt;=12,SUMIFS('ON Data'!Y:Y,'ON Data'!$D:$D,$A$4,'ON Data'!$E:$E,4),SUMIFS('ON Data'!Y:Y,'ON Data'!$E:$E,4))</f>
        <v>0</v>
      </c>
      <c r="U13" s="220">
        <f xml:space="preserve">
IF($A$4&lt;=12,SUMIFS('ON Data'!Z:Z,'ON Data'!$D:$D,$A$4,'ON Data'!$E:$E,4),SUMIFS('ON Data'!Z:Z,'ON Data'!$E:$E,4))</f>
        <v>0</v>
      </c>
      <c r="V13" s="220">
        <f xml:space="preserve">
IF($A$4&lt;=12,SUMIFS('ON Data'!AA:AA,'ON Data'!$D:$D,$A$4,'ON Data'!$E:$E,4),SUMIFS('ON Data'!AA:AA,'ON Data'!$E:$E,4))</f>
        <v>0</v>
      </c>
      <c r="W13" s="220">
        <f xml:space="preserve">
IF($A$4&lt;=12,SUMIFS('ON Data'!AB:AB,'ON Data'!$D:$D,$A$4,'ON Data'!$E:$E,4),SUMIFS('ON Data'!AB:AB,'ON Data'!$E:$E,4))</f>
        <v>0</v>
      </c>
      <c r="X13" s="220">
        <f xml:space="preserve">
IF($A$4&lt;=12,SUMIFS('ON Data'!AC:AC,'ON Data'!$D:$D,$A$4,'ON Data'!$E:$E,4),SUMIFS('ON Data'!AC:AC,'ON Data'!$E:$E,4))</f>
        <v>0</v>
      </c>
      <c r="Y13" s="220">
        <f xml:space="preserve">
IF($A$4&lt;=12,SUMIFS('ON Data'!AD:AD,'ON Data'!$D:$D,$A$4,'ON Data'!$E:$E,4),SUMIFS('ON Data'!AD:AD,'ON Data'!$E:$E,4))</f>
        <v>0</v>
      </c>
      <c r="Z13" s="220">
        <f xml:space="preserve">
IF($A$4&lt;=12,SUMIFS('ON Data'!AE:AE,'ON Data'!$D:$D,$A$4,'ON Data'!$E:$E,4),SUMIFS('ON Data'!AE:AE,'ON Data'!$E:$E,4))</f>
        <v>0</v>
      </c>
      <c r="AA13" s="220">
        <f xml:space="preserve">
IF($A$4&lt;=12,SUMIFS('ON Data'!AF:AF,'ON Data'!$D:$D,$A$4,'ON Data'!$E:$E,4),SUMIFS('ON Data'!AF:AF,'ON Data'!$E:$E,4))</f>
        <v>0</v>
      </c>
      <c r="AB13" s="220">
        <f xml:space="preserve">
IF($A$4&lt;=12,SUMIFS('ON Data'!AG:AG,'ON Data'!$D:$D,$A$4,'ON Data'!$E:$E,4),SUMIFS('ON Data'!AG:AG,'ON Data'!$E:$E,4))</f>
        <v>0</v>
      </c>
      <c r="AC13" s="220">
        <f xml:space="preserve">
IF($A$4&lt;=12,SUMIFS('ON Data'!AH:AH,'ON Data'!$D:$D,$A$4,'ON Data'!$E:$E,4),SUMIFS('ON Data'!AH:AH,'ON Data'!$E:$E,4))</f>
        <v>0</v>
      </c>
      <c r="AD13" s="220">
        <f xml:space="preserve">
IF($A$4&lt;=12,SUMIFS('ON Data'!AI:AI,'ON Data'!$D:$D,$A$4,'ON Data'!$E:$E,4),SUMIFS('ON Data'!AI:AI,'ON Data'!$E:$E,4))</f>
        <v>0</v>
      </c>
      <c r="AE13" s="220">
        <f xml:space="preserve">
IF($A$4&lt;=12,SUMIFS('ON Data'!AJ:AJ,'ON Data'!$D:$D,$A$4,'ON Data'!$E:$E,4),SUMIFS('ON Data'!AJ:AJ,'ON Data'!$E:$E,4))</f>
        <v>0</v>
      </c>
      <c r="AF13" s="220">
        <f xml:space="preserve">
IF($A$4&lt;=12,SUMIFS('ON Data'!AK:AK,'ON Data'!$D:$D,$A$4,'ON Data'!$E:$E,4),SUMIFS('ON Data'!AK:AK,'ON Data'!$E:$E,4))</f>
        <v>0</v>
      </c>
      <c r="AG13" s="220">
        <f xml:space="preserve">
IF($A$4&lt;=12,SUMIFS('ON Data'!AL:AL,'ON Data'!$D:$D,$A$4,'ON Data'!$E:$E,4),SUMIFS('ON Data'!AL:AL,'ON Data'!$E:$E,4))</f>
        <v>0</v>
      </c>
      <c r="AH13" s="355">
        <f xml:space="preserve">
IF($A$4&lt;=12,SUMIFS('ON Data'!AN:AN,'ON Data'!$D:$D,$A$4,'ON Data'!$E:$E,4),SUMIFS('ON Data'!AN:AN,'ON Data'!$E:$E,4))</f>
        <v>0</v>
      </c>
      <c r="AI13" s="365"/>
    </row>
    <row r="14" spans="1:35" ht="15" thickBot="1" x14ac:dyDescent="0.35">
      <c r="A14" s="202" t="s">
        <v>140</v>
      </c>
      <c r="B14" s="221">
        <f xml:space="preserve">
IF($A$4&lt;=12,SUMIFS('ON Data'!F:F,'ON Data'!$D:$D,$A$4,'ON Data'!$E:$E,5),SUMIFS('ON Data'!F:F,'ON Data'!$E:$E,5))</f>
        <v>0</v>
      </c>
      <c r="C14" s="222">
        <f xml:space="preserve">
IF($A$4&lt;=12,SUMIFS('ON Data'!G:G,'ON Data'!$D:$D,$A$4,'ON Data'!$E:$E,5),SUMIFS('ON Data'!G:G,'ON Data'!$E:$E,5))</f>
        <v>0</v>
      </c>
      <c r="D14" s="223">
        <f xml:space="preserve">
IF($A$4&lt;=12,SUMIFS('ON Data'!H:H,'ON Data'!$D:$D,$A$4,'ON Data'!$E:$E,5),SUMIFS('ON Data'!H:H,'ON Data'!$E:$E,5))</f>
        <v>0</v>
      </c>
      <c r="E14" s="223">
        <f xml:space="preserve">
IF($A$4&lt;=12,SUMIFS('ON Data'!I:I,'ON Data'!$D:$D,$A$4,'ON Data'!$E:$E,5),SUMIFS('ON Data'!I:I,'ON Data'!$E:$E,5))</f>
        <v>0</v>
      </c>
      <c r="F14" s="223">
        <f xml:space="preserve">
IF($A$4&lt;=12,SUMIFS('ON Data'!K:K,'ON Data'!$D:$D,$A$4,'ON Data'!$E:$E,5),SUMIFS('ON Data'!K:K,'ON Data'!$E:$E,5))</f>
        <v>0</v>
      </c>
      <c r="G14" s="223">
        <f xml:space="preserve">
IF($A$4&lt;=12,SUMIFS('ON Data'!L:L,'ON Data'!$D:$D,$A$4,'ON Data'!$E:$E,5),SUMIFS('ON Data'!L:L,'ON Data'!$E:$E,5))</f>
        <v>0</v>
      </c>
      <c r="H14" s="223">
        <f xml:space="preserve">
IF($A$4&lt;=12,SUMIFS('ON Data'!M:M,'ON Data'!$D:$D,$A$4,'ON Data'!$E:$E,5),SUMIFS('ON Data'!M:M,'ON Data'!$E:$E,5))</f>
        <v>0</v>
      </c>
      <c r="I14" s="223">
        <f xml:space="preserve">
IF($A$4&lt;=12,SUMIFS('ON Data'!N:N,'ON Data'!$D:$D,$A$4,'ON Data'!$E:$E,5),SUMIFS('ON Data'!N:N,'ON Data'!$E:$E,5))</f>
        <v>0</v>
      </c>
      <c r="J14" s="223">
        <f xml:space="preserve">
IF($A$4&lt;=12,SUMIFS('ON Data'!O:O,'ON Data'!$D:$D,$A$4,'ON Data'!$E:$E,5),SUMIFS('ON Data'!O:O,'ON Data'!$E:$E,5))</f>
        <v>0</v>
      </c>
      <c r="K14" s="223">
        <f xml:space="preserve">
IF($A$4&lt;=12,SUMIFS('ON Data'!P:P,'ON Data'!$D:$D,$A$4,'ON Data'!$E:$E,5),SUMIFS('ON Data'!P:P,'ON Data'!$E:$E,5))</f>
        <v>0</v>
      </c>
      <c r="L14" s="223">
        <f xml:space="preserve">
IF($A$4&lt;=12,SUMIFS('ON Data'!Q:Q,'ON Data'!$D:$D,$A$4,'ON Data'!$E:$E,5),SUMIFS('ON Data'!Q:Q,'ON Data'!$E:$E,5))</f>
        <v>0</v>
      </c>
      <c r="M14" s="223">
        <f xml:space="preserve">
IF($A$4&lt;=12,SUMIFS('ON Data'!R:R,'ON Data'!$D:$D,$A$4,'ON Data'!$E:$E,5),SUMIFS('ON Data'!R:R,'ON Data'!$E:$E,5))</f>
        <v>0</v>
      </c>
      <c r="N14" s="223">
        <f xml:space="preserve">
IF($A$4&lt;=12,SUMIFS('ON Data'!S:S,'ON Data'!$D:$D,$A$4,'ON Data'!$E:$E,5),SUMIFS('ON Data'!S:S,'ON Data'!$E:$E,5))</f>
        <v>0</v>
      </c>
      <c r="O14" s="223">
        <f xml:space="preserve">
IF($A$4&lt;=12,SUMIFS('ON Data'!T:T,'ON Data'!$D:$D,$A$4,'ON Data'!$E:$E,5),SUMIFS('ON Data'!T:T,'ON Data'!$E:$E,5))</f>
        <v>0</v>
      </c>
      <c r="P14" s="223">
        <f xml:space="preserve">
IF($A$4&lt;=12,SUMIFS('ON Data'!U:U,'ON Data'!$D:$D,$A$4,'ON Data'!$E:$E,5),SUMIFS('ON Data'!U:U,'ON Data'!$E:$E,5))</f>
        <v>0</v>
      </c>
      <c r="Q14" s="223">
        <f xml:space="preserve">
IF($A$4&lt;=12,SUMIFS('ON Data'!V:V,'ON Data'!$D:$D,$A$4,'ON Data'!$E:$E,5),SUMIFS('ON Data'!V:V,'ON Data'!$E:$E,5))</f>
        <v>0</v>
      </c>
      <c r="R14" s="223">
        <f xml:space="preserve">
IF($A$4&lt;=12,SUMIFS('ON Data'!W:W,'ON Data'!$D:$D,$A$4,'ON Data'!$E:$E,5),SUMIFS('ON Data'!W:W,'ON Data'!$E:$E,5))</f>
        <v>0</v>
      </c>
      <c r="S14" s="223">
        <f xml:space="preserve">
IF($A$4&lt;=12,SUMIFS('ON Data'!X:X,'ON Data'!$D:$D,$A$4,'ON Data'!$E:$E,5),SUMIFS('ON Data'!X:X,'ON Data'!$E:$E,5))</f>
        <v>0</v>
      </c>
      <c r="T14" s="223">
        <f xml:space="preserve">
IF($A$4&lt;=12,SUMIFS('ON Data'!Y:Y,'ON Data'!$D:$D,$A$4,'ON Data'!$E:$E,5),SUMIFS('ON Data'!Y:Y,'ON Data'!$E:$E,5))</f>
        <v>0</v>
      </c>
      <c r="U14" s="223">
        <f xml:space="preserve">
IF($A$4&lt;=12,SUMIFS('ON Data'!Z:Z,'ON Data'!$D:$D,$A$4,'ON Data'!$E:$E,5),SUMIFS('ON Data'!Z:Z,'ON Data'!$E:$E,5))</f>
        <v>0</v>
      </c>
      <c r="V14" s="223">
        <f xml:space="preserve">
IF($A$4&lt;=12,SUMIFS('ON Data'!AA:AA,'ON Data'!$D:$D,$A$4,'ON Data'!$E:$E,5),SUMIFS('ON Data'!AA:AA,'ON Data'!$E:$E,5))</f>
        <v>0</v>
      </c>
      <c r="W14" s="223">
        <f xml:space="preserve">
IF($A$4&lt;=12,SUMIFS('ON Data'!AB:AB,'ON Data'!$D:$D,$A$4,'ON Data'!$E:$E,5),SUMIFS('ON Data'!AB:AB,'ON Data'!$E:$E,5))</f>
        <v>0</v>
      </c>
      <c r="X14" s="223">
        <f xml:space="preserve">
IF($A$4&lt;=12,SUMIFS('ON Data'!AC:AC,'ON Data'!$D:$D,$A$4,'ON Data'!$E:$E,5),SUMIFS('ON Data'!AC:AC,'ON Data'!$E:$E,5))</f>
        <v>0</v>
      </c>
      <c r="Y14" s="223">
        <f xml:space="preserve">
IF($A$4&lt;=12,SUMIFS('ON Data'!AD:AD,'ON Data'!$D:$D,$A$4,'ON Data'!$E:$E,5),SUMIFS('ON Data'!AD:AD,'ON Data'!$E:$E,5))</f>
        <v>0</v>
      </c>
      <c r="Z14" s="223">
        <f xml:space="preserve">
IF($A$4&lt;=12,SUMIFS('ON Data'!AE:AE,'ON Data'!$D:$D,$A$4,'ON Data'!$E:$E,5),SUMIFS('ON Data'!AE:AE,'ON Data'!$E:$E,5))</f>
        <v>0</v>
      </c>
      <c r="AA14" s="223">
        <f xml:space="preserve">
IF($A$4&lt;=12,SUMIFS('ON Data'!AF:AF,'ON Data'!$D:$D,$A$4,'ON Data'!$E:$E,5),SUMIFS('ON Data'!AF:AF,'ON Data'!$E:$E,5))</f>
        <v>0</v>
      </c>
      <c r="AB14" s="223">
        <f xml:space="preserve">
IF($A$4&lt;=12,SUMIFS('ON Data'!AG:AG,'ON Data'!$D:$D,$A$4,'ON Data'!$E:$E,5),SUMIFS('ON Data'!AG:AG,'ON Data'!$E:$E,5))</f>
        <v>0</v>
      </c>
      <c r="AC14" s="223">
        <f xml:space="preserve">
IF($A$4&lt;=12,SUMIFS('ON Data'!AH:AH,'ON Data'!$D:$D,$A$4,'ON Data'!$E:$E,5),SUMIFS('ON Data'!AH:AH,'ON Data'!$E:$E,5))</f>
        <v>0</v>
      </c>
      <c r="AD14" s="223">
        <f xml:space="preserve">
IF($A$4&lt;=12,SUMIFS('ON Data'!AI:AI,'ON Data'!$D:$D,$A$4,'ON Data'!$E:$E,5),SUMIFS('ON Data'!AI:AI,'ON Data'!$E:$E,5))</f>
        <v>0</v>
      </c>
      <c r="AE14" s="223">
        <f xml:space="preserve">
IF($A$4&lt;=12,SUMIFS('ON Data'!AJ:AJ,'ON Data'!$D:$D,$A$4,'ON Data'!$E:$E,5),SUMIFS('ON Data'!AJ:AJ,'ON Data'!$E:$E,5))</f>
        <v>0</v>
      </c>
      <c r="AF14" s="223">
        <f xml:space="preserve">
IF($A$4&lt;=12,SUMIFS('ON Data'!AK:AK,'ON Data'!$D:$D,$A$4,'ON Data'!$E:$E,5),SUMIFS('ON Data'!AK:AK,'ON Data'!$E:$E,5))</f>
        <v>0</v>
      </c>
      <c r="AG14" s="223">
        <f xml:space="preserve">
IF($A$4&lt;=12,SUMIFS('ON Data'!AL:AL,'ON Data'!$D:$D,$A$4,'ON Data'!$E:$E,5),SUMIFS('ON Data'!AL:AL,'ON Data'!$E:$E,5))</f>
        <v>0</v>
      </c>
      <c r="AH14" s="356">
        <f xml:space="preserve">
IF($A$4&lt;=12,SUMIFS('ON Data'!AN:AN,'ON Data'!$D:$D,$A$4,'ON Data'!$E:$E,5),SUMIFS('ON Data'!AN:AN,'ON Data'!$E:$E,5))</f>
        <v>0</v>
      </c>
      <c r="AI14" s="365"/>
    </row>
    <row r="15" spans="1:35" x14ac:dyDescent="0.3">
      <c r="A15" s="132" t="s">
        <v>150</v>
      </c>
      <c r="B15" s="224"/>
      <c r="C15" s="225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226"/>
      <c r="Z15" s="226"/>
      <c r="AA15" s="226"/>
      <c r="AB15" s="226"/>
      <c r="AC15" s="226"/>
      <c r="AD15" s="226"/>
      <c r="AE15" s="226"/>
      <c r="AF15" s="226"/>
      <c r="AG15" s="226"/>
      <c r="AH15" s="357"/>
      <c r="AI15" s="365"/>
    </row>
    <row r="16" spans="1:35" x14ac:dyDescent="0.3">
      <c r="A16" s="203" t="s">
        <v>141</v>
      </c>
      <c r="B16" s="218">
        <f xml:space="preserve">
IF($A$4&lt;=12,SUMIFS('ON Data'!F:F,'ON Data'!$D:$D,$A$4,'ON Data'!$E:$E,7),SUMIFS('ON Data'!F:F,'ON Data'!$E:$E,7))</f>
        <v>0</v>
      </c>
      <c r="C16" s="219">
        <f xml:space="preserve">
IF($A$4&lt;=12,SUMIFS('ON Data'!G:G,'ON Data'!$D:$D,$A$4,'ON Data'!$E:$E,7),SUMIFS('ON Data'!G:G,'ON Data'!$E:$E,7))</f>
        <v>0</v>
      </c>
      <c r="D16" s="220">
        <f xml:space="preserve">
IF($A$4&lt;=12,SUMIFS('ON Data'!H:H,'ON Data'!$D:$D,$A$4,'ON Data'!$E:$E,7),SUMIFS('ON Data'!H:H,'ON Data'!$E:$E,7))</f>
        <v>0</v>
      </c>
      <c r="E16" s="220">
        <f xml:space="preserve">
IF($A$4&lt;=12,SUMIFS('ON Data'!I:I,'ON Data'!$D:$D,$A$4,'ON Data'!$E:$E,7),SUMIFS('ON Data'!I:I,'ON Data'!$E:$E,7))</f>
        <v>0</v>
      </c>
      <c r="F16" s="220">
        <f xml:space="preserve">
IF($A$4&lt;=12,SUMIFS('ON Data'!K:K,'ON Data'!$D:$D,$A$4,'ON Data'!$E:$E,7),SUMIFS('ON Data'!K:K,'ON Data'!$E:$E,7))</f>
        <v>0</v>
      </c>
      <c r="G16" s="220">
        <f xml:space="preserve">
IF($A$4&lt;=12,SUMIFS('ON Data'!L:L,'ON Data'!$D:$D,$A$4,'ON Data'!$E:$E,7),SUMIFS('ON Data'!L:L,'ON Data'!$E:$E,7))</f>
        <v>0</v>
      </c>
      <c r="H16" s="220">
        <f xml:space="preserve">
IF($A$4&lt;=12,SUMIFS('ON Data'!M:M,'ON Data'!$D:$D,$A$4,'ON Data'!$E:$E,7),SUMIFS('ON Data'!M:M,'ON Data'!$E:$E,7))</f>
        <v>0</v>
      </c>
      <c r="I16" s="220">
        <f xml:space="preserve">
IF($A$4&lt;=12,SUMIFS('ON Data'!N:N,'ON Data'!$D:$D,$A$4,'ON Data'!$E:$E,7),SUMIFS('ON Data'!N:N,'ON Data'!$E:$E,7))</f>
        <v>0</v>
      </c>
      <c r="J16" s="220">
        <f xml:space="preserve">
IF($A$4&lt;=12,SUMIFS('ON Data'!O:O,'ON Data'!$D:$D,$A$4,'ON Data'!$E:$E,7),SUMIFS('ON Data'!O:O,'ON Data'!$E:$E,7))</f>
        <v>0</v>
      </c>
      <c r="K16" s="220">
        <f xml:space="preserve">
IF($A$4&lt;=12,SUMIFS('ON Data'!P:P,'ON Data'!$D:$D,$A$4,'ON Data'!$E:$E,7),SUMIFS('ON Data'!P:P,'ON Data'!$E:$E,7))</f>
        <v>0</v>
      </c>
      <c r="L16" s="220">
        <f xml:space="preserve">
IF($A$4&lt;=12,SUMIFS('ON Data'!Q:Q,'ON Data'!$D:$D,$A$4,'ON Data'!$E:$E,7),SUMIFS('ON Data'!Q:Q,'ON Data'!$E:$E,7))</f>
        <v>0</v>
      </c>
      <c r="M16" s="220">
        <f xml:space="preserve">
IF($A$4&lt;=12,SUMIFS('ON Data'!R:R,'ON Data'!$D:$D,$A$4,'ON Data'!$E:$E,7),SUMIFS('ON Data'!R:R,'ON Data'!$E:$E,7))</f>
        <v>0</v>
      </c>
      <c r="N16" s="220">
        <f xml:space="preserve">
IF($A$4&lt;=12,SUMIFS('ON Data'!S:S,'ON Data'!$D:$D,$A$4,'ON Data'!$E:$E,7),SUMIFS('ON Data'!S:S,'ON Data'!$E:$E,7))</f>
        <v>0</v>
      </c>
      <c r="O16" s="220">
        <f xml:space="preserve">
IF($A$4&lt;=12,SUMIFS('ON Data'!T:T,'ON Data'!$D:$D,$A$4,'ON Data'!$E:$E,7),SUMIFS('ON Data'!T:T,'ON Data'!$E:$E,7))</f>
        <v>0</v>
      </c>
      <c r="P16" s="220">
        <f xml:space="preserve">
IF($A$4&lt;=12,SUMIFS('ON Data'!U:U,'ON Data'!$D:$D,$A$4,'ON Data'!$E:$E,7),SUMIFS('ON Data'!U:U,'ON Data'!$E:$E,7))</f>
        <v>0</v>
      </c>
      <c r="Q16" s="220">
        <f xml:space="preserve">
IF($A$4&lt;=12,SUMIFS('ON Data'!V:V,'ON Data'!$D:$D,$A$4,'ON Data'!$E:$E,7),SUMIFS('ON Data'!V:V,'ON Data'!$E:$E,7))</f>
        <v>0</v>
      </c>
      <c r="R16" s="220">
        <f xml:space="preserve">
IF($A$4&lt;=12,SUMIFS('ON Data'!W:W,'ON Data'!$D:$D,$A$4,'ON Data'!$E:$E,7),SUMIFS('ON Data'!W:W,'ON Data'!$E:$E,7))</f>
        <v>0</v>
      </c>
      <c r="S16" s="220">
        <f xml:space="preserve">
IF($A$4&lt;=12,SUMIFS('ON Data'!X:X,'ON Data'!$D:$D,$A$4,'ON Data'!$E:$E,7),SUMIFS('ON Data'!X:X,'ON Data'!$E:$E,7))</f>
        <v>0</v>
      </c>
      <c r="T16" s="220">
        <f xml:space="preserve">
IF($A$4&lt;=12,SUMIFS('ON Data'!Y:Y,'ON Data'!$D:$D,$A$4,'ON Data'!$E:$E,7),SUMIFS('ON Data'!Y:Y,'ON Data'!$E:$E,7))</f>
        <v>0</v>
      </c>
      <c r="U16" s="220">
        <f xml:space="preserve">
IF($A$4&lt;=12,SUMIFS('ON Data'!Z:Z,'ON Data'!$D:$D,$A$4,'ON Data'!$E:$E,7),SUMIFS('ON Data'!Z:Z,'ON Data'!$E:$E,7))</f>
        <v>0</v>
      </c>
      <c r="V16" s="220">
        <f xml:space="preserve">
IF($A$4&lt;=12,SUMIFS('ON Data'!AA:AA,'ON Data'!$D:$D,$A$4,'ON Data'!$E:$E,7),SUMIFS('ON Data'!AA:AA,'ON Data'!$E:$E,7))</f>
        <v>0</v>
      </c>
      <c r="W16" s="220">
        <f xml:space="preserve">
IF($A$4&lt;=12,SUMIFS('ON Data'!AB:AB,'ON Data'!$D:$D,$A$4,'ON Data'!$E:$E,7),SUMIFS('ON Data'!AB:AB,'ON Data'!$E:$E,7))</f>
        <v>0</v>
      </c>
      <c r="X16" s="220">
        <f xml:space="preserve">
IF($A$4&lt;=12,SUMIFS('ON Data'!AC:AC,'ON Data'!$D:$D,$A$4,'ON Data'!$E:$E,7),SUMIFS('ON Data'!AC:AC,'ON Data'!$E:$E,7))</f>
        <v>0</v>
      </c>
      <c r="Y16" s="220">
        <f xml:space="preserve">
IF($A$4&lt;=12,SUMIFS('ON Data'!AD:AD,'ON Data'!$D:$D,$A$4,'ON Data'!$E:$E,7),SUMIFS('ON Data'!AD:AD,'ON Data'!$E:$E,7))</f>
        <v>0</v>
      </c>
      <c r="Z16" s="220">
        <f xml:space="preserve">
IF($A$4&lt;=12,SUMIFS('ON Data'!AE:AE,'ON Data'!$D:$D,$A$4,'ON Data'!$E:$E,7),SUMIFS('ON Data'!AE:AE,'ON Data'!$E:$E,7))</f>
        <v>0</v>
      </c>
      <c r="AA16" s="220">
        <f xml:space="preserve">
IF($A$4&lt;=12,SUMIFS('ON Data'!AF:AF,'ON Data'!$D:$D,$A$4,'ON Data'!$E:$E,7),SUMIFS('ON Data'!AF:AF,'ON Data'!$E:$E,7))</f>
        <v>0</v>
      </c>
      <c r="AB16" s="220">
        <f xml:space="preserve">
IF($A$4&lt;=12,SUMIFS('ON Data'!AG:AG,'ON Data'!$D:$D,$A$4,'ON Data'!$E:$E,7),SUMIFS('ON Data'!AG:AG,'ON Data'!$E:$E,7))</f>
        <v>0</v>
      </c>
      <c r="AC16" s="220">
        <f xml:space="preserve">
IF($A$4&lt;=12,SUMIFS('ON Data'!AH:AH,'ON Data'!$D:$D,$A$4,'ON Data'!$E:$E,7),SUMIFS('ON Data'!AH:AH,'ON Data'!$E:$E,7))</f>
        <v>0</v>
      </c>
      <c r="AD16" s="220">
        <f xml:space="preserve">
IF($A$4&lt;=12,SUMIFS('ON Data'!AI:AI,'ON Data'!$D:$D,$A$4,'ON Data'!$E:$E,7),SUMIFS('ON Data'!AI:AI,'ON Data'!$E:$E,7))</f>
        <v>0</v>
      </c>
      <c r="AE16" s="220">
        <f xml:space="preserve">
IF($A$4&lt;=12,SUMIFS('ON Data'!AJ:AJ,'ON Data'!$D:$D,$A$4,'ON Data'!$E:$E,7),SUMIFS('ON Data'!AJ:AJ,'ON Data'!$E:$E,7))</f>
        <v>0</v>
      </c>
      <c r="AF16" s="220">
        <f xml:space="preserve">
IF($A$4&lt;=12,SUMIFS('ON Data'!AK:AK,'ON Data'!$D:$D,$A$4,'ON Data'!$E:$E,7),SUMIFS('ON Data'!AK:AK,'ON Data'!$E:$E,7))</f>
        <v>0</v>
      </c>
      <c r="AG16" s="220">
        <f xml:space="preserve">
IF($A$4&lt;=12,SUMIFS('ON Data'!AL:AL,'ON Data'!$D:$D,$A$4,'ON Data'!$E:$E,7),SUMIFS('ON Data'!AL:AL,'ON Data'!$E:$E,7))</f>
        <v>0</v>
      </c>
      <c r="AH16" s="355">
        <f xml:space="preserve">
IF($A$4&lt;=12,SUMIFS('ON Data'!AN:AN,'ON Data'!$D:$D,$A$4,'ON Data'!$E:$E,7),SUMIFS('ON Data'!AN:AN,'ON Data'!$E:$E,7))</f>
        <v>0</v>
      </c>
      <c r="AI16" s="365"/>
    </row>
    <row r="17" spans="1:35" x14ac:dyDescent="0.3">
      <c r="A17" s="203" t="s">
        <v>142</v>
      </c>
      <c r="B17" s="218">
        <f xml:space="preserve">
IF($A$4&lt;=12,SUMIFS('ON Data'!F:F,'ON Data'!$D:$D,$A$4,'ON Data'!$E:$E,8),SUMIFS('ON Data'!F:F,'ON Data'!$E:$E,8))</f>
        <v>0</v>
      </c>
      <c r="C17" s="219">
        <f xml:space="preserve">
IF($A$4&lt;=12,SUMIFS('ON Data'!G:G,'ON Data'!$D:$D,$A$4,'ON Data'!$E:$E,8),SUMIFS('ON Data'!G:G,'ON Data'!$E:$E,8))</f>
        <v>0</v>
      </c>
      <c r="D17" s="220">
        <f xml:space="preserve">
IF($A$4&lt;=12,SUMIFS('ON Data'!H:H,'ON Data'!$D:$D,$A$4,'ON Data'!$E:$E,8),SUMIFS('ON Data'!H:H,'ON Data'!$E:$E,8))</f>
        <v>0</v>
      </c>
      <c r="E17" s="220">
        <f xml:space="preserve">
IF($A$4&lt;=12,SUMIFS('ON Data'!I:I,'ON Data'!$D:$D,$A$4,'ON Data'!$E:$E,8),SUMIFS('ON Data'!I:I,'ON Data'!$E:$E,8))</f>
        <v>0</v>
      </c>
      <c r="F17" s="220">
        <f xml:space="preserve">
IF($A$4&lt;=12,SUMIFS('ON Data'!K:K,'ON Data'!$D:$D,$A$4,'ON Data'!$E:$E,8),SUMIFS('ON Data'!K:K,'ON Data'!$E:$E,8))</f>
        <v>0</v>
      </c>
      <c r="G17" s="220">
        <f xml:space="preserve">
IF($A$4&lt;=12,SUMIFS('ON Data'!L:L,'ON Data'!$D:$D,$A$4,'ON Data'!$E:$E,8),SUMIFS('ON Data'!L:L,'ON Data'!$E:$E,8))</f>
        <v>0</v>
      </c>
      <c r="H17" s="220">
        <f xml:space="preserve">
IF($A$4&lt;=12,SUMIFS('ON Data'!M:M,'ON Data'!$D:$D,$A$4,'ON Data'!$E:$E,8),SUMIFS('ON Data'!M:M,'ON Data'!$E:$E,8))</f>
        <v>0</v>
      </c>
      <c r="I17" s="220">
        <f xml:space="preserve">
IF($A$4&lt;=12,SUMIFS('ON Data'!N:N,'ON Data'!$D:$D,$A$4,'ON Data'!$E:$E,8),SUMIFS('ON Data'!N:N,'ON Data'!$E:$E,8))</f>
        <v>0</v>
      </c>
      <c r="J17" s="220">
        <f xml:space="preserve">
IF($A$4&lt;=12,SUMIFS('ON Data'!O:O,'ON Data'!$D:$D,$A$4,'ON Data'!$E:$E,8),SUMIFS('ON Data'!O:O,'ON Data'!$E:$E,8))</f>
        <v>0</v>
      </c>
      <c r="K17" s="220">
        <f xml:space="preserve">
IF($A$4&lt;=12,SUMIFS('ON Data'!P:P,'ON Data'!$D:$D,$A$4,'ON Data'!$E:$E,8),SUMIFS('ON Data'!P:P,'ON Data'!$E:$E,8))</f>
        <v>0</v>
      </c>
      <c r="L17" s="220">
        <f xml:space="preserve">
IF($A$4&lt;=12,SUMIFS('ON Data'!Q:Q,'ON Data'!$D:$D,$A$4,'ON Data'!$E:$E,8),SUMIFS('ON Data'!Q:Q,'ON Data'!$E:$E,8))</f>
        <v>0</v>
      </c>
      <c r="M17" s="220">
        <f xml:space="preserve">
IF($A$4&lt;=12,SUMIFS('ON Data'!R:R,'ON Data'!$D:$D,$A$4,'ON Data'!$E:$E,8),SUMIFS('ON Data'!R:R,'ON Data'!$E:$E,8))</f>
        <v>0</v>
      </c>
      <c r="N17" s="220">
        <f xml:space="preserve">
IF($A$4&lt;=12,SUMIFS('ON Data'!S:S,'ON Data'!$D:$D,$A$4,'ON Data'!$E:$E,8),SUMIFS('ON Data'!S:S,'ON Data'!$E:$E,8))</f>
        <v>0</v>
      </c>
      <c r="O17" s="220">
        <f xml:space="preserve">
IF($A$4&lt;=12,SUMIFS('ON Data'!T:T,'ON Data'!$D:$D,$A$4,'ON Data'!$E:$E,8),SUMIFS('ON Data'!T:T,'ON Data'!$E:$E,8))</f>
        <v>0</v>
      </c>
      <c r="P17" s="220">
        <f xml:space="preserve">
IF($A$4&lt;=12,SUMIFS('ON Data'!U:U,'ON Data'!$D:$D,$A$4,'ON Data'!$E:$E,8),SUMIFS('ON Data'!U:U,'ON Data'!$E:$E,8))</f>
        <v>0</v>
      </c>
      <c r="Q17" s="220">
        <f xml:space="preserve">
IF($A$4&lt;=12,SUMIFS('ON Data'!V:V,'ON Data'!$D:$D,$A$4,'ON Data'!$E:$E,8),SUMIFS('ON Data'!V:V,'ON Data'!$E:$E,8))</f>
        <v>0</v>
      </c>
      <c r="R17" s="220">
        <f xml:space="preserve">
IF($A$4&lt;=12,SUMIFS('ON Data'!W:W,'ON Data'!$D:$D,$A$4,'ON Data'!$E:$E,8),SUMIFS('ON Data'!W:W,'ON Data'!$E:$E,8))</f>
        <v>0</v>
      </c>
      <c r="S17" s="220">
        <f xml:space="preserve">
IF($A$4&lt;=12,SUMIFS('ON Data'!X:X,'ON Data'!$D:$D,$A$4,'ON Data'!$E:$E,8),SUMIFS('ON Data'!X:X,'ON Data'!$E:$E,8))</f>
        <v>0</v>
      </c>
      <c r="T17" s="220">
        <f xml:space="preserve">
IF($A$4&lt;=12,SUMIFS('ON Data'!Y:Y,'ON Data'!$D:$D,$A$4,'ON Data'!$E:$E,8),SUMIFS('ON Data'!Y:Y,'ON Data'!$E:$E,8))</f>
        <v>0</v>
      </c>
      <c r="U17" s="220">
        <f xml:space="preserve">
IF($A$4&lt;=12,SUMIFS('ON Data'!Z:Z,'ON Data'!$D:$D,$A$4,'ON Data'!$E:$E,8),SUMIFS('ON Data'!Z:Z,'ON Data'!$E:$E,8))</f>
        <v>0</v>
      </c>
      <c r="V17" s="220">
        <f xml:space="preserve">
IF($A$4&lt;=12,SUMIFS('ON Data'!AA:AA,'ON Data'!$D:$D,$A$4,'ON Data'!$E:$E,8),SUMIFS('ON Data'!AA:AA,'ON Data'!$E:$E,8))</f>
        <v>0</v>
      </c>
      <c r="W17" s="220">
        <f xml:space="preserve">
IF($A$4&lt;=12,SUMIFS('ON Data'!AB:AB,'ON Data'!$D:$D,$A$4,'ON Data'!$E:$E,8),SUMIFS('ON Data'!AB:AB,'ON Data'!$E:$E,8))</f>
        <v>0</v>
      </c>
      <c r="X17" s="220">
        <f xml:space="preserve">
IF($A$4&lt;=12,SUMIFS('ON Data'!AC:AC,'ON Data'!$D:$D,$A$4,'ON Data'!$E:$E,8),SUMIFS('ON Data'!AC:AC,'ON Data'!$E:$E,8))</f>
        <v>0</v>
      </c>
      <c r="Y17" s="220">
        <f xml:space="preserve">
IF($A$4&lt;=12,SUMIFS('ON Data'!AD:AD,'ON Data'!$D:$D,$A$4,'ON Data'!$E:$E,8),SUMIFS('ON Data'!AD:AD,'ON Data'!$E:$E,8))</f>
        <v>0</v>
      </c>
      <c r="Z17" s="220">
        <f xml:space="preserve">
IF($A$4&lt;=12,SUMIFS('ON Data'!AE:AE,'ON Data'!$D:$D,$A$4,'ON Data'!$E:$E,8),SUMIFS('ON Data'!AE:AE,'ON Data'!$E:$E,8))</f>
        <v>0</v>
      </c>
      <c r="AA17" s="220">
        <f xml:space="preserve">
IF($A$4&lt;=12,SUMIFS('ON Data'!AF:AF,'ON Data'!$D:$D,$A$4,'ON Data'!$E:$E,8),SUMIFS('ON Data'!AF:AF,'ON Data'!$E:$E,8))</f>
        <v>0</v>
      </c>
      <c r="AB17" s="220">
        <f xml:space="preserve">
IF($A$4&lt;=12,SUMIFS('ON Data'!AG:AG,'ON Data'!$D:$D,$A$4,'ON Data'!$E:$E,8),SUMIFS('ON Data'!AG:AG,'ON Data'!$E:$E,8))</f>
        <v>0</v>
      </c>
      <c r="AC17" s="220">
        <f xml:space="preserve">
IF($A$4&lt;=12,SUMIFS('ON Data'!AH:AH,'ON Data'!$D:$D,$A$4,'ON Data'!$E:$E,8),SUMIFS('ON Data'!AH:AH,'ON Data'!$E:$E,8))</f>
        <v>0</v>
      </c>
      <c r="AD17" s="220">
        <f xml:space="preserve">
IF($A$4&lt;=12,SUMIFS('ON Data'!AI:AI,'ON Data'!$D:$D,$A$4,'ON Data'!$E:$E,8),SUMIFS('ON Data'!AI:AI,'ON Data'!$E:$E,8))</f>
        <v>0</v>
      </c>
      <c r="AE17" s="220">
        <f xml:space="preserve">
IF($A$4&lt;=12,SUMIFS('ON Data'!AJ:AJ,'ON Data'!$D:$D,$A$4,'ON Data'!$E:$E,8),SUMIFS('ON Data'!AJ:AJ,'ON Data'!$E:$E,8))</f>
        <v>0</v>
      </c>
      <c r="AF17" s="220">
        <f xml:space="preserve">
IF($A$4&lt;=12,SUMIFS('ON Data'!AK:AK,'ON Data'!$D:$D,$A$4,'ON Data'!$E:$E,8),SUMIFS('ON Data'!AK:AK,'ON Data'!$E:$E,8))</f>
        <v>0</v>
      </c>
      <c r="AG17" s="220">
        <f xml:space="preserve">
IF($A$4&lt;=12,SUMIFS('ON Data'!AL:AL,'ON Data'!$D:$D,$A$4,'ON Data'!$E:$E,8),SUMIFS('ON Data'!AL:AL,'ON Data'!$E:$E,8))</f>
        <v>0</v>
      </c>
      <c r="AH17" s="355">
        <f xml:space="preserve">
IF($A$4&lt;=12,SUMIFS('ON Data'!AN:AN,'ON Data'!$D:$D,$A$4,'ON Data'!$E:$E,8),SUMIFS('ON Data'!AN:AN,'ON Data'!$E:$E,8))</f>
        <v>0</v>
      </c>
      <c r="AI17" s="365"/>
    </row>
    <row r="18" spans="1:35" x14ac:dyDescent="0.3">
      <c r="A18" s="203" t="s">
        <v>143</v>
      </c>
      <c r="B18" s="218">
        <f xml:space="preserve">
B19-B16-B17</f>
        <v>90827</v>
      </c>
      <c r="C18" s="219">
        <f t="shared" ref="C18:G18" si="0" xml:space="preserve">
C19-C16-C17</f>
        <v>0</v>
      </c>
      <c r="D18" s="220">
        <f t="shared" si="0"/>
        <v>82920</v>
      </c>
      <c r="E18" s="220">
        <f t="shared" si="0"/>
        <v>0</v>
      </c>
      <c r="F18" s="220">
        <f t="shared" si="0"/>
        <v>0</v>
      </c>
      <c r="G18" s="220">
        <f t="shared" si="0"/>
        <v>0</v>
      </c>
      <c r="H18" s="220">
        <f t="shared" ref="H18:AH18" si="1" xml:space="preserve">
H19-H16-H17</f>
        <v>0</v>
      </c>
      <c r="I18" s="220">
        <f t="shared" si="1"/>
        <v>0</v>
      </c>
      <c r="J18" s="220">
        <f t="shared" si="1"/>
        <v>0</v>
      </c>
      <c r="K18" s="220">
        <f t="shared" si="1"/>
        <v>0</v>
      </c>
      <c r="L18" s="220">
        <f t="shared" si="1"/>
        <v>0</v>
      </c>
      <c r="M18" s="220">
        <f t="shared" si="1"/>
        <v>0</v>
      </c>
      <c r="N18" s="220">
        <f t="shared" si="1"/>
        <v>0</v>
      </c>
      <c r="O18" s="220">
        <f t="shared" si="1"/>
        <v>0</v>
      </c>
      <c r="P18" s="220">
        <f t="shared" si="1"/>
        <v>0</v>
      </c>
      <c r="Q18" s="220">
        <f t="shared" si="1"/>
        <v>0</v>
      </c>
      <c r="R18" s="220">
        <f t="shared" si="1"/>
        <v>0</v>
      </c>
      <c r="S18" s="220">
        <f t="shared" si="1"/>
        <v>0</v>
      </c>
      <c r="T18" s="220">
        <f t="shared" si="1"/>
        <v>0</v>
      </c>
      <c r="U18" s="220">
        <f t="shared" si="1"/>
        <v>0</v>
      </c>
      <c r="V18" s="220">
        <f t="shared" si="1"/>
        <v>837</v>
      </c>
      <c r="W18" s="220">
        <f t="shared" si="1"/>
        <v>0</v>
      </c>
      <c r="X18" s="220">
        <f t="shared" si="1"/>
        <v>0</v>
      </c>
      <c r="Y18" s="220">
        <f t="shared" si="1"/>
        <v>0</v>
      </c>
      <c r="Z18" s="220">
        <f t="shared" si="1"/>
        <v>0</v>
      </c>
      <c r="AA18" s="220">
        <f t="shared" si="1"/>
        <v>0</v>
      </c>
      <c r="AB18" s="220">
        <f t="shared" si="1"/>
        <v>0</v>
      </c>
      <c r="AC18" s="220">
        <f t="shared" si="1"/>
        <v>0</v>
      </c>
      <c r="AD18" s="220">
        <f t="shared" si="1"/>
        <v>0</v>
      </c>
      <c r="AE18" s="220">
        <f t="shared" si="1"/>
        <v>0</v>
      </c>
      <c r="AF18" s="220">
        <f t="shared" si="1"/>
        <v>0</v>
      </c>
      <c r="AG18" s="220">
        <f t="shared" si="1"/>
        <v>0</v>
      </c>
      <c r="AH18" s="355">
        <f t="shared" si="1"/>
        <v>7070</v>
      </c>
      <c r="AI18" s="365"/>
    </row>
    <row r="19" spans="1:35" ht="15" thickBot="1" x14ac:dyDescent="0.35">
      <c r="A19" s="204" t="s">
        <v>144</v>
      </c>
      <c r="B19" s="227">
        <f xml:space="preserve">
IF($A$4&lt;=12,SUMIFS('ON Data'!F:F,'ON Data'!$D:$D,$A$4,'ON Data'!$E:$E,9),SUMIFS('ON Data'!F:F,'ON Data'!$E:$E,9))</f>
        <v>90827</v>
      </c>
      <c r="C19" s="228">
        <f xml:space="preserve">
IF($A$4&lt;=12,SUMIFS('ON Data'!G:G,'ON Data'!$D:$D,$A$4,'ON Data'!$E:$E,9),SUMIFS('ON Data'!G:G,'ON Data'!$E:$E,9))</f>
        <v>0</v>
      </c>
      <c r="D19" s="229">
        <f xml:space="preserve">
IF($A$4&lt;=12,SUMIFS('ON Data'!H:H,'ON Data'!$D:$D,$A$4,'ON Data'!$E:$E,9),SUMIFS('ON Data'!H:H,'ON Data'!$E:$E,9))</f>
        <v>82920</v>
      </c>
      <c r="E19" s="229">
        <f xml:space="preserve">
IF($A$4&lt;=12,SUMIFS('ON Data'!I:I,'ON Data'!$D:$D,$A$4,'ON Data'!$E:$E,9),SUMIFS('ON Data'!I:I,'ON Data'!$E:$E,9))</f>
        <v>0</v>
      </c>
      <c r="F19" s="229">
        <f xml:space="preserve">
IF($A$4&lt;=12,SUMIFS('ON Data'!K:K,'ON Data'!$D:$D,$A$4,'ON Data'!$E:$E,9),SUMIFS('ON Data'!K:K,'ON Data'!$E:$E,9))</f>
        <v>0</v>
      </c>
      <c r="G19" s="229">
        <f xml:space="preserve">
IF($A$4&lt;=12,SUMIFS('ON Data'!L:L,'ON Data'!$D:$D,$A$4,'ON Data'!$E:$E,9),SUMIFS('ON Data'!L:L,'ON Data'!$E:$E,9))</f>
        <v>0</v>
      </c>
      <c r="H19" s="229">
        <f xml:space="preserve">
IF($A$4&lt;=12,SUMIFS('ON Data'!M:M,'ON Data'!$D:$D,$A$4,'ON Data'!$E:$E,9),SUMIFS('ON Data'!M:M,'ON Data'!$E:$E,9))</f>
        <v>0</v>
      </c>
      <c r="I19" s="229">
        <f xml:space="preserve">
IF($A$4&lt;=12,SUMIFS('ON Data'!N:N,'ON Data'!$D:$D,$A$4,'ON Data'!$E:$E,9),SUMIFS('ON Data'!N:N,'ON Data'!$E:$E,9))</f>
        <v>0</v>
      </c>
      <c r="J19" s="229">
        <f xml:space="preserve">
IF($A$4&lt;=12,SUMIFS('ON Data'!O:O,'ON Data'!$D:$D,$A$4,'ON Data'!$E:$E,9),SUMIFS('ON Data'!O:O,'ON Data'!$E:$E,9))</f>
        <v>0</v>
      </c>
      <c r="K19" s="229">
        <f xml:space="preserve">
IF($A$4&lt;=12,SUMIFS('ON Data'!P:P,'ON Data'!$D:$D,$A$4,'ON Data'!$E:$E,9),SUMIFS('ON Data'!P:P,'ON Data'!$E:$E,9))</f>
        <v>0</v>
      </c>
      <c r="L19" s="229">
        <f xml:space="preserve">
IF($A$4&lt;=12,SUMIFS('ON Data'!Q:Q,'ON Data'!$D:$D,$A$4,'ON Data'!$E:$E,9),SUMIFS('ON Data'!Q:Q,'ON Data'!$E:$E,9))</f>
        <v>0</v>
      </c>
      <c r="M19" s="229">
        <f xml:space="preserve">
IF($A$4&lt;=12,SUMIFS('ON Data'!R:R,'ON Data'!$D:$D,$A$4,'ON Data'!$E:$E,9),SUMIFS('ON Data'!R:R,'ON Data'!$E:$E,9))</f>
        <v>0</v>
      </c>
      <c r="N19" s="229">
        <f xml:space="preserve">
IF($A$4&lt;=12,SUMIFS('ON Data'!S:S,'ON Data'!$D:$D,$A$4,'ON Data'!$E:$E,9),SUMIFS('ON Data'!S:S,'ON Data'!$E:$E,9))</f>
        <v>0</v>
      </c>
      <c r="O19" s="229">
        <f xml:space="preserve">
IF($A$4&lt;=12,SUMIFS('ON Data'!T:T,'ON Data'!$D:$D,$A$4,'ON Data'!$E:$E,9),SUMIFS('ON Data'!T:T,'ON Data'!$E:$E,9))</f>
        <v>0</v>
      </c>
      <c r="P19" s="229">
        <f xml:space="preserve">
IF($A$4&lt;=12,SUMIFS('ON Data'!U:U,'ON Data'!$D:$D,$A$4,'ON Data'!$E:$E,9),SUMIFS('ON Data'!U:U,'ON Data'!$E:$E,9))</f>
        <v>0</v>
      </c>
      <c r="Q19" s="229">
        <f xml:space="preserve">
IF($A$4&lt;=12,SUMIFS('ON Data'!V:V,'ON Data'!$D:$D,$A$4,'ON Data'!$E:$E,9),SUMIFS('ON Data'!V:V,'ON Data'!$E:$E,9))</f>
        <v>0</v>
      </c>
      <c r="R19" s="229">
        <f xml:space="preserve">
IF($A$4&lt;=12,SUMIFS('ON Data'!W:W,'ON Data'!$D:$D,$A$4,'ON Data'!$E:$E,9),SUMIFS('ON Data'!W:W,'ON Data'!$E:$E,9))</f>
        <v>0</v>
      </c>
      <c r="S19" s="229">
        <f xml:space="preserve">
IF($A$4&lt;=12,SUMIFS('ON Data'!X:X,'ON Data'!$D:$D,$A$4,'ON Data'!$E:$E,9),SUMIFS('ON Data'!X:X,'ON Data'!$E:$E,9))</f>
        <v>0</v>
      </c>
      <c r="T19" s="229">
        <f xml:space="preserve">
IF($A$4&lt;=12,SUMIFS('ON Data'!Y:Y,'ON Data'!$D:$D,$A$4,'ON Data'!$E:$E,9),SUMIFS('ON Data'!Y:Y,'ON Data'!$E:$E,9))</f>
        <v>0</v>
      </c>
      <c r="U19" s="229">
        <f xml:space="preserve">
IF($A$4&lt;=12,SUMIFS('ON Data'!Z:Z,'ON Data'!$D:$D,$A$4,'ON Data'!$E:$E,9),SUMIFS('ON Data'!Z:Z,'ON Data'!$E:$E,9))</f>
        <v>0</v>
      </c>
      <c r="V19" s="229">
        <f xml:space="preserve">
IF($A$4&lt;=12,SUMIFS('ON Data'!AA:AA,'ON Data'!$D:$D,$A$4,'ON Data'!$E:$E,9),SUMIFS('ON Data'!AA:AA,'ON Data'!$E:$E,9))</f>
        <v>837</v>
      </c>
      <c r="W19" s="229">
        <f xml:space="preserve">
IF($A$4&lt;=12,SUMIFS('ON Data'!AB:AB,'ON Data'!$D:$D,$A$4,'ON Data'!$E:$E,9),SUMIFS('ON Data'!AB:AB,'ON Data'!$E:$E,9))</f>
        <v>0</v>
      </c>
      <c r="X19" s="229">
        <f xml:space="preserve">
IF($A$4&lt;=12,SUMIFS('ON Data'!AC:AC,'ON Data'!$D:$D,$A$4,'ON Data'!$E:$E,9),SUMIFS('ON Data'!AC:AC,'ON Data'!$E:$E,9))</f>
        <v>0</v>
      </c>
      <c r="Y19" s="229">
        <f xml:space="preserve">
IF($A$4&lt;=12,SUMIFS('ON Data'!AD:AD,'ON Data'!$D:$D,$A$4,'ON Data'!$E:$E,9),SUMIFS('ON Data'!AD:AD,'ON Data'!$E:$E,9))</f>
        <v>0</v>
      </c>
      <c r="Z19" s="229">
        <f xml:space="preserve">
IF($A$4&lt;=12,SUMIFS('ON Data'!AE:AE,'ON Data'!$D:$D,$A$4,'ON Data'!$E:$E,9),SUMIFS('ON Data'!AE:AE,'ON Data'!$E:$E,9))</f>
        <v>0</v>
      </c>
      <c r="AA19" s="229">
        <f xml:space="preserve">
IF($A$4&lt;=12,SUMIFS('ON Data'!AF:AF,'ON Data'!$D:$D,$A$4,'ON Data'!$E:$E,9),SUMIFS('ON Data'!AF:AF,'ON Data'!$E:$E,9))</f>
        <v>0</v>
      </c>
      <c r="AB19" s="229">
        <f xml:space="preserve">
IF($A$4&lt;=12,SUMIFS('ON Data'!AG:AG,'ON Data'!$D:$D,$A$4,'ON Data'!$E:$E,9),SUMIFS('ON Data'!AG:AG,'ON Data'!$E:$E,9))</f>
        <v>0</v>
      </c>
      <c r="AC19" s="229">
        <f xml:space="preserve">
IF($A$4&lt;=12,SUMIFS('ON Data'!AH:AH,'ON Data'!$D:$D,$A$4,'ON Data'!$E:$E,9),SUMIFS('ON Data'!AH:AH,'ON Data'!$E:$E,9))</f>
        <v>0</v>
      </c>
      <c r="AD19" s="229">
        <f xml:space="preserve">
IF($A$4&lt;=12,SUMIFS('ON Data'!AI:AI,'ON Data'!$D:$D,$A$4,'ON Data'!$E:$E,9),SUMIFS('ON Data'!AI:AI,'ON Data'!$E:$E,9))</f>
        <v>0</v>
      </c>
      <c r="AE19" s="229">
        <f xml:space="preserve">
IF($A$4&lt;=12,SUMIFS('ON Data'!AJ:AJ,'ON Data'!$D:$D,$A$4,'ON Data'!$E:$E,9),SUMIFS('ON Data'!AJ:AJ,'ON Data'!$E:$E,9))</f>
        <v>0</v>
      </c>
      <c r="AF19" s="229">
        <f xml:space="preserve">
IF($A$4&lt;=12,SUMIFS('ON Data'!AK:AK,'ON Data'!$D:$D,$A$4,'ON Data'!$E:$E,9),SUMIFS('ON Data'!AK:AK,'ON Data'!$E:$E,9))</f>
        <v>0</v>
      </c>
      <c r="AG19" s="229">
        <f xml:space="preserve">
IF($A$4&lt;=12,SUMIFS('ON Data'!AL:AL,'ON Data'!$D:$D,$A$4,'ON Data'!$E:$E,9),SUMIFS('ON Data'!AL:AL,'ON Data'!$E:$E,9))</f>
        <v>0</v>
      </c>
      <c r="AH19" s="358">
        <f xml:space="preserve">
IF($A$4&lt;=12,SUMIFS('ON Data'!AN:AN,'ON Data'!$D:$D,$A$4,'ON Data'!$E:$E,9),SUMIFS('ON Data'!AN:AN,'ON Data'!$E:$E,9))</f>
        <v>7070</v>
      </c>
      <c r="AI19" s="365"/>
    </row>
    <row r="20" spans="1:35" ht="15" collapsed="1" thickBot="1" x14ac:dyDescent="0.35">
      <c r="A20" s="205" t="s">
        <v>49</v>
      </c>
      <c r="B20" s="230">
        <f xml:space="preserve">
IF($A$4&lt;=12,SUMIFS('ON Data'!F:F,'ON Data'!$D:$D,$A$4,'ON Data'!$E:$E,6),SUMIFS('ON Data'!F:F,'ON Data'!$E:$E,6))</f>
        <v>705774</v>
      </c>
      <c r="C20" s="231">
        <f xml:space="preserve">
IF($A$4&lt;=12,SUMIFS('ON Data'!G:G,'ON Data'!$D:$D,$A$4,'ON Data'!$E:$E,6),SUMIFS('ON Data'!G:G,'ON Data'!$E:$E,6))</f>
        <v>0</v>
      </c>
      <c r="D20" s="232">
        <f xml:space="preserve">
IF($A$4&lt;=12,SUMIFS('ON Data'!H:H,'ON Data'!$D:$D,$A$4,'ON Data'!$E:$E,6),SUMIFS('ON Data'!H:H,'ON Data'!$E:$E,6))</f>
        <v>612758</v>
      </c>
      <c r="E20" s="232">
        <f xml:space="preserve">
IF($A$4&lt;=12,SUMIFS('ON Data'!I:I,'ON Data'!$D:$D,$A$4,'ON Data'!$E:$E,6),SUMIFS('ON Data'!I:I,'ON Data'!$E:$E,6))</f>
        <v>0</v>
      </c>
      <c r="F20" s="232">
        <f xml:space="preserve">
IF($A$4&lt;=12,SUMIFS('ON Data'!K:K,'ON Data'!$D:$D,$A$4,'ON Data'!$E:$E,6),SUMIFS('ON Data'!K:K,'ON Data'!$E:$E,6))</f>
        <v>0</v>
      </c>
      <c r="G20" s="232">
        <f xml:space="preserve">
IF($A$4&lt;=12,SUMIFS('ON Data'!L:L,'ON Data'!$D:$D,$A$4,'ON Data'!$E:$E,6),SUMIFS('ON Data'!L:L,'ON Data'!$E:$E,6))</f>
        <v>0</v>
      </c>
      <c r="H20" s="232">
        <f xml:space="preserve">
IF($A$4&lt;=12,SUMIFS('ON Data'!M:M,'ON Data'!$D:$D,$A$4,'ON Data'!$E:$E,6),SUMIFS('ON Data'!M:M,'ON Data'!$E:$E,6))</f>
        <v>0</v>
      </c>
      <c r="I20" s="232">
        <f xml:space="preserve">
IF($A$4&lt;=12,SUMIFS('ON Data'!N:N,'ON Data'!$D:$D,$A$4,'ON Data'!$E:$E,6),SUMIFS('ON Data'!N:N,'ON Data'!$E:$E,6))</f>
        <v>0</v>
      </c>
      <c r="J20" s="232">
        <f xml:space="preserve">
IF($A$4&lt;=12,SUMIFS('ON Data'!O:O,'ON Data'!$D:$D,$A$4,'ON Data'!$E:$E,6),SUMIFS('ON Data'!O:O,'ON Data'!$E:$E,6))</f>
        <v>0</v>
      </c>
      <c r="K20" s="232">
        <f xml:space="preserve">
IF($A$4&lt;=12,SUMIFS('ON Data'!P:P,'ON Data'!$D:$D,$A$4,'ON Data'!$E:$E,6),SUMIFS('ON Data'!P:P,'ON Data'!$E:$E,6))</f>
        <v>0</v>
      </c>
      <c r="L20" s="232">
        <f xml:space="preserve">
IF($A$4&lt;=12,SUMIFS('ON Data'!Q:Q,'ON Data'!$D:$D,$A$4,'ON Data'!$E:$E,6),SUMIFS('ON Data'!Q:Q,'ON Data'!$E:$E,6))</f>
        <v>0</v>
      </c>
      <c r="M20" s="232">
        <f xml:space="preserve">
IF($A$4&lt;=12,SUMIFS('ON Data'!R:R,'ON Data'!$D:$D,$A$4,'ON Data'!$E:$E,6),SUMIFS('ON Data'!R:R,'ON Data'!$E:$E,6))</f>
        <v>0</v>
      </c>
      <c r="N20" s="232">
        <f xml:space="preserve">
IF($A$4&lt;=12,SUMIFS('ON Data'!S:S,'ON Data'!$D:$D,$A$4,'ON Data'!$E:$E,6),SUMIFS('ON Data'!S:S,'ON Data'!$E:$E,6))</f>
        <v>0</v>
      </c>
      <c r="O20" s="232">
        <f xml:space="preserve">
IF($A$4&lt;=12,SUMIFS('ON Data'!T:T,'ON Data'!$D:$D,$A$4,'ON Data'!$E:$E,6),SUMIFS('ON Data'!T:T,'ON Data'!$E:$E,6))</f>
        <v>0</v>
      </c>
      <c r="P20" s="232">
        <f xml:space="preserve">
IF($A$4&lt;=12,SUMIFS('ON Data'!U:U,'ON Data'!$D:$D,$A$4,'ON Data'!$E:$E,6),SUMIFS('ON Data'!U:U,'ON Data'!$E:$E,6))</f>
        <v>0</v>
      </c>
      <c r="Q20" s="232">
        <f xml:space="preserve">
IF($A$4&lt;=12,SUMIFS('ON Data'!V:V,'ON Data'!$D:$D,$A$4,'ON Data'!$E:$E,6),SUMIFS('ON Data'!V:V,'ON Data'!$E:$E,6))</f>
        <v>0</v>
      </c>
      <c r="R20" s="232">
        <f xml:space="preserve">
IF($A$4&lt;=12,SUMIFS('ON Data'!W:W,'ON Data'!$D:$D,$A$4,'ON Data'!$E:$E,6),SUMIFS('ON Data'!W:W,'ON Data'!$E:$E,6))</f>
        <v>0</v>
      </c>
      <c r="S20" s="232">
        <f xml:space="preserve">
IF($A$4&lt;=12,SUMIFS('ON Data'!X:X,'ON Data'!$D:$D,$A$4,'ON Data'!$E:$E,6),SUMIFS('ON Data'!X:X,'ON Data'!$E:$E,6))</f>
        <v>0</v>
      </c>
      <c r="T20" s="232">
        <f xml:space="preserve">
IF($A$4&lt;=12,SUMIFS('ON Data'!Y:Y,'ON Data'!$D:$D,$A$4,'ON Data'!$E:$E,6),SUMIFS('ON Data'!Y:Y,'ON Data'!$E:$E,6))</f>
        <v>0</v>
      </c>
      <c r="U20" s="232">
        <f xml:space="preserve">
IF($A$4&lt;=12,SUMIFS('ON Data'!Z:Z,'ON Data'!$D:$D,$A$4,'ON Data'!$E:$E,6),SUMIFS('ON Data'!Z:Z,'ON Data'!$E:$E,6))</f>
        <v>0</v>
      </c>
      <c r="V20" s="232">
        <f xml:space="preserve">
IF($A$4&lt;=12,SUMIFS('ON Data'!AA:AA,'ON Data'!$D:$D,$A$4,'ON Data'!$E:$E,6),SUMIFS('ON Data'!AA:AA,'ON Data'!$E:$E,6))</f>
        <v>14290</v>
      </c>
      <c r="W20" s="232">
        <f xml:space="preserve">
IF($A$4&lt;=12,SUMIFS('ON Data'!AB:AB,'ON Data'!$D:$D,$A$4,'ON Data'!$E:$E,6),SUMIFS('ON Data'!AB:AB,'ON Data'!$E:$E,6))</f>
        <v>0</v>
      </c>
      <c r="X20" s="232">
        <f xml:space="preserve">
IF($A$4&lt;=12,SUMIFS('ON Data'!AC:AC,'ON Data'!$D:$D,$A$4,'ON Data'!$E:$E,6),SUMIFS('ON Data'!AC:AC,'ON Data'!$E:$E,6))</f>
        <v>0</v>
      </c>
      <c r="Y20" s="232">
        <f xml:space="preserve">
IF($A$4&lt;=12,SUMIFS('ON Data'!AD:AD,'ON Data'!$D:$D,$A$4,'ON Data'!$E:$E,6),SUMIFS('ON Data'!AD:AD,'ON Data'!$E:$E,6))</f>
        <v>0</v>
      </c>
      <c r="Z20" s="232">
        <f xml:space="preserve">
IF($A$4&lt;=12,SUMIFS('ON Data'!AE:AE,'ON Data'!$D:$D,$A$4,'ON Data'!$E:$E,6),SUMIFS('ON Data'!AE:AE,'ON Data'!$E:$E,6))</f>
        <v>0</v>
      </c>
      <c r="AA20" s="232">
        <f xml:space="preserve">
IF($A$4&lt;=12,SUMIFS('ON Data'!AF:AF,'ON Data'!$D:$D,$A$4,'ON Data'!$E:$E,6),SUMIFS('ON Data'!AF:AF,'ON Data'!$E:$E,6))</f>
        <v>0</v>
      </c>
      <c r="AB20" s="232">
        <f xml:space="preserve">
IF($A$4&lt;=12,SUMIFS('ON Data'!AG:AG,'ON Data'!$D:$D,$A$4,'ON Data'!$E:$E,6),SUMIFS('ON Data'!AG:AG,'ON Data'!$E:$E,6))</f>
        <v>0</v>
      </c>
      <c r="AC20" s="232">
        <f xml:space="preserve">
IF($A$4&lt;=12,SUMIFS('ON Data'!AH:AH,'ON Data'!$D:$D,$A$4,'ON Data'!$E:$E,6),SUMIFS('ON Data'!AH:AH,'ON Data'!$E:$E,6))</f>
        <v>0</v>
      </c>
      <c r="AD20" s="232">
        <f xml:space="preserve">
IF($A$4&lt;=12,SUMIFS('ON Data'!AI:AI,'ON Data'!$D:$D,$A$4,'ON Data'!$E:$E,6),SUMIFS('ON Data'!AI:AI,'ON Data'!$E:$E,6))</f>
        <v>0</v>
      </c>
      <c r="AE20" s="232">
        <f xml:space="preserve">
IF($A$4&lt;=12,SUMIFS('ON Data'!AJ:AJ,'ON Data'!$D:$D,$A$4,'ON Data'!$E:$E,6),SUMIFS('ON Data'!AJ:AJ,'ON Data'!$E:$E,6))</f>
        <v>0</v>
      </c>
      <c r="AF20" s="232">
        <f xml:space="preserve">
IF($A$4&lt;=12,SUMIFS('ON Data'!AK:AK,'ON Data'!$D:$D,$A$4,'ON Data'!$E:$E,6),SUMIFS('ON Data'!AK:AK,'ON Data'!$E:$E,6))</f>
        <v>0</v>
      </c>
      <c r="AG20" s="232">
        <f xml:space="preserve">
IF($A$4&lt;=12,SUMIFS('ON Data'!AL:AL,'ON Data'!$D:$D,$A$4,'ON Data'!$E:$E,6),SUMIFS('ON Data'!AL:AL,'ON Data'!$E:$E,6))</f>
        <v>0</v>
      </c>
      <c r="AH20" s="359">
        <f xml:space="preserve">
IF($A$4&lt;=12,SUMIFS('ON Data'!AN:AN,'ON Data'!$D:$D,$A$4,'ON Data'!$E:$E,6),SUMIFS('ON Data'!AN:AN,'ON Data'!$E:$E,6))</f>
        <v>78726</v>
      </c>
      <c r="AI20" s="365"/>
    </row>
    <row r="21" spans="1:35" ht="15" hidden="1" outlineLevel="1" thickBot="1" x14ac:dyDescent="0.35">
      <c r="A21" s="198" t="s">
        <v>83</v>
      </c>
      <c r="B21" s="218">
        <f xml:space="preserve">
IF($A$4&lt;=12,SUMIFS('ON Data'!F:F,'ON Data'!$D:$D,$A$4,'ON Data'!$E:$E,12),SUMIFS('ON Data'!F:F,'ON Data'!$E:$E,12))</f>
        <v>0</v>
      </c>
      <c r="C21" s="219">
        <f xml:space="preserve">
IF($A$4&lt;=12,SUMIFS('ON Data'!G:G,'ON Data'!$D:$D,$A$4,'ON Data'!$E:$E,12),SUMIFS('ON Data'!G:G,'ON Data'!$E:$E,12))</f>
        <v>0</v>
      </c>
      <c r="D21" s="220">
        <f xml:space="preserve">
IF($A$4&lt;=12,SUMIFS('ON Data'!H:H,'ON Data'!$D:$D,$A$4,'ON Data'!$E:$E,12),SUMIFS('ON Data'!H:H,'ON Data'!$E:$E,12))</f>
        <v>0</v>
      </c>
      <c r="E21" s="220">
        <f xml:space="preserve">
IF($A$4&lt;=12,SUMIFS('ON Data'!I:I,'ON Data'!$D:$D,$A$4,'ON Data'!$E:$E,12),SUMIFS('ON Data'!I:I,'ON Data'!$E:$E,12))</f>
        <v>0</v>
      </c>
      <c r="F21" s="220">
        <f xml:space="preserve">
IF($A$4&lt;=12,SUMIFS('ON Data'!K:K,'ON Data'!$D:$D,$A$4,'ON Data'!$E:$E,12),SUMIFS('ON Data'!K:K,'ON Data'!$E:$E,12))</f>
        <v>0</v>
      </c>
      <c r="G21" s="220">
        <f xml:space="preserve">
IF($A$4&lt;=12,SUMIFS('ON Data'!L:L,'ON Data'!$D:$D,$A$4,'ON Data'!$E:$E,12),SUMIFS('ON Data'!L:L,'ON Data'!$E:$E,12))</f>
        <v>0</v>
      </c>
      <c r="H21" s="220">
        <f xml:space="preserve">
IF($A$4&lt;=12,SUMIFS('ON Data'!M:M,'ON Data'!$D:$D,$A$4,'ON Data'!$E:$E,12),SUMIFS('ON Data'!M:M,'ON Data'!$E:$E,12))</f>
        <v>0</v>
      </c>
      <c r="I21" s="220">
        <f xml:space="preserve">
IF($A$4&lt;=12,SUMIFS('ON Data'!N:N,'ON Data'!$D:$D,$A$4,'ON Data'!$E:$E,12),SUMIFS('ON Data'!N:N,'ON Data'!$E:$E,12))</f>
        <v>0</v>
      </c>
      <c r="J21" s="220">
        <f xml:space="preserve">
IF($A$4&lt;=12,SUMIFS('ON Data'!O:O,'ON Data'!$D:$D,$A$4,'ON Data'!$E:$E,12),SUMIFS('ON Data'!O:O,'ON Data'!$E:$E,12))</f>
        <v>0</v>
      </c>
      <c r="K21" s="220">
        <f xml:space="preserve">
IF($A$4&lt;=12,SUMIFS('ON Data'!P:P,'ON Data'!$D:$D,$A$4,'ON Data'!$E:$E,12),SUMIFS('ON Data'!P:P,'ON Data'!$E:$E,12))</f>
        <v>0</v>
      </c>
      <c r="L21" s="220">
        <f xml:space="preserve">
IF($A$4&lt;=12,SUMIFS('ON Data'!Q:Q,'ON Data'!$D:$D,$A$4,'ON Data'!$E:$E,12),SUMIFS('ON Data'!Q:Q,'ON Data'!$E:$E,12))</f>
        <v>0</v>
      </c>
      <c r="M21" s="220">
        <f xml:space="preserve">
IF($A$4&lt;=12,SUMIFS('ON Data'!R:R,'ON Data'!$D:$D,$A$4,'ON Data'!$E:$E,12),SUMIFS('ON Data'!R:R,'ON Data'!$E:$E,12))</f>
        <v>0</v>
      </c>
      <c r="N21" s="220">
        <f xml:space="preserve">
IF($A$4&lt;=12,SUMIFS('ON Data'!S:S,'ON Data'!$D:$D,$A$4,'ON Data'!$E:$E,12),SUMIFS('ON Data'!S:S,'ON Data'!$E:$E,12))</f>
        <v>0</v>
      </c>
      <c r="O21" s="220">
        <f xml:space="preserve">
IF($A$4&lt;=12,SUMIFS('ON Data'!T:T,'ON Data'!$D:$D,$A$4,'ON Data'!$E:$E,12),SUMIFS('ON Data'!T:T,'ON Data'!$E:$E,12))</f>
        <v>0</v>
      </c>
      <c r="P21" s="220">
        <f xml:space="preserve">
IF($A$4&lt;=12,SUMIFS('ON Data'!U:U,'ON Data'!$D:$D,$A$4,'ON Data'!$E:$E,12),SUMIFS('ON Data'!U:U,'ON Data'!$E:$E,12))</f>
        <v>0</v>
      </c>
      <c r="Q21" s="220">
        <f xml:space="preserve">
IF($A$4&lt;=12,SUMIFS('ON Data'!V:V,'ON Data'!$D:$D,$A$4,'ON Data'!$E:$E,12),SUMIFS('ON Data'!V:V,'ON Data'!$E:$E,12))</f>
        <v>0</v>
      </c>
      <c r="R21" s="220">
        <f xml:space="preserve">
IF($A$4&lt;=12,SUMIFS('ON Data'!W:W,'ON Data'!$D:$D,$A$4,'ON Data'!$E:$E,12),SUMIFS('ON Data'!W:W,'ON Data'!$E:$E,12))</f>
        <v>0</v>
      </c>
      <c r="S21" s="220">
        <f xml:space="preserve">
IF($A$4&lt;=12,SUMIFS('ON Data'!X:X,'ON Data'!$D:$D,$A$4,'ON Data'!$E:$E,12),SUMIFS('ON Data'!X:X,'ON Data'!$E:$E,12))</f>
        <v>0</v>
      </c>
      <c r="T21" s="220">
        <f xml:space="preserve">
IF($A$4&lt;=12,SUMIFS('ON Data'!Y:Y,'ON Data'!$D:$D,$A$4,'ON Data'!$E:$E,12),SUMIFS('ON Data'!Y:Y,'ON Data'!$E:$E,12))</f>
        <v>0</v>
      </c>
      <c r="U21" s="220">
        <f xml:space="preserve">
IF($A$4&lt;=12,SUMIFS('ON Data'!Z:Z,'ON Data'!$D:$D,$A$4,'ON Data'!$E:$E,12),SUMIFS('ON Data'!Z:Z,'ON Data'!$E:$E,12))</f>
        <v>0</v>
      </c>
      <c r="V21" s="220">
        <f xml:space="preserve">
IF($A$4&lt;=12,SUMIFS('ON Data'!AA:AA,'ON Data'!$D:$D,$A$4,'ON Data'!$E:$E,12),SUMIFS('ON Data'!AA:AA,'ON Data'!$E:$E,12))</f>
        <v>0</v>
      </c>
      <c r="W21" s="220">
        <f xml:space="preserve">
IF($A$4&lt;=12,SUMIFS('ON Data'!AB:AB,'ON Data'!$D:$D,$A$4,'ON Data'!$E:$E,12),SUMIFS('ON Data'!AB:AB,'ON Data'!$E:$E,12))</f>
        <v>0</v>
      </c>
      <c r="X21" s="220">
        <f xml:space="preserve">
IF($A$4&lt;=12,SUMIFS('ON Data'!AC:AC,'ON Data'!$D:$D,$A$4,'ON Data'!$E:$E,12),SUMIFS('ON Data'!AC:AC,'ON Data'!$E:$E,12))</f>
        <v>0</v>
      </c>
      <c r="Y21" s="220">
        <f xml:space="preserve">
IF($A$4&lt;=12,SUMIFS('ON Data'!AD:AD,'ON Data'!$D:$D,$A$4,'ON Data'!$E:$E,12),SUMIFS('ON Data'!AD:AD,'ON Data'!$E:$E,12))</f>
        <v>0</v>
      </c>
      <c r="Z21" s="220">
        <f xml:space="preserve">
IF($A$4&lt;=12,SUMIFS('ON Data'!AE:AE,'ON Data'!$D:$D,$A$4,'ON Data'!$E:$E,12),SUMIFS('ON Data'!AE:AE,'ON Data'!$E:$E,12))</f>
        <v>0</v>
      </c>
      <c r="AA21" s="220">
        <f xml:space="preserve">
IF($A$4&lt;=12,SUMIFS('ON Data'!AF:AF,'ON Data'!$D:$D,$A$4,'ON Data'!$E:$E,12),SUMIFS('ON Data'!AF:AF,'ON Data'!$E:$E,12))</f>
        <v>0</v>
      </c>
      <c r="AB21" s="220">
        <f xml:space="preserve">
IF($A$4&lt;=12,SUMIFS('ON Data'!AG:AG,'ON Data'!$D:$D,$A$4,'ON Data'!$E:$E,12),SUMIFS('ON Data'!AG:AG,'ON Data'!$E:$E,12))</f>
        <v>0</v>
      </c>
      <c r="AC21" s="220">
        <f xml:space="preserve">
IF($A$4&lt;=12,SUMIFS('ON Data'!AH:AH,'ON Data'!$D:$D,$A$4,'ON Data'!$E:$E,12),SUMIFS('ON Data'!AH:AH,'ON Data'!$E:$E,12))</f>
        <v>0</v>
      </c>
      <c r="AD21" s="220">
        <f xml:space="preserve">
IF($A$4&lt;=12,SUMIFS('ON Data'!AI:AI,'ON Data'!$D:$D,$A$4,'ON Data'!$E:$E,12),SUMIFS('ON Data'!AI:AI,'ON Data'!$E:$E,12))</f>
        <v>0</v>
      </c>
      <c r="AE21" s="220">
        <f xml:space="preserve">
IF($A$4&lt;=12,SUMIFS('ON Data'!AJ:AJ,'ON Data'!$D:$D,$A$4,'ON Data'!$E:$E,12),SUMIFS('ON Data'!AJ:AJ,'ON Data'!$E:$E,12))</f>
        <v>0</v>
      </c>
      <c r="AF21" s="220">
        <f xml:space="preserve">
IF($A$4&lt;=12,SUMIFS('ON Data'!AK:AK,'ON Data'!$D:$D,$A$4,'ON Data'!$E:$E,12),SUMIFS('ON Data'!AK:AK,'ON Data'!$E:$E,12))</f>
        <v>0</v>
      </c>
      <c r="AG21" s="220">
        <f xml:space="preserve">
IF($A$4&lt;=12,SUMIFS('ON Data'!AL:AL,'ON Data'!$D:$D,$A$4,'ON Data'!$E:$E,12),SUMIFS('ON Data'!AL:AL,'ON Data'!$E:$E,12))</f>
        <v>0</v>
      </c>
      <c r="AH21" s="355">
        <f xml:space="preserve">
IF($A$4&lt;=12,SUMIFS('ON Data'!AN:AN,'ON Data'!$D:$D,$A$4,'ON Data'!$E:$E,12),SUMIFS('ON Data'!AN:AN,'ON Data'!$E:$E,12))</f>
        <v>0</v>
      </c>
      <c r="AI21" s="365"/>
    </row>
    <row r="22" spans="1:35" ht="15" hidden="1" outlineLevel="1" thickBot="1" x14ac:dyDescent="0.35">
      <c r="A22" s="198" t="s">
        <v>51</v>
      </c>
      <c r="B22" s="256" t="str">
        <f xml:space="preserve">
IF(OR(B21="",B21=0),"",B20/B21)</f>
        <v/>
      </c>
      <c r="C22" s="257" t="str">
        <f t="shared" ref="C22:G22" si="2" xml:space="preserve">
IF(OR(C21="",C21=0),"",C20/C21)</f>
        <v/>
      </c>
      <c r="D22" s="258" t="str">
        <f t="shared" si="2"/>
        <v/>
      </c>
      <c r="E22" s="258" t="str">
        <f t="shared" si="2"/>
        <v/>
      </c>
      <c r="F22" s="258" t="str">
        <f t="shared" si="2"/>
        <v/>
      </c>
      <c r="G22" s="258" t="str">
        <f t="shared" si="2"/>
        <v/>
      </c>
      <c r="H22" s="258" t="str">
        <f t="shared" ref="H22:AH22" si="3" xml:space="preserve">
IF(OR(H21="",H21=0),"",H20/H21)</f>
        <v/>
      </c>
      <c r="I22" s="258" t="str">
        <f t="shared" si="3"/>
        <v/>
      </c>
      <c r="J22" s="258" t="str">
        <f t="shared" si="3"/>
        <v/>
      </c>
      <c r="K22" s="258" t="str">
        <f t="shared" si="3"/>
        <v/>
      </c>
      <c r="L22" s="258" t="str">
        <f t="shared" si="3"/>
        <v/>
      </c>
      <c r="M22" s="258" t="str">
        <f t="shared" si="3"/>
        <v/>
      </c>
      <c r="N22" s="258" t="str">
        <f t="shared" si="3"/>
        <v/>
      </c>
      <c r="O22" s="258" t="str">
        <f t="shared" si="3"/>
        <v/>
      </c>
      <c r="P22" s="258" t="str">
        <f t="shared" si="3"/>
        <v/>
      </c>
      <c r="Q22" s="258" t="str">
        <f t="shared" si="3"/>
        <v/>
      </c>
      <c r="R22" s="258" t="str">
        <f t="shared" si="3"/>
        <v/>
      </c>
      <c r="S22" s="258" t="str">
        <f t="shared" si="3"/>
        <v/>
      </c>
      <c r="T22" s="258" t="str">
        <f t="shared" si="3"/>
        <v/>
      </c>
      <c r="U22" s="258" t="str">
        <f t="shared" si="3"/>
        <v/>
      </c>
      <c r="V22" s="258" t="str">
        <f t="shared" si="3"/>
        <v/>
      </c>
      <c r="W22" s="258" t="str">
        <f t="shared" si="3"/>
        <v/>
      </c>
      <c r="X22" s="258" t="str">
        <f t="shared" si="3"/>
        <v/>
      </c>
      <c r="Y22" s="258" t="str">
        <f t="shared" si="3"/>
        <v/>
      </c>
      <c r="Z22" s="258" t="str">
        <f t="shared" si="3"/>
        <v/>
      </c>
      <c r="AA22" s="258" t="str">
        <f t="shared" si="3"/>
        <v/>
      </c>
      <c r="AB22" s="258" t="str">
        <f t="shared" si="3"/>
        <v/>
      </c>
      <c r="AC22" s="258" t="str">
        <f t="shared" si="3"/>
        <v/>
      </c>
      <c r="AD22" s="258" t="str">
        <f t="shared" si="3"/>
        <v/>
      </c>
      <c r="AE22" s="258" t="str">
        <f t="shared" si="3"/>
        <v/>
      </c>
      <c r="AF22" s="258" t="str">
        <f t="shared" si="3"/>
        <v/>
      </c>
      <c r="AG22" s="258" t="str">
        <f t="shared" si="3"/>
        <v/>
      </c>
      <c r="AH22" s="360" t="str">
        <f t="shared" si="3"/>
        <v/>
      </c>
      <c r="AI22" s="365"/>
    </row>
    <row r="23" spans="1:35" ht="15" hidden="1" outlineLevel="1" thickBot="1" x14ac:dyDescent="0.35">
      <c r="A23" s="206" t="s">
        <v>44</v>
      </c>
      <c r="B23" s="221">
        <f xml:space="preserve">
IF(B21="","",B20-B21)</f>
        <v>705774</v>
      </c>
      <c r="C23" s="222">
        <f t="shared" ref="C23:G23" si="4" xml:space="preserve">
IF(C21="","",C20-C21)</f>
        <v>0</v>
      </c>
      <c r="D23" s="223">
        <f t="shared" si="4"/>
        <v>612758</v>
      </c>
      <c r="E23" s="223">
        <f t="shared" si="4"/>
        <v>0</v>
      </c>
      <c r="F23" s="223">
        <f t="shared" si="4"/>
        <v>0</v>
      </c>
      <c r="G23" s="223">
        <f t="shared" si="4"/>
        <v>0</v>
      </c>
      <c r="H23" s="223">
        <f t="shared" ref="H23:AH23" si="5" xml:space="preserve">
IF(H21="","",H20-H21)</f>
        <v>0</v>
      </c>
      <c r="I23" s="223">
        <f t="shared" si="5"/>
        <v>0</v>
      </c>
      <c r="J23" s="223">
        <f t="shared" si="5"/>
        <v>0</v>
      </c>
      <c r="K23" s="223">
        <f t="shared" si="5"/>
        <v>0</v>
      </c>
      <c r="L23" s="223">
        <f t="shared" si="5"/>
        <v>0</v>
      </c>
      <c r="M23" s="223">
        <f t="shared" si="5"/>
        <v>0</v>
      </c>
      <c r="N23" s="223">
        <f t="shared" si="5"/>
        <v>0</v>
      </c>
      <c r="O23" s="223">
        <f t="shared" si="5"/>
        <v>0</v>
      </c>
      <c r="P23" s="223">
        <f t="shared" si="5"/>
        <v>0</v>
      </c>
      <c r="Q23" s="223">
        <f t="shared" si="5"/>
        <v>0</v>
      </c>
      <c r="R23" s="223">
        <f t="shared" si="5"/>
        <v>0</v>
      </c>
      <c r="S23" s="223">
        <f t="shared" si="5"/>
        <v>0</v>
      </c>
      <c r="T23" s="223">
        <f t="shared" si="5"/>
        <v>0</v>
      </c>
      <c r="U23" s="223">
        <f t="shared" si="5"/>
        <v>0</v>
      </c>
      <c r="V23" s="223">
        <f t="shared" si="5"/>
        <v>14290</v>
      </c>
      <c r="W23" s="223">
        <f t="shared" si="5"/>
        <v>0</v>
      </c>
      <c r="X23" s="223">
        <f t="shared" si="5"/>
        <v>0</v>
      </c>
      <c r="Y23" s="223">
        <f t="shared" si="5"/>
        <v>0</v>
      </c>
      <c r="Z23" s="223">
        <f t="shared" si="5"/>
        <v>0</v>
      </c>
      <c r="AA23" s="223">
        <f t="shared" si="5"/>
        <v>0</v>
      </c>
      <c r="AB23" s="223">
        <f t="shared" si="5"/>
        <v>0</v>
      </c>
      <c r="AC23" s="223">
        <f t="shared" si="5"/>
        <v>0</v>
      </c>
      <c r="AD23" s="223">
        <f t="shared" si="5"/>
        <v>0</v>
      </c>
      <c r="AE23" s="223">
        <f t="shared" si="5"/>
        <v>0</v>
      </c>
      <c r="AF23" s="223">
        <f t="shared" si="5"/>
        <v>0</v>
      </c>
      <c r="AG23" s="223">
        <f t="shared" si="5"/>
        <v>0</v>
      </c>
      <c r="AH23" s="356">
        <f t="shared" si="5"/>
        <v>78726</v>
      </c>
      <c r="AI23" s="365"/>
    </row>
    <row r="24" spans="1:35" x14ac:dyDescent="0.3">
      <c r="A24" s="200" t="s">
        <v>145</v>
      </c>
      <c r="B24" s="247" t="s">
        <v>2</v>
      </c>
      <c r="C24" s="366" t="s">
        <v>156</v>
      </c>
      <c r="D24" s="340"/>
      <c r="E24" s="341"/>
      <c r="F24" s="341" t="s">
        <v>157</v>
      </c>
      <c r="G24" s="341"/>
      <c r="H24" s="341"/>
      <c r="I24" s="341"/>
      <c r="J24" s="341"/>
      <c r="K24" s="341"/>
      <c r="L24" s="341"/>
      <c r="M24" s="341"/>
      <c r="N24" s="341"/>
      <c r="O24" s="341"/>
      <c r="P24" s="341"/>
      <c r="Q24" s="341"/>
      <c r="R24" s="341"/>
      <c r="S24" s="341"/>
      <c r="T24" s="341"/>
      <c r="U24" s="341"/>
      <c r="V24" s="341"/>
      <c r="W24" s="341"/>
      <c r="X24" s="341"/>
      <c r="Y24" s="341"/>
      <c r="Z24" s="341"/>
      <c r="AA24" s="341"/>
      <c r="AB24" s="341"/>
      <c r="AC24" s="341"/>
      <c r="AD24" s="341"/>
      <c r="AE24" s="341"/>
      <c r="AF24" s="341"/>
      <c r="AG24" s="341"/>
      <c r="AH24" s="361" t="s">
        <v>158</v>
      </c>
      <c r="AI24" s="365"/>
    </row>
    <row r="25" spans="1:35" x14ac:dyDescent="0.3">
      <c r="A25" s="201" t="s">
        <v>49</v>
      </c>
      <c r="B25" s="218">
        <f xml:space="preserve">
SUM(C25:AH25)</f>
        <v>0</v>
      </c>
      <c r="C25" s="367">
        <f xml:space="preserve">
IF($A$4&lt;=12,SUMIFS('ON Data'!H:H,'ON Data'!$D:$D,$A$4,'ON Data'!$E:$E,10),SUMIFS('ON Data'!H:H,'ON Data'!$E:$E,10))</f>
        <v>0</v>
      </c>
      <c r="D25" s="342"/>
      <c r="E25" s="343"/>
      <c r="F25" s="343">
        <f xml:space="preserve">
IF($A$4&lt;=12,SUMIFS('ON Data'!K:K,'ON Data'!$D:$D,$A$4,'ON Data'!$E:$E,10),SUMIFS('ON Data'!K:K,'ON Data'!$E:$E,10))</f>
        <v>0</v>
      </c>
      <c r="G25" s="343"/>
      <c r="H25" s="343"/>
      <c r="I25" s="343"/>
      <c r="J25" s="343"/>
      <c r="K25" s="343"/>
      <c r="L25" s="343"/>
      <c r="M25" s="343"/>
      <c r="N25" s="343"/>
      <c r="O25" s="343"/>
      <c r="P25" s="343"/>
      <c r="Q25" s="343"/>
      <c r="R25" s="343"/>
      <c r="S25" s="343"/>
      <c r="T25" s="343"/>
      <c r="U25" s="343"/>
      <c r="V25" s="343"/>
      <c r="W25" s="343"/>
      <c r="X25" s="343"/>
      <c r="Y25" s="343"/>
      <c r="Z25" s="343"/>
      <c r="AA25" s="343"/>
      <c r="AB25" s="343"/>
      <c r="AC25" s="343"/>
      <c r="AD25" s="343"/>
      <c r="AE25" s="343"/>
      <c r="AF25" s="343"/>
      <c r="AG25" s="343"/>
      <c r="AH25" s="362">
        <f xml:space="preserve">
IF($A$4&lt;=12,SUMIFS('ON Data'!AN:AN,'ON Data'!$D:$D,$A$4,'ON Data'!$E:$E,10),SUMIFS('ON Data'!AN:AN,'ON Data'!$E:$E,10))</f>
        <v>0</v>
      </c>
      <c r="AI25" s="365"/>
    </row>
    <row r="26" spans="1:35" x14ac:dyDescent="0.3">
      <c r="A26" s="207" t="s">
        <v>155</v>
      </c>
      <c r="B26" s="227">
        <f xml:space="preserve">
SUM(C26:AH26)</f>
        <v>6115.6599000431906</v>
      </c>
      <c r="C26" s="367">
        <f xml:space="preserve">
IF($A$4&lt;=12,SUMIFS('ON Data'!H:H,'ON Data'!$D:$D,$A$4,'ON Data'!$E:$E,11),SUMIFS('ON Data'!H:H,'ON Data'!$E:$E,11))</f>
        <v>4948.9932333765246</v>
      </c>
      <c r="D26" s="342"/>
      <c r="E26" s="343"/>
      <c r="F26" s="344">
        <f xml:space="preserve">
IF($A$4&lt;=12,SUMIFS('ON Data'!K:K,'ON Data'!$D:$D,$A$4,'ON Data'!$E:$E,11),SUMIFS('ON Data'!K:K,'ON Data'!$E:$E,11))</f>
        <v>1166.6666666666665</v>
      </c>
      <c r="G26" s="344"/>
      <c r="H26" s="344"/>
      <c r="I26" s="344"/>
      <c r="J26" s="344"/>
      <c r="K26" s="344"/>
      <c r="L26" s="344"/>
      <c r="M26" s="344"/>
      <c r="N26" s="344"/>
      <c r="O26" s="344"/>
      <c r="P26" s="344"/>
      <c r="Q26" s="344"/>
      <c r="R26" s="344"/>
      <c r="S26" s="344"/>
      <c r="T26" s="344"/>
      <c r="U26" s="344"/>
      <c r="V26" s="344"/>
      <c r="W26" s="344"/>
      <c r="X26" s="344"/>
      <c r="Y26" s="344"/>
      <c r="Z26" s="344"/>
      <c r="AA26" s="344"/>
      <c r="AB26" s="344"/>
      <c r="AC26" s="344"/>
      <c r="AD26" s="344"/>
      <c r="AE26" s="344"/>
      <c r="AF26" s="344"/>
      <c r="AG26" s="344"/>
      <c r="AH26" s="362">
        <f xml:space="preserve">
IF($A$4&lt;=12,SUMIFS('ON Data'!AN:AN,'ON Data'!$D:$D,$A$4,'ON Data'!$E:$E,11),SUMIFS('ON Data'!AN:AN,'ON Data'!$E:$E,11))</f>
        <v>0</v>
      </c>
      <c r="AI26" s="365"/>
    </row>
    <row r="27" spans="1:35" x14ac:dyDescent="0.3">
      <c r="A27" s="207" t="s">
        <v>51</v>
      </c>
      <c r="B27" s="248">
        <f xml:space="preserve">
IF(B26=0,0,B25/B26)</f>
        <v>0</v>
      </c>
      <c r="C27" s="368">
        <f xml:space="preserve">
IF(C26=0,0,C25/C26)</f>
        <v>0</v>
      </c>
      <c r="D27" s="345"/>
      <c r="E27" s="346"/>
      <c r="F27" s="346">
        <f xml:space="preserve">
IF(F26=0,0,F25/F26)</f>
        <v>0</v>
      </c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346"/>
      <c r="Z27" s="346"/>
      <c r="AA27" s="346"/>
      <c r="AB27" s="346"/>
      <c r="AC27" s="346"/>
      <c r="AD27" s="346"/>
      <c r="AE27" s="346"/>
      <c r="AF27" s="346"/>
      <c r="AG27" s="346"/>
      <c r="AH27" s="363">
        <f xml:space="preserve">
IF(AH26=0,0,AH25/AH26)</f>
        <v>0</v>
      </c>
      <c r="AI27" s="365"/>
    </row>
    <row r="28" spans="1:35" ht="15" thickBot="1" x14ac:dyDescent="0.35">
      <c r="A28" s="207" t="s">
        <v>154</v>
      </c>
      <c r="B28" s="227">
        <f xml:space="preserve">
SUM(C28:AH28)</f>
        <v>6115.6599000431906</v>
      </c>
      <c r="C28" s="369">
        <f xml:space="preserve">
C26-C25</f>
        <v>4948.9932333765246</v>
      </c>
      <c r="D28" s="347"/>
      <c r="E28" s="348"/>
      <c r="F28" s="348">
        <f xml:space="preserve">
F26-F25</f>
        <v>1166.6666666666665</v>
      </c>
      <c r="G28" s="348"/>
      <c r="H28" s="348"/>
      <c r="I28" s="348"/>
      <c r="J28" s="348"/>
      <c r="K28" s="348"/>
      <c r="L28" s="348"/>
      <c r="M28" s="348"/>
      <c r="N28" s="348"/>
      <c r="O28" s="348"/>
      <c r="P28" s="348"/>
      <c r="Q28" s="348"/>
      <c r="R28" s="348"/>
      <c r="S28" s="348"/>
      <c r="T28" s="348"/>
      <c r="U28" s="348"/>
      <c r="V28" s="348"/>
      <c r="W28" s="348"/>
      <c r="X28" s="348"/>
      <c r="Y28" s="348"/>
      <c r="Z28" s="348"/>
      <c r="AA28" s="348"/>
      <c r="AB28" s="348"/>
      <c r="AC28" s="348"/>
      <c r="AD28" s="348"/>
      <c r="AE28" s="348"/>
      <c r="AF28" s="348"/>
      <c r="AG28" s="348"/>
      <c r="AH28" s="364">
        <f xml:space="preserve">
AH26-AH25</f>
        <v>0</v>
      </c>
      <c r="AI28" s="365"/>
    </row>
    <row r="29" spans="1:35" x14ac:dyDescent="0.3">
      <c r="A29" s="208"/>
      <c r="B29" s="208"/>
      <c r="C29" s="209"/>
      <c r="D29" s="208"/>
      <c r="E29" s="208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R29" s="209"/>
      <c r="S29" s="209"/>
      <c r="T29" s="209"/>
      <c r="U29" s="209"/>
      <c r="V29" s="209"/>
      <c r="W29" s="209"/>
      <c r="X29" s="209"/>
      <c r="Y29" s="209"/>
      <c r="Z29" s="209"/>
      <c r="AA29" s="209"/>
      <c r="AB29" s="209"/>
      <c r="AC29" s="209"/>
      <c r="AD29" s="209"/>
      <c r="AE29" s="209"/>
      <c r="AF29" s="208"/>
      <c r="AG29" s="208"/>
      <c r="AH29" s="208"/>
    </row>
    <row r="30" spans="1:35" x14ac:dyDescent="0.3">
      <c r="A30" s="85" t="s">
        <v>110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20"/>
    </row>
    <row r="31" spans="1:35" x14ac:dyDescent="0.3">
      <c r="A31" s="86" t="s">
        <v>152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20"/>
    </row>
    <row r="32" spans="1:35" ht="14.4" customHeight="1" x14ac:dyDescent="0.3">
      <c r="A32" s="244" t="s">
        <v>149</v>
      </c>
      <c r="B32" s="245"/>
      <c r="C32" s="245"/>
      <c r="D32" s="245"/>
      <c r="E32" s="245"/>
      <c r="F32" s="245"/>
      <c r="G32" s="245"/>
      <c r="H32" s="245"/>
      <c r="I32" s="245"/>
      <c r="J32" s="245"/>
      <c r="K32" s="245"/>
      <c r="L32" s="245"/>
      <c r="M32" s="245"/>
      <c r="N32" s="245"/>
      <c r="O32" s="245"/>
      <c r="P32" s="245"/>
      <c r="Q32" s="245"/>
      <c r="R32" s="245"/>
      <c r="S32" s="245"/>
      <c r="T32" s="245"/>
      <c r="U32" s="245"/>
      <c r="V32" s="245"/>
      <c r="W32" s="245"/>
      <c r="X32" s="245"/>
      <c r="Y32" s="245"/>
      <c r="Z32" s="245"/>
      <c r="AA32" s="245"/>
      <c r="AB32" s="245"/>
      <c r="AC32" s="245"/>
      <c r="AD32" s="245"/>
      <c r="AE32" s="245"/>
      <c r="AF32" s="245"/>
      <c r="AG32" s="245"/>
    </row>
    <row r="33" spans="1:1" x14ac:dyDescent="0.3">
      <c r="A33" s="246" t="s">
        <v>159</v>
      </c>
    </row>
    <row r="34" spans="1:1" x14ac:dyDescent="0.3">
      <c r="A34" s="246" t="s">
        <v>160</v>
      </c>
    </row>
    <row r="35" spans="1:1" x14ac:dyDescent="0.3">
      <c r="A35" s="246" t="s">
        <v>161</v>
      </c>
    </row>
    <row r="36" spans="1:1" x14ac:dyDescent="0.3">
      <c r="A36" s="246" t="s">
        <v>162</v>
      </c>
    </row>
  </sheetData>
  <mergeCells count="12">
    <mergeCell ref="A1:AH1"/>
    <mergeCell ref="B3:B4"/>
    <mergeCell ref="C24:E24"/>
    <mergeCell ref="C25:E25"/>
    <mergeCell ref="C26:E26"/>
    <mergeCell ref="F24:AG24"/>
    <mergeCell ref="F25:AG25"/>
    <mergeCell ref="F26:AG26"/>
    <mergeCell ref="C28:E28"/>
    <mergeCell ref="C27:E27"/>
    <mergeCell ref="F27:AG27"/>
    <mergeCell ref="F28:AG28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34"/>
  <sheetViews>
    <sheetView showGridLines="0" showRowColHeaders="0" workbookViewId="0"/>
  </sheetViews>
  <sheetFormatPr defaultRowHeight="14.4" x14ac:dyDescent="0.3"/>
  <cols>
    <col min="1" max="16384" width="8.88671875" style="187"/>
  </cols>
  <sheetData>
    <row r="1" spans="1:41" x14ac:dyDescent="0.3">
      <c r="A1" s="187" t="s">
        <v>275</v>
      </c>
    </row>
    <row r="2" spans="1:41" x14ac:dyDescent="0.3">
      <c r="A2" s="191" t="s">
        <v>216</v>
      </c>
    </row>
    <row r="3" spans="1:41" x14ac:dyDescent="0.3">
      <c r="A3" s="187" t="s">
        <v>119</v>
      </c>
      <c r="B3" s="212">
        <v>2015</v>
      </c>
      <c r="D3" s="188">
        <f>MAX(D5:D1048576)</f>
        <v>7</v>
      </c>
      <c r="F3" s="188">
        <f>SUMIF($E5:$E1048576,"&lt;10",F5:F1048576)</f>
        <v>799576.75</v>
      </c>
      <c r="G3" s="188">
        <f t="shared" ref="G3:AO3" si="0">SUMIF($E5:$E1048576,"&lt;10",G5:G1048576)</f>
        <v>0</v>
      </c>
      <c r="H3" s="188">
        <f t="shared" si="0"/>
        <v>697908</v>
      </c>
      <c r="I3" s="188">
        <f t="shared" si="0"/>
        <v>0</v>
      </c>
      <c r="J3" s="188">
        <f t="shared" si="0"/>
        <v>0</v>
      </c>
      <c r="K3" s="188">
        <f t="shared" si="0"/>
        <v>0</v>
      </c>
      <c r="L3" s="188">
        <f t="shared" si="0"/>
        <v>0</v>
      </c>
      <c r="M3" s="188">
        <f t="shared" si="0"/>
        <v>0</v>
      </c>
      <c r="N3" s="188">
        <f t="shared" si="0"/>
        <v>0</v>
      </c>
      <c r="O3" s="188">
        <f t="shared" si="0"/>
        <v>0</v>
      </c>
      <c r="P3" s="188">
        <f t="shared" si="0"/>
        <v>0</v>
      </c>
      <c r="Q3" s="188">
        <f t="shared" si="0"/>
        <v>0</v>
      </c>
      <c r="R3" s="188">
        <f t="shared" si="0"/>
        <v>0</v>
      </c>
      <c r="S3" s="188">
        <f t="shared" si="0"/>
        <v>0</v>
      </c>
      <c r="T3" s="188">
        <f t="shared" si="0"/>
        <v>0</v>
      </c>
      <c r="U3" s="188">
        <f t="shared" si="0"/>
        <v>0</v>
      </c>
      <c r="V3" s="188">
        <f t="shared" si="0"/>
        <v>0</v>
      </c>
      <c r="W3" s="188">
        <f t="shared" si="0"/>
        <v>0</v>
      </c>
      <c r="X3" s="188">
        <f t="shared" si="0"/>
        <v>0</v>
      </c>
      <c r="Y3" s="188">
        <f t="shared" si="0"/>
        <v>0</v>
      </c>
      <c r="Z3" s="188">
        <f t="shared" si="0"/>
        <v>0</v>
      </c>
      <c r="AA3" s="188">
        <f t="shared" si="0"/>
        <v>15166.15</v>
      </c>
      <c r="AB3" s="188">
        <f t="shared" si="0"/>
        <v>0</v>
      </c>
      <c r="AC3" s="188">
        <f t="shared" si="0"/>
        <v>0</v>
      </c>
      <c r="AD3" s="188">
        <f t="shared" si="0"/>
        <v>0</v>
      </c>
      <c r="AE3" s="188">
        <f t="shared" si="0"/>
        <v>0</v>
      </c>
      <c r="AF3" s="188">
        <f t="shared" si="0"/>
        <v>0</v>
      </c>
      <c r="AG3" s="188">
        <f t="shared" si="0"/>
        <v>0</v>
      </c>
      <c r="AH3" s="188">
        <f t="shared" si="0"/>
        <v>0</v>
      </c>
      <c r="AI3" s="188">
        <f t="shared" si="0"/>
        <v>0</v>
      </c>
      <c r="AJ3" s="188">
        <f t="shared" si="0"/>
        <v>0</v>
      </c>
      <c r="AK3" s="188">
        <f t="shared" si="0"/>
        <v>0</v>
      </c>
      <c r="AL3" s="188">
        <f t="shared" si="0"/>
        <v>0</v>
      </c>
      <c r="AM3" s="188">
        <f t="shared" si="0"/>
        <v>0</v>
      </c>
      <c r="AN3" s="188">
        <f t="shared" si="0"/>
        <v>86502.6</v>
      </c>
      <c r="AO3" s="188">
        <f t="shared" si="0"/>
        <v>0</v>
      </c>
    </row>
    <row r="4" spans="1:41" x14ac:dyDescent="0.3">
      <c r="A4" s="187" t="s">
        <v>120</v>
      </c>
      <c r="B4" s="212">
        <v>1</v>
      </c>
      <c r="C4" s="189" t="s">
        <v>3</v>
      </c>
      <c r="D4" s="190" t="s">
        <v>43</v>
      </c>
      <c r="E4" s="190" t="s">
        <v>114</v>
      </c>
      <c r="F4" s="190" t="s">
        <v>2</v>
      </c>
      <c r="G4" s="190" t="s">
        <v>115</v>
      </c>
      <c r="H4" s="190" t="s">
        <v>116</v>
      </c>
      <c r="I4" s="190" t="s">
        <v>117</v>
      </c>
      <c r="J4" s="190" t="s">
        <v>118</v>
      </c>
      <c r="K4" s="190">
        <v>305</v>
      </c>
      <c r="L4" s="190">
        <v>306</v>
      </c>
      <c r="M4" s="190">
        <v>407</v>
      </c>
      <c r="N4" s="190">
        <v>408</v>
      </c>
      <c r="O4" s="190">
        <v>409</v>
      </c>
      <c r="P4" s="190">
        <v>410</v>
      </c>
      <c r="Q4" s="190">
        <v>415</v>
      </c>
      <c r="R4" s="190">
        <v>416</v>
      </c>
      <c r="S4" s="190">
        <v>418</v>
      </c>
      <c r="T4" s="190">
        <v>419</v>
      </c>
      <c r="U4" s="190">
        <v>420</v>
      </c>
      <c r="V4" s="190">
        <v>421</v>
      </c>
      <c r="W4" s="190">
        <v>522</v>
      </c>
      <c r="X4" s="190">
        <v>523</v>
      </c>
      <c r="Y4" s="190">
        <v>524</v>
      </c>
      <c r="Z4" s="190">
        <v>525</v>
      </c>
      <c r="AA4" s="190">
        <v>526</v>
      </c>
      <c r="AB4" s="190">
        <v>527</v>
      </c>
      <c r="AC4" s="190">
        <v>528</v>
      </c>
      <c r="AD4" s="190">
        <v>629</v>
      </c>
      <c r="AE4" s="190">
        <v>630</v>
      </c>
      <c r="AF4" s="190">
        <v>636</v>
      </c>
      <c r="AG4" s="190">
        <v>637</v>
      </c>
      <c r="AH4" s="190">
        <v>640</v>
      </c>
      <c r="AI4" s="190">
        <v>642</v>
      </c>
      <c r="AJ4" s="190">
        <v>743</v>
      </c>
      <c r="AK4" s="190">
        <v>745</v>
      </c>
      <c r="AL4" s="190">
        <v>746</v>
      </c>
      <c r="AM4" s="190">
        <v>747</v>
      </c>
      <c r="AN4" s="190">
        <v>930</v>
      </c>
      <c r="AO4" s="190">
        <v>940</v>
      </c>
    </row>
    <row r="5" spans="1:41" x14ac:dyDescent="0.3">
      <c r="A5" s="187" t="s">
        <v>121</v>
      </c>
      <c r="B5" s="212">
        <v>2</v>
      </c>
      <c r="C5" s="187">
        <v>43</v>
      </c>
      <c r="D5" s="187">
        <v>1</v>
      </c>
      <c r="E5" s="187">
        <v>1</v>
      </c>
      <c r="F5" s="187">
        <v>2.65</v>
      </c>
      <c r="G5" s="187">
        <v>0</v>
      </c>
      <c r="H5" s="187">
        <v>2</v>
      </c>
      <c r="I5" s="187">
        <v>0</v>
      </c>
      <c r="J5" s="187">
        <v>0</v>
      </c>
      <c r="K5" s="187">
        <v>0</v>
      </c>
      <c r="L5" s="187">
        <v>0</v>
      </c>
      <c r="M5" s="187">
        <v>0</v>
      </c>
      <c r="N5" s="187">
        <v>0</v>
      </c>
      <c r="O5" s="187">
        <v>0</v>
      </c>
      <c r="P5" s="187">
        <v>0</v>
      </c>
      <c r="Q5" s="187">
        <v>0</v>
      </c>
      <c r="R5" s="187">
        <v>0</v>
      </c>
      <c r="S5" s="187">
        <v>0</v>
      </c>
      <c r="T5" s="187">
        <v>0</v>
      </c>
      <c r="U5" s="187">
        <v>0</v>
      </c>
      <c r="V5" s="187">
        <v>0</v>
      </c>
      <c r="W5" s="187">
        <v>0</v>
      </c>
      <c r="X5" s="187">
        <v>0</v>
      </c>
      <c r="Y5" s="187">
        <v>0</v>
      </c>
      <c r="Z5" s="187">
        <v>0</v>
      </c>
      <c r="AA5" s="187">
        <v>0.05</v>
      </c>
      <c r="AB5" s="187">
        <v>0</v>
      </c>
      <c r="AC5" s="187">
        <v>0</v>
      </c>
      <c r="AD5" s="187">
        <v>0</v>
      </c>
      <c r="AE5" s="187">
        <v>0</v>
      </c>
      <c r="AF5" s="187">
        <v>0</v>
      </c>
      <c r="AG5" s="187">
        <v>0</v>
      </c>
      <c r="AH5" s="187">
        <v>0</v>
      </c>
      <c r="AI5" s="187">
        <v>0</v>
      </c>
      <c r="AJ5" s="187">
        <v>0</v>
      </c>
      <c r="AK5" s="187">
        <v>0</v>
      </c>
      <c r="AL5" s="187">
        <v>0</v>
      </c>
      <c r="AM5" s="187">
        <v>0</v>
      </c>
      <c r="AN5" s="187">
        <v>0.6</v>
      </c>
      <c r="AO5" s="187">
        <v>0</v>
      </c>
    </row>
    <row r="6" spans="1:41" x14ac:dyDescent="0.3">
      <c r="A6" s="187" t="s">
        <v>122</v>
      </c>
      <c r="B6" s="212">
        <v>3</v>
      </c>
      <c r="C6" s="187">
        <v>43</v>
      </c>
      <c r="D6" s="187">
        <v>1</v>
      </c>
      <c r="E6" s="187">
        <v>2</v>
      </c>
      <c r="F6" s="187">
        <v>438</v>
      </c>
      <c r="G6" s="187">
        <v>0</v>
      </c>
      <c r="H6" s="187">
        <v>340</v>
      </c>
      <c r="I6" s="187">
        <v>0</v>
      </c>
      <c r="J6" s="187">
        <v>0</v>
      </c>
      <c r="K6" s="187">
        <v>0</v>
      </c>
      <c r="L6" s="187">
        <v>0</v>
      </c>
      <c r="M6" s="187">
        <v>0</v>
      </c>
      <c r="N6" s="187">
        <v>0</v>
      </c>
      <c r="O6" s="187">
        <v>0</v>
      </c>
      <c r="P6" s="187">
        <v>0</v>
      </c>
      <c r="Q6" s="187">
        <v>0</v>
      </c>
      <c r="R6" s="187">
        <v>0</v>
      </c>
      <c r="S6" s="187">
        <v>0</v>
      </c>
      <c r="T6" s="187">
        <v>0</v>
      </c>
      <c r="U6" s="187">
        <v>0</v>
      </c>
      <c r="V6" s="187">
        <v>0</v>
      </c>
      <c r="W6" s="187">
        <v>0</v>
      </c>
      <c r="X6" s="187">
        <v>0</v>
      </c>
      <c r="Y6" s="187">
        <v>0</v>
      </c>
      <c r="Z6" s="187">
        <v>0</v>
      </c>
      <c r="AA6" s="187">
        <v>5.2</v>
      </c>
      <c r="AB6" s="187">
        <v>0</v>
      </c>
      <c r="AC6" s="187">
        <v>0</v>
      </c>
      <c r="AD6" s="187">
        <v>0</v>
      </c>
      <c r="AE6" s="187">
        <v>0</v>
      </c>
      <c r="AF6" s="187">
        <v>0</v>
      </c>
      <c r="AG6" s="187">
        <v>0</v>
      </c>
      <c r="AH6" s="187">
        <v>0</v>
      </c>
      <c r="AI6" s="187">
        <v>0</v>
      </c>
      <c r="AJ6" s="187">
        <v>0</v>
      </c>
      <c r="AK6" s="187">
        <v>0</v>
      </c>
      <c r="AL6" s="187">
        <v>0</v>
      </c>
      <c r="AM6" s="187">
        <v>0</v>
      </c>
      <c r="AN6" s="187">
        <v>92.8</v>
      </c>
      <c r="AO6" s="187">
        <v>0</v>
      </c>
    </row>
    <row r="7" spans="1:41" x14ac:dyDescent="0.3">
      <c r="A7" s="187" t="s">
        <v>123</v>
      </c>
      <c r="B7" s="212">
        <v>4</v>
      </c>
      <c r="C7" s="187">
        <v>43</v>
      </c>
      <c r="D7" s="187">
        <v>1</v>
      </c>
      <c r="E7" s="187">
        <v>6</v>
      </c>
      <c r="F7" s="187">
        <v>94417</v>
      </c>
      <c r="G7" s="187">
        <v>0</v>
      </c>
      <c r="H7" s="187">
        <v>82824</v>
      </c>
      <c r="I7" s="187">
        <v>0</v>
      </c>
      <c r="J7" s="187">
        <v>0</v>
      </c>
      <c r="K7" s="187">
        <v>0</v>
      </c>
      <c r="L7" s="187">
        <v>0</v>
      </c>
      <c r="M7" s="187">
        <v>0</v>
      </c>
      <c r="N7" s="187">
        <v>0</v>
      </c>
      <c r="O7" s="187">
        <v>0</v>
      </c>
      <c r="P7" s="187">
        <v>0</v>
      </c>
      <c r="Q7" s="187">
        <v>0</v>
      </c>
      <c r="R7" s="187">
        <v>0</v>
      </c>
      <c r="S7" s="187">
        <v>0</v>
      </c>
      <c r="T7" s="187">
        <v>0</v>
      </c>
      <c r="U7" s="187">
        <v>0</v>
      </c>
      <c r="V7" s="187">
        <v>0</v>
      </c>
      <c r="W7" s="187">
        <v>0</v>
      </c>
      <c r="X7" s="187">
        <v>0</v>
      </c>
      <c r="Y7" s="187">
        <v>0</v>
      </c>
      <c r="Z7" s="187">
        <v>0</v>
      </c>
      <c r="AA7" s="187">
        <v>2866</v>
      </c>
      <c r="AB7" s="187">
        <v>0</v>
      </c>
      <c r="AC7" s="187">
        <v>0</v>
      </c>
      <c r="AD7" s="187">
        <v>0</v>
      </c>
      <c r="AE7" s="187">
        <v>0</v>
      </c>
      <c r="AF7" s="187">
        <v>0</v>
      </c>
      <c r="AG7" s="187">
        <v>0</v>
      </c>
      <c r="AH7" s="187">
        <v>0</v>
      </c>
      <c r="AI7" s="187">
        <v>0</v>
      </c>
      <c r="AJ7" s="187">
        <v>0</v>
      </c>
      <c r="AK7" s="187">
        <v>0</v>
      </c>
      <c r="AL7" s="187">
        <v>0</v>
      </c>
      <c r="AM7" s="187">
        <v>0</v>
      </c>
      <c r="AN7" s="187">
        <v>8727</v>
      </c>
      <c r="AO7" s="187">
        <v>0</v>
      </c>
    </row>
    <row r="8" spans="1:41" x14ac:dyDescent="0.3">
      <c r="A8" s="187" t="s">
        <v>124</v>
      </c>
      <c r="B8" s="212">
        <v>5</v>
      </c>
      <c r="C8" s="187">
        <v>43</v>
      </c>
      <c r="D8" s="187">
        <v>1</v>
      </c>
      <c r="E8" s="187">
        <v>9</v>
      </c>
      <c r="F8" s="187">
        <v>5000</v>
      </c>
      <c r="G8" s="187">
        <v>0</v>
      </c>
      <c r="H8" s="187">
        <v>5000</v>
      </c>
      <c r="I8" s="187">
        <v>0</v>
      </c>
      <c r="J8" s="187">
        <v>0</v>
      </c>
      <c r="K8" s="187">
        <v>0</v>
      </c>
      <c r="L8" s="187">
        <v>0</v>
      </c>
      <c r="M8" s="187">
        <v>0</v>
      </c>
      <c r="N8" s="187">
        <v>0</v>
      </c>
      <c r="O8" s="187">
        <v>0</v>
      </c>
      <c r="P8" s="187">
        <v>0</v>
      </c>
      <c r="Q8" s="187">
        <v>0</v>
      </c>
      <c r="R8" s="187">
        <v>0</v>
      </c>
      <c r="S8" s="187">
        <v>0</v>
      </c>
      <c r="T8" s="187">
        <v>0</v>
      </c>
      <c r="U8" s="187">
        <v>0</v>
      </c>
      <c r="V8" s="187">
        <v>0</v>
      </c>
      <c r="W8" s="187">
        <v>0</v>
      </c>
      <c r="X8" s="187">
        <v>0</v>
      </c>
      <c r="Y8" s="187">
        <v>0</v>
      </c>
      <c r="Z8" s="187">
        <v>0</v>
      </c>
      <c r="AA8" s="187">
        <v>0</v>
      </c>
      <c r="AB8" s="187">
        <v>0</v>
      </c>
      <c r="AC8" s="187">
        <v>0</v>
      </c>
      <c r="AD8" s="187">
        <v>0</v>
      </c>
      <c r="AE8" s="187">
        <v>0</v>
      </c>
      <c r="AF8" s="187">
        <v>0</v>
      </c>
      <c r="AG8" s="187">
        <v>0</v>
      </c>
      <c r="AH8" s="187">
        <v>0</v>
      </c>
      <c r="AI8" s="187">
        <v>0</v>
      </c>
      <c r="AJ8" s="187">
        <v>0</v>
      </c>
      <c r="AK8" s="187">
        <v>0</v>
      </c>
      <c r="AL8" s="187">
        <v>0</v>
      </c>
      <c r="AM8" s="187">
        <v>0</v>
      </c>
      <c r="AN8" s="187">
        <v>0</v>
      </c>
      <c r="AO8" s="187">
        <v>0</v>
      </c>
    </row>
    <row r="9" spans="1:41" x14ac:dyDescent="0.3">
      <c r="A9" s="187" t="s">
        <v>125</v>
      </c>
      <c r="B9" s="212">
        <v>6</v>
      </c>
      <c r="C9" s="187">
        <v>43</v>
      </c>
      <c r="D9" s="187">
        <v>1</v>
      </c>
      <c r="E9" s="187">
        <v>11</v>
      </c>
      <c r="F9" s="187">
        <v>873.66570000617014</v>
      </c>
      <c r="G9" s="187">
        <v>0</v>
      </c>
      <c r="H9" s="187">
        <v>706.99903333950351</v>
      </c>
      <c r="I9" s="187">
        <v>0</v>
      </c>
      <c r="J9" s="187">
        <v>0</v>
      </c>
      <c r="K9" s="187">
        <v>166.66666666666666</v>
      </c>
      <c r="L9" s="187">
        <v>0</v>
      </c>
      <c r="M9" s="187">
        <v>0</v>
      </c>
      <c r="N9" s="187">
        <v>0</v>
      </c>
      <c r="O9" s="187">
        <v>0</v>
      </c>
      <c r="P9" s="187">
        <v>0</v>
      </c>
      <c r="Q9" s="187">
        <v>0</v>
      </c>
      <c r="R9" s="187">
        <v>0</v>
      </c>
      <c r="S9" s="187">
        <v>0</v>
      </c>
      <c r="T9" s="187">
        <v>0</v>
      </c>
      <c r="U9" s="187">
        <v>0</v>
      </c>
      <c r="V9" s="187">
        <v>0</v>
      </c>
      <c r="W9" s="187">
        <v>0</v>
      </c>
      <c r="X9" s="187">
        <v>0</v>
      </c>
      <c r="Y9" s="187">
        <v>0</v>
      </c>
      <c r="Z9" s="187">
        <v>0</v>
      </c>
      <c r="AA9" s="187">
        <v>0</v>
      </c>
      <c r="AB9" s="187">
        <v>0</v>
      </c>
      <c r="AC9" s="187">
        <v>0</v>
      </c>
      <c r="AD9" s="187">
        <v>0</v>
      </c>
      <c r="AE9" s="187">
        <v>0</v>
      </c>
      <c r="AF9" s="187">
        <v>0</v>
      </c>
      <c r="AG9" s="187">
        <v>0</v>
      </c>
      <c r="AH9" s="187">
        <v>0</v>
      </c>
      <c r="AI9" s="187">
        <v>0</v>
      </c>
      <c r="AJ9" s="187">
        <v>0</v>
      </c>
      <c r="AK9" s="187">
        <v>0</v>
      </c>
      <c r="AL9" s="187">
        <v>0</v>
      </c>
      <c r="AM9" s="187">
        <v>0</v>
      </c>
      <c r="AN9" s="187">
        <v>0</v>
      </c>
      <c r="AO9" s="187">
        <v>0</v>
      </c>
    </row>
    <row r="10" spans="1:41" x14ac:dyDescent="0.3">
      <c r="A10" s="187" t="s">
        <v>126</v>
      </c>
      <c r="B10" s="212">
        <v>7</v>
      </c>
      <c r="C10" s="187">
        <v>43</v>
      </c>
      <c r="D10" s="187">
        <v>2</v>
      </c>
      <c r="E10" s="187">
        <v>1</v>
      </c>
      <c r="F10" s="187">
        <v>2.65</v>
      </c>
      <c r="G10" s="187">
        <v>0</v>
      </c>
      <c r="H10" s="187">
        <v>2</v>
      </c>
      <c r="I10" s="187">
        <v>0</v>
      </c>
      <c r="J10" s="187">
        <v>0</v>
      </c>
      <c r="K10" s="187">
        <v>0</v>
      </c>
      <c r="L10" s="187">
        <v>0</v>
      </c>
      <c r="M10" s="187">
        <v>0</v>
      </c>
      <c r="N10" s="187">
        <v>0</v>
      </c>
      <c r="O10" s="187">
        <v>0</v>
      </c>
      <c r="P10" s="187">
        <v>0</v>
      </c>
      <c r="Q10" s="187">
        <v>0</v>
      </c>
      <c r="R10" s="187">
        <v>0</v>
      </c>
      <c r="S10" s="187">
        <v>0</v>
      </c>
      <c r="T10" s="187">
        <v>0</v>
      </c>
      <c r="U10" s="187">
        <v>0</v>
      </c>
      <c r="V10" s="187">
        <v>0</v>
      </c>
      <c r="W10" s="187">
        <v>0</v>
      </c>
      <c r="X10" s="187">
        <v>0</v>
      </c>
      <c r="Y10" s="187">
        <v>0</v>
      </c>
      <c r="Z10" s="187">
        <v>0</v>
      </c>
      <c r="AA10" s="187">
        <v>0.05</v>
      </c>
      <c r="AB10" s="187">
        <v>0</v>
      </c>
      <c r="AC10" s="187">
        <v>0</v>
      </c>
      <c r="AD10" s="187">
        <v>0</v>
      </c>
      <c r="AE10" s="187">
        <v>0</v>
      </c>
      <c r="AF10" s="187">
        <v>0</v>
      </c>
      <c r="AG10" s="187">
        <v>0</v>
      </c>
      <c r="AH10" s="187">
        <v>0</v>
      </c>
      <c r="AI10" s="187">
        <v>0</v>
      </c>
      <c r="AJ10" s="187">
        <v>0</v>
      </c>
      <c r="AK10" s="187">
        <v>0</v>
      </c>
      <c r="AL10" s="187">
        <v>0</v>
      </c>
      <c r="AM10" s="187">
        <v>0</v>
      </c>
      <c r="AN10" s="187">
        <v>0.6</v>
      </c>
      <c r="AO10" s="187">
        <v>0</v>
      </c>
    </row>
    <row r="11" spans="1:41" x14ac:dyDescent="0.3">
      <c r="A11" s="187" t="s">
        <v>127</v>
      </c>
      <c r="B11" s="212">
        <v>8</v>
      </c>
      <c r="C11" s="187">
        <v>43</v>
      </c>
      <c r="D11" s="187">
        <v>2</v>
      </c>
      <c r="E11" s="187">
        <v>2</v>
      </c>
      <c r="F11" s="187">
        <v>423.6</v>
      </c>
      <c r="G11" s="187">
        <v>0</v>
      </c>
      <c r="H11" s="187">
        <v>320</v>
      </c>
      <c r="I11" s="187">
        <v>0</v>
      </c>
      <c r="J11" s="187">
        <v>0</v>
      </c>
      <c r="K11" s="187">
        <v>0</v>
      </c>
      <c r="L11" s="187">
        <v>0</v>
      </c>
      <c r="M11" s="187">
        <v>0</v>
      </c>
      <c r="N11" s="187">
        <v>0</v>
      </c>
      <c r="O11" s="187">
        <v>0</v>
      </c>
      <c r="P11" s="187">
        <v>0</v>
      </c>
      <c r="Q11" s="187">
        <v>0</v>
      </c>
      <c r="R11" s="187">
        <v>0</v>
      </c>
      <c r="S11" s="187">
        <v>0</v>
      </c>
      <c r="T11" s="187">
        <v>0</v>
      </c>
      <c r="U11" s="187">
        <v>0</v>
      </c>
      <c r="V11" s="187">
        <v>0</v>
      </c>
      <c r="W11" s="187">
        <v>0</v>
      </c>
      <c r="X11" s="187">
        <v>0</v>
      </c>
      <c r="Y11" s="187">
        <v>0</v>
      </c>
      <c r="Z11" s="187">
        <v>0</v>
      </c>
      <c r="AA11" s="187">
        <v>7.6</v>
      </c>
      <c r="AB11" s="187">
        <v>0</v>
      </c>
      <c r="AC11" s="187">
        <v>0</v>
      </c>
      <c r="AD11" s="187">
        <v>0</v>
      </c>
      <c r="AE11" s="187">
        <v>0</v>
      </c>
      <c r="AF11" s="187">
        <v>0</v>
      </c>
      <c r="AG11" s="187">
        <v>0</v>
      </c>
      <c r="AH11" s="187">
        <v>0</v>
      </c>
      <c r="AI11" s="187">
        <v>0</v>
      </c>
      <c r="AJ11" s="187">
        <v>0</v>
      </c>
      <c r="AK11" s="187">
        <v>0</v>
      </c>
      <c r="AL11" s="187">
        <v>0</v>
      </c>
      <c r="AM11" s="187">
        <v>0</v>
      </c>
      <c r="AN11" s="187">
        <v>96</v>
      </c>
      <c r="AO11" s="187">
        <v>0</v>
      </c>
    </row>
    <row r="12" spans="1:41" x14ac:dyDescent="0.3">
      <c r="A12" s="187" t="s">
        <v>128</v>
      </c>
      <c r="B12" s="212">
        <v>9</v>
      </c>
      <c r="C12" s="187">
        <v>43</v>
      </c>
      <c r="D12" s="187">
        <v>2</v>
      </c>
      <c r="E12" s="187">
        <v>6</v>
      </c>
      <c r="F12" s="187">
        <v>85234</v>
      </c>
      <c r="G12" s="187">
        <v>0</v>
      </c>
      <c r="H12" s="187">
        <v>74525</v>
      </c>
      <c r="I12" s="187">
        <v>0</v>
      </c>
      <c r="J12" s="187">
        <v>0</v>
      </c>
      <c r="K12" s="187">
        <v>0</v>
      </c>
      <c r="L12" s="187">
        <v>0</v>
      </c>
      <c r="M12" s="187">
        <v>0</v>
      </c>
      <c r="N12" s="187">
        <v>0</v>
      </c>
      <c r="O12" s="187">
        <v>0</v>
      </c>
      <c r="P12" s="187">
        <v>0</v>
      </c>
      <c r="Q12" s="187">
        <v>0</v>
      </c>
      <c r="R12" s="187">
        <v>0</v>
      </c>
      <c r="S12" s="187">
        <v>0</v>
      </c>
      <c r="T12" s="187">
        <v>0</v>
      </c>
      <c r="U12" s="187">
        <v>0</v>
      </c>
      <c r="V12" s="187">
        <v>0</v>
      </c>
      <c r="W12" s="187">
        <v>0</v>
      </c>
      <c r="X12" s="187">
        <v>0</v>
      </c>
      <c r="Y12" s="187">
        <v>0</v>
      </c>
      <c r="Z12" s="187">
        <v>0</v>
      </c>
      <c r="AA12" s="187">
        <v>2231</v>
      </c>
      <c r="AB12" s="187">
        <v>0</v>
      </c>
      <c r="AC12" s="187">
        <v>0</v>
      </c>
      <c r="AD12" s="187">
        <v>0</v>
      </c>
      <c r="AE12" s="187">
        <v>0</v>
      </c>
      <c r="AF12" s="187">
        <v>0</v>
      </c>
      <c r="AG12" s="187">
        <v>0</v>
      </c>
      <c r="AH12" s="187">
        <v>0</v>
      </c>
      <c r="AI12" s="187">
        <v>0</v>
      </c>
      <c r="AJ12" s="187">
        <v>0</v>
      </c>
      <c r="AK12" s="187">
        <v>0</v>
      </c>
      <c r="AL12" s="187">
        <v>0</v>
      </c>
      <c r="AM12" s="187">
        <v>0</v>
      </c>
      <c r="AN12" s="187">
        <v>8478</v>
      </c>
      <c r="AO12" s="187">
        <v>0</v>
      </c>
    </row>
    <row r="13" spans="1:41" x14ac:dyDescent="0.3">
      <c r="A13" s="187" t="s">
        <v>129</v>
      </c>
      <c r="B13" s="212">
        <v>10</v>
      </c>
      <c r="C13" s="187">
        <v>43</v>
      </c>
      <c r="D13" s="187">
        <v>2</v>
      </c>
      <c r="E13" s="187">
        <v>11</v>
      </c>
      <c r="F13" s="187">
        <v>873.66570000617014</v>
      </c>
      <c r="G13" s="187">
        <v>0</v>
      </c>
      <c r="H13" s="187">
        <v>706.99903333950351</v>
      </c>
      <c r="I13" s="187">
        <v>0</v>
      </c>
      <c r="J13" s="187">
        <v>0</v>
      </c>
      <c r="K13" s="187">
        <v>166.66666666666666</v>
      </c>
      <c r="L13" s="187">
        <v>0</v>
      </c>
      <c r="M13" s="187">
        <v>0</v>
      </c>
      <c r="N13" s="187">
        <v>0</v>
      </c>
      <c r="O13" s="187">
        <v>0</v>
      </c>
      <c r="P13" s="187">
        <v>0</v>
      </c>
      <c r="Q13" s="187">
        <v>0</v>
      </c>
      <c r="R13" s="187">
        <v>0</v>
      </c>
      <c r="S13" s="187">
        <v>0</v>
      </c>
      <c r="T13" s="187">
        <v>0</v>
      </c>
      <c r="U13" s="187">
        <v>0</v>
      </c>
      <c r="V13" s="187">
        <v>0</v>
      </c>
      <c r="W13" s="187">
        <v>0</v>
      </c>
      <c r="X13" s="187">
        <v>0</v>
      </c>
      <c r="Y13" s="187">
        <v>0</v>
      </c>
      <c r="Z13" s="187">
        <v>0</v>
      </c>
      <c r="AA13" s="187">
        <v>0</v>
      </c>
      <c r="AB13" s="187">
        <v>0</v>
      </c>
      <c r="AC13" s="187">
        <v>0</v>
      </c>
      <c r="AD13" s="187">
        <v>0</v>
      </c>
      <c r="AE13" s="187">
        <v>0</v>
      </c>
      <c r="AF13" s="187">
        <v>0</v>
      </c>
      <c r="AG13" s="187">
        <v>0</v>
      </c>
      <c r="AH13" s="187">
        <v>0</v>
      </c>
      <c r="AI13" s="187">
        <v>0</v>
      </c>
      <c r="AJ13" s="187">
        <v>0</v>
      </c>
      <c r="AK13" s="187">
        <v>0</v>
      </c>
      <c r="AL13" s="187">
        <v>0</v>
      </c>
      <c r="AM13" s="187">
        <v>0</v>
      </c>
      <c r="AN13" s="187">
        <v>0</v>
      </c>
      <c r="AO13" s="187">
        <v>0</v>
      </c>
    </row>
    <row r="14" spans="1:41" x14ac:dyDescent="0.3">
      <c r="A14" s="187" t="s">
        <v>130</v>
      </c>
      <c r="B14" s="212">
        <v>11</v>
      </c>
      <c r="C14" s="187">
        <v>43</v>
      </c>
      <c r="D14" s="187">
        <v>3</v>
      </c>
      <c r="E14" s="187">
        <v>1</v>
      </c>
      <c r="F14" s="187">
        <v>2.65</v>
      </c>
      <c r="G14" s="187">
        <v>0</v>
      </c>
      <c r="H14" s="187">
        <v>2</v>
      </c>
      <c r="I14" s="187">
        <v>0</v>
      </c>
      <c r="J14" s="187">
        <v>0</v>
      </c>
      <c r="K14" s="187">
        <v>0</v>
      </c>
      <c r="L14" s="187">
        <v>0</v>
      </c>
      <c r="M14" s="187">
        <v>0</v>
      </c>
      <c r="N14" s="187">
        <v>0</v>
      </c>
      <c r="O14" s="187">
        <v>0</v>
      </c>
      <c r="P14" s="187">
        <v>0</v>
      </c>
      <c r="Q14" s="187">
        <v>0</v>
      </c>
      <c r="R14" s="187">
        <v>0</v>
      </c>
      <c r="S14" s="187">
        <v>0</v>
      </c>
      <c r="T14" s="187">
        <v>0</v>
      </c>
      <c r="U14" s="187">
        <v>0</v>
      </c>
      <c r="V14" s="187">
        <v>0</v>
      </c>
      <c r="W14" s="187">
        <v>0</v>
      </c>
      <c r="X14" s="187">
        <v>0</v>
      </c>
      <c r="Y14" s="187">
        <v>0</v>
      </c>
      <c r="Z14" s="187">
        <v>0</v>
      </c>
      <c r="AA14" s="187">
        <v>0.05</v>
      </c>
      <c r="AB14" s="187">
        <v>0</v>
      </c>
      <c r="AC14" s="187">
        <v>0</v>
      </c>
      <c r="AD14" s="187">
        <v>0</v>
      </c>
      <c r="AE14" s="187">
        <v>0</v>
      </c>
      <c r="AF14" s="187">
        <v>0</v>
      </c>
      <c r="AG14" s="187">
        <v>0</v>
      </c>
      <c r="AH14" s="187">
        <v>0</v>
      </c>
      <c r="AI14" s="187">
        <v>0</v>
      </c>
      <c r="AJ14" s="187">
        <v>0</v>
      </c>
      <c r="AK14" s="187">
        <v>0</v>
      </c>
      <c r="AL14" s="187">
        <v>0</v>
      </c>
      <c r="AM14" s="187">
        <v>0</v>
      </c>
      <c r="AN14" s="187">
        <v>0.6</v>
      </c>
      <c r="AO14" s="187">
        <v>0</v>
      </c>
    </row>
    <row r="15" spans="1:41" x14ac:dyDescent="0.3">
      <c r="A15" s="187" t="s">
        <v>131</v>
      </c>
      <c r="B15" s="212">
        <v>12</v>
      </c>
      <c r="C15" s="187">
        <v>43</v>
      </c>
      <c r="D15" s="187">
        <v>3</v>
      </c>
      <c r="E15" s="187">
        <v>2</v>
      </c>
      <c r="F15" s="187">
        <v>421.2</v>
      </c>
      <c r="G15" s="187">
        <v>0</v>
      </c>
      <c r="H15" s="187">
        <v>316</v>
      </c>
      <c r="I15" s="187">
        <v>0</v>
      </c>
      <c r="J15" s="187">
        <v>0</v>
      </c>
      <c r="K15" s="187">
        <v>0</v>
      </c>
      <c r="L15" s="187">
        <v>0</v>
      </c>
      <c r="M15" s="187">
        <v>0</v>
      </c>
      <c r="N15" s="187">
        <v>0</v>
      </c>
      <c r="O15" s="187">
        <v>0</v>
      </c>
      <c r="P15" s="187">
        <v>0</v>
      </c>
      <c r="Q15" s="187">
        <v>0</v>
      </c>
      <c r="R15" s="187">
        <v>0</v>
      </c>
      <c r="S15" s="187">
        <v>0</v>
      </c>
      <c r="T15" s="187">
        <v>0</v>
      </c>
      <c r="U15" s="187">
        <v>0</v>
      </c>
      <c r="V15" s="187">
        <v>0</v>
      </c>
      <c r="W15" s="187">
        <v>0</v>
      </c>
      <c r="X15" s="187">
        <v>0</v>
      </c>
      <c r="Y15" s="187">
        <v>0</v>
      </c>
      <c r="Z15" s="187">
        <v>0</v>
      </c>
      <c r="AA15" s="187">
        <v>6</v>
      </c>
      <c r="AB15" s="187">
        <v>0</v>
      </c>
      <c r="AC15" s="187">
        <v>0</v>
      </c>
      <c r="AD15" s="187">
        <v>0</v>
      </c>
      <c r="AE15" s="187">
        <v>0</v>
      </c>
      <c r="AF15" s="187">
        <v>0</v>
      </c>
      <c r="AG15" s="187">
        <v>0</v>
      </c>
      <c r="AH15" s="187">
        <v>0</v>
      </c>
      <c r="AI15" s="187">
        <v>0</v>
      </c>
      <c r="AJ15" s="187">
        <v>0</v>
      </c>
      <c r="AK15" s="187">
        <v>0</v>
      </c>
      <c r="AL15" s="187">
        <v>0</v>
      </c>
      <c r="AM15" s="187">
        <v>0</v>
      </c>
      <c r="AN15" s="187">
        <v>99.2</v>
      </c>
      <c r="AO15" s="187">
        <v>0</v>
      </c>
    </row>
    <row r="16" spans="1:41" x14ac:dyDescent="0.3">
      <c r="A16" s="187" t="s">
        <v>119</v>
      </c>
      <c r="B16" s="212">
        <v>2015</v>
      </c>
      <c r="C16" s="187">
        <v>43</v>
      </c>
      <c r="D16" s="187">
        <v>3</v>
      </c>
      <c r="E16" s="187">
        <v>6</v>
      </c>
      <c r="F16" s="187">
        <v>85776</v>
      </c>
      <c r="G16" s="187">
        <v>0</v>
      </c>
      <c r="H16" s="187">
        <v>75465</v>
      </c>
      <c r="I16" s="187">
        <v>0</v>
      </c>
      <c r="J16" s="187">
        <v>0</v>
      </c>
      <c r="K16" s="187">
        <v>0</v>
      </c>
      <c r="L16" s="187">
        <v>0</v>
      </c>
      <c r="M16" s="187">
        <v>0</v>
      </c>
      <c r="N16" s="187">
        <v>0</v>
      </c>
      <c r="O16" s="187">
        <v>0</v>
      </c>
      <c r="P16" s="187">
        <v>0</v>
      </c>
      <c r="Q16" s="187">
        <v>0</v>
      </c>
      <c r="R16" s="187">
        <v>0</v>
      </c>
      <c r="S16" s="187">
        <v>0</v>
      </c>
      <c r="T16" s="187">
        <v>0</v>
      </c>
      <c r="U16" s="187">
        <v>0</v>
      </c>
      <c r="V16" s="187">
        <v>0</v>
      </c>
      <c r="W16" s="187">
        <v>0</v>
      </c>
      <c r="X16" s="187">
        <v>0</v>
      </c>
      <c r="Y16" s="187">
        <v>0</v>
      </c>
      <c r="Z16" s="187">
        <v>0</v>
      </c>
      <c r="AA16" s="187">
        <v>1714</v>
      </c>
      <c r="AB16" s="187">
        <v>0</v>
      </c>
      <c r="AC16" s="187">
        <v>0</v>
      </c>
      <c r="AD16" s="187">
        <v>0</v>
      </c>
      <c r="AE16" s="187">
        <v>0</v>
      </c>
      <c r="AF16" s="187">
        <v>0</v>
      </c>
      <c r="AG16" s="187">
        <v>0</v>
      </c>
      <c r="AH16" s="187">
        <v>0</v>
      </c>
      <c r="AI16" s="187">
        <v>0</v>
      </c>
      <c r="AJ16" s="187">
        <v>0</v>
      </c>
      <c r="AK16" s="187">
        <v>0</v>
      </c>
      <c r="AL16" s="187">
        <v>0</v>
      </c>
      <c r="AM16" s="187">
        <v>0</v>
      </c>
      <c r="AN16" s="187">
        <v>8597</v>
      </c>
      <c r="AO16" s="187">
        <v>0</v>
      </c>
    </row>
    <row r="17" spans="3:41" x14ac:dyDescent="0.3">
      <c r="C17" s="187">
        <v>43</v>
      </c>
      <c r="D17" s="187">
        <v>3</v>
      </c>
      <c r="E17" s="187">
        <v>11</v>
      </c>
      <c r="F17" s="187">
        <v>873.66570000617014</v>
      </c>
      <c r="G17" s="187">
        <v>0</v>
      </c>
      <c r="H17" s="187">
        <v>706.99903333950351</v>
      </c>
      <c r="I17" s="187">
        <v>0</v>
      </c>
      <c r="J17" s="187">
        <v>0</v>
      </c>
      <c r="K17" s="187">
        <v>166.66666666666666</v>
      </c>
      <c r="L17" s="187">
        <v>0</v>
      </c>
      <c r="M17" s="187">
        <v>0</v>
      </c>
      <c r="N17" s="187">
        <v>0</v>
      </c>
      <c r="O17" s="187">
        <v>0</v>
      </c>
      <c r="P17" s="187">
        <v>0</v>
      </c>
      <c r="Q17" s="187">
        <v>0</v>
      </c>
      <c r="R17" s="187">
        <v>0</v>
      </c>
      <c r="S17" s="187">
        <v>0</v>
      </c>
      <c r="T17" s="187">
        <v>0</v>
      </c>
      <c r="U17" s="187">
        <v>0</v>
      </c>
      <c r="V17" s="187">
        <v>0</v>
      </c>
      <c r="W17" s="187">
        <v>0</v>
      </c>
      <c r="X17" s="187">
        <v>0</v>
      </c>
      <c r="Y17" s="187">
        <v>0</v>
      </c>
      <c r="Z17" s="187">
        <v>0</v>
      </c>
      <c r="AA17" s="187">
        <v>0</v>
      </c>
      <c r="AB17" s="187">
        <v>0</v>
      </c>
      <c r="AC17" s="187">
        <v>0</v>
      </c>
      <c r="AD17" s="187">
        <v>0</v>
      </c>
      <c r="AE17" s="187">
        <v>0</v>
      </c>
      <c r="AF17" s="187">
        <v>0</v>
      </c>
      <c r="AG17" s="187">
        <v>0</v>
      </c>
      <c r="AH17" s="187">
        <v>0</v>
      </c>
      <c r="AI17" s="187">
        <v>0</v>
      </c>
      <c r="AJ17" s="187">
        <v>0</v>
      </c>
      <c r="AK17" s="187">
        <v>0</v>
      </c>
      <c r="AL17" s="187">
        <v>0</v>
      </c>
      <c r="AM17" s="187">
        <v>0</v>
      </c>
      <c r="AN17" s="187">
        <v>0</v>
      </c>
      <c r="AO17" s="187">
        <v>0</v>
      </c>
    </row>
    <row r="18" spans="3:41" x14ac:dyDescent="0.3">
      <c r="C18" s="187">
        <v>43</v>
      </c>
      <c r="D18" s="187">
        <v>4</v>
      </c>
      <c r="E18" s="187">
        <v>1</v>
      </c>
      <c r="F18" s="187">
        <v>2.65</v>
      </c>
      <c r="G18" s="187">
        <v>0</v>
      </c>
      <c r="H18" s="187">
        <v>2</v>
      </c>
      <c r="I18" s="187">
        <v>0</v>
      </c>
      <c r="J18" s="187">
        <v>0</v>
      </c>
      <c r="K18" s="187">
        <v>0</v>
      </c>
      <c r="L18" s="187">
        <v>0</v>
      </c>
      <c r="M18" s="187">
        <v>0</v>
      </c>
      <c r="N18" s="187">
        <v>0</v>
      </c>
      <c r="O18" s="187">
        <v>0</v>
      </c>
      <c r="P18" s="187">
        <v>0</v>
      </c>
      <c r="Q18" s="187">
        <v>0</v>
      </c>
      <c r="R18" s="187">
        <v>0</v>
      </c>
      <c r="S18" s="187">
        <v>0</v>
      </c>
      <c r="T18" s="187">
        <v>0</v>
      </c>
      <c r="U18" s="187">
        <v>0</v>
      </c>
      <c r="V18" s="187">
        <v>0</v>
      </c>
      <c r="W18" s="187">
        <v>0</v>
      </c>
      <c r="X18" s="187">
        <v>0</v>
      </c>
      <c r="Y18" s="187">
        <v>0</v>
      </c>
      <c r="Z18" s="187">
        <v>0</v>
      </c>
      <c r="AA18" s="187">
        <v>0.05</v>
      </c>
      <c r="AB18" s="187">
        <v>0</v>
      </c>
      <c r="AC18" s="187">
        <v>0</v>
      </c>
      <c r="AD18" s="187">
        <v>0</v>
      </c>
      <c r="AE18" s="187">
        <v>0</v>
      </c>
      <c r="AF18" s="187">
        <v>0</v>
      </c>
      <c r="AG18" s="187">
        <v>0</v>
      </c>
      <c r="AH18" s="187">
        <v>0</v>
      </c>
      <c r="AI18" s="187">
        <v>0</v>
      </c>
      <c r="AJ18" s="187">
        <v>0</v>
      </c>
      <c r="AK18" s="187">
        <v>0</v>
      </c>
      <c r="AL18" s="187">
        <v>0</v>
      </c>
      <c r="AM18" s="187">
        <v>0</v>
      </c>
      <c r="AN18" s="187">
        <v>0.6</v>
      </c>
      <c r="AO18" s="187">
        <v>0</v>
      </c>
    </row>
    <row r="19" spans="3:41" x14ac:dyDescent="0.3">
      <c r="C19" s="187">
        <v>43</v>
      </c>
      <c r="D19" s="187">
        <v>4</v>
      </c>
      <c r="E19" s="187">
        <v>2</v>
      </c>
      <c r="F19" s="187">
        <v>441.6</v>
      </c>
      <c r="G19" s="187">
        <v>0</v>
      </c>
      <c r="H19" s="187">
        <v>340</v>
      </c>
      <c r="I19" s="187">
        <v>0</v>
      </c>
      <c r="J19" s="187">
        <v>0</v>
      </c>
      <c r="K19" s="187">
        <v>0</v>
      </c>
      <c r="L19" s="187">
        <v>0</v>
      </c>
      <c r="M19" s="187">
        <v>0</v>
      </c>
      <c r="N19" s="187">
        <v>0</v>
      </c>
      <c r="O19" s="187">
        <v>0</v>
      </c>
      <c r="P19" s="187">
        <v>0</v>
      </c>
      <c r="Q19" s="187">
        <v>0</v>
      </c>
      <c r="R19" s="187">
        <v>0</v>
      </c>
      <c r="S19" s="187">
        <v>0</v>
      </c>
      <c r="T19" s="187">
        <v>0</v>
      </c>
      <c r="U19" s="187">
        <v>0</v>
      </c>
      <c r="V19" s="187">
        <v>0</v>
      </c>
      <c r="W19" s="187">
        <v>0</v>
      </c>
      <c r="X19" s="187">
        <v>0</v>
      </c>
      <c r="Y19" s="187">
        <v>0</v>
      </c>
      <c r="Z19" s="187">
        <v>0</v>
      </c>
      <c r="AA19" s="187">
        <v>0</v>
      </c>
      <c r="AB19" s="187">
        <v>0</v>
      </c>
      <c r="AC19" s="187">
        <v>0</v>
      </c>
      <c r="AD19" s="187">
        <v>0</v>
      </c>
      <c r="AE19" s="187">
        <v>0</v>
      </c>
      <c r="AF19" s="187">
        <v>0</v>
      </c>
      <c r="AG19" s="187">
        <v>0</v>
      </c>
      <c r="AH19" s="187">
        <v>0</v>
      </c>
      <c r="AI19" s="187">
        <v>0</v>
      </c>
      <c r="AJ19" s="187">
        <v>0</v>
      </c>
      <c r="AK19" s="187">
        <v>0</v>
      </c>
      <c r="AL19" s="187">
        <v>0</v>
      </c>
      <c r="AM19" s="187">
        <v>0</v>
      </c>
      <c r="AN19" s="187">
        <v>101.6</v>
      </c>
      <c r="AO19" s="187">
        <v>0</v>
      </c>
    </row>
    <row r="20" spans="3:41" x14ac:dyDescent="0.3">
      <c r="C20" s="187">
        <v>43</v>
      </c>
      <c r="D20" s="187">
        <v>4</v>
      </c>
      <c r="E20" s="187">
        <v>6</v>
      </c>
      <c r="F20" s="187">
        <v>87840</v>
      </c>
      <c r="G20" s="187">
        <v>0</v>
      </c>
      <c r="H20" s="187">
        <v>74819</v>
      </c>
      <c r="I20" s="187">
        <v>0</v>
      </c>
      <c r="J20" s="187">
        <v>0</v>
      </c>
      <c r="K20" s="187">
        <v>0</v>
      </c>
      <c r="L20" s="187">
        <v>0</v>
      </c>
      <c r="M20" s="187">
        <v>0</v>
      </c>
      <c r="N20" s="187">
        <v>0</v>
      </c>
      <c r="O20" s="187">
        <v>0</v>
      </c>
      <c r="P20" s="187">
        <v>0</v>
      </c>
      <c r="Q20" s="187">
        <v>0</v>
      </c>
      <c r="R20" s="187">
        <v>0</v>
      </c>
      <c r="S20" s="187">
        <v>0</v>
      </c>
      <c r="T20" s="187">
        <v>0</v>
      </c>
      <c r="U20" s="187">
        <v>0</v>
      </c>
      <c r="V20" s="187">
        <v>0</v>
      </c>
      <c r="W20" s="187">
        <v>0</v>
      </c>
      <c r="X20" s="187">
        <v>0</v>
      </c>
      <c r="Y20" s="187">
        <v>0</v>
      </c>
      <c r="Z20" s="187">
        <v>0</v>
      </c>
      <c r="AA20" s="187">
        <v>1629</v>
      </c>
      <c r="AB20" s="187">
        <v>0</v>
      </c>
      <c r="AC20" s="187">
        <v>0</v>
      </c>
      <c r="AD20" s="187">
        <v>0</v>
      </c>
      <c r="AE20" s="187">
        <v>0</v>
      </c>
      <c r="AF20" s="187">
        <v>0</v>
      </c>
      <c r="AG20" s="187">
        <v>0</v>
      </c>
      <c r="AH20" s="187">
        <v>0</v>
      </c>
      <c r="AI20" s="187">
        <v>0</v>
      </c>
      <c r="AJ20" s="187">
        <v>0</v>
      </c>
      <c r="AK20" s="187">
        <v>0</v>
      </c>
      <c r="AL20" s="187">
        <v>0</v>
      </c>
      <c r="AM20" s="187">
        <v>0</v>
      </c>
      <c r="AN20" s="187">
        <v>11392</v>
      </c>
      <c r="AO20" s="187">
        <v>0</v>
      </c>
    </row>
    <row r="21" spans="3:41" x14ac:dyDescent="0.3">
      <c r="C21" s="187">
        <v>43</v>
      </c>
      <c r="D21" s="187">
        <v>4</v>
      </c>
      <c r="E21" s="187">
        <v>11</v>
      </c>
      <c r="F21" s="187">
        <v>873.66570000617014</v>
      </c>
      <c r="G21" s="187">
        <v>0</v>
      </c>
      <c r="H21" s="187">
        <v>706.99903333950351</v>
      </c>
      <c r="I21" s="187">
        <v>0</v>
      </c>
      <c r="J21" s="187">
        <v>0</v>
      </c>
      <c r="K21" s="187">
        <v>166.66666666666666</v>
      </c>
      <c r="L21" s="187">
        <v>0</v>
      </c>
      <c r="M21" s="187">
        <v>0</v>
      </c>
      <c r="N21" s="187">
        <v>0</v>
      </c>
      <c r="O21" s="187">
        <v>0</v>
      </c>
      <c r="P21" s="187">
        <v>0</v>
      </c>
      <c r="Q21" s="187">
        <v>0</v>
      </c>
      <c r="R21" s="187">
        <v>0</v>
      </c>
      <c r="S21" s="187">
        <v>0</v>
      </c>
      <c r="T21" s="187">
        <v>0</v>
      </c>
      <c r="U21" s="187">
        <v>0</v>
      </c>
      <c r="V21" s="187">
        <v>0</v>
      </c>
      <c r="W21" s="187">
        <v>0</v>
      </c>
      <c r="X21" s="187">
        <v>0</v>
      </c>
      <c r="Y21" s="187">
        <v>0</v>
      </c>
      <c r="Z21" s="187">
        <v>0</v>
      </c>
      <c r="AA21" s="187">
        <v>0</v>
      </c>
      <c r="AB21" s="187">
        <v>0</v>
      </c>
      <c r="AC21" s="187">
        <v>0</v>
      </c>
      <c r="AD21" s="187">
        <v>0</v>
      </c>
      <c r="AE21" s="187">
        <v>0</v>
      </c>
      <c r="AF21" s="187">
        <v>0</v>
      </c>
      <c r="AG21" s="187">
        <v>0</v>
      </c>
      <c r="AH21" s="187">
        <v>0</v>
      </c>
      <c r="AI21" s="187">
        <v>0</v>
      </c>
      <c r="AJ21" s="187">
        <v>0</v>
      </c>
      <c r="AK21" s="187">
        <v>0</v>
      </c>
      <c r="AL21" s="187">
        <v>0</v>
      </c>
      <c r="AM21" s="187">
        <v>0</v>
      </c>
      <c r="AN21" s="187">
        <v>0</v>
      </c>
      <c r="AO21" s="187">
        <v>0</v>
      </c>
    </row>
    <row r="22" spans="3:41" x14ac:dyDescent="0.3">
      <c r="C22" s="187">
        <v>43</v>
      </c>
      <c r="D22" s="187">
        <v>5</v>
      </c>
      <c r="E22" s="187">
        <v>1</v>
      </c>
      <c r="F22" s="187">
        <v>2.65</v>
      </c>
      <c r="G22" s="187">
        <v>0</v>
      </c>
      <c r="H22" s="187">
        <v>2</v>
      </c>
      <c r="I22" s="187">
        <v>0</v>
      </c>
      <c r="J22" s="187">
        <v>0</v>
      </c>
      <c r="K22" s="187">
        <v>0</v>
      </c>
      <c r="L22" s="187">
        <v>0</v>
      </c>
      <c r="M22" s="187">
        <v>0</v>
      </c>
      <c r="N22" s="187">
        <v>0</v>
      </c>
      <c r="O22" s="187">
        <v>0</v>
      </c>
      <c r="P22" s="187">
        <v>0</v>
      </c>
      <c r="Q22" s="187">
        <v>0</v>
      </c>
      <c r="R22" s="187">
        <v>0</v>
      </c>
      <c r="S22" s="187">
        <v>0</v>
      </c>
      <c r="T22" s="187">
        <v>0</v>
      </c>
      <c r="U22" s="187">
        <v>0</v>
      </c>
      <c r="V22" s="187">
        <v>0</v>
      </c>
      <c r="W22" s="187">
        <v>0</v>
      </c>
      <c r="X22" s="187">
        <v>0</v>
      </c>
      <c r="Y22" s="187">
        <v>0</v>
      </c>
      <c r="Z22" s="187">
        <v>0</v>
      </c>
      <c r="AA22" s="187">
        <v>0.05</v>
      </c>
      <c r="AB22" s="187">
        <v>0</v>
      </c>
      <c r="AC22" s="187">
        <v>0</v>
      </c>
      <c r="AD22" s="187">
        <v>0</v>
      </c>
      <c r="AE22" s="187">
        <v>0</v>
      </c>
      <c r="AF22" s="187">
        <v>0</v>
      </c>
      <c r="AG22" s="187">
        <v>0</v>
      </c>
      <c r="AH22" s="187">
        <v>0</v>
      </c>
      <c r="AI22" s="187">
        <v>0</v>
      </c>
      <c r="AJ22" s="187">
        <v>0</v>
      </c>
      <c r="AK22" s="187">
        <v>0</v>
      </c>
      <c r="AL22" s="187">
        <v>0</v>
      </c>
      <c r="AM22" s="187">
        <v>0</v>
      </c>
      <c r="AN22" s="187">
        <v>0.6</v>
      </c>
      <c r="AO22" s="187">
        <v>0</v>
      </c>
    </row>
    <row r="23" spans="3:41" x14ac:dyDescent="0.3">
      <c r="C23" s="187">
        <v>43</v>
      </c>
      <c r="D23" s="187">
        <v>5</v>
      </c>
      <c r="E23" s="187">
        <v>2</v>
      </c>
      <c r="F23" s="187">
        <v>399.6</v>
      </c>
      <c r="G23" s="187">
        <v>0</v>
      </c>
      <c r="H23" s="187">
        <v>292</v>
      </c>
      <c r="I23" s="187">
        <v>0</v>
      </c>
      <c r="J23" s="187">
        <v>0</v>
      </c>
      <c r="K23" s="187">
        <v>0</v>
      </c>
      <c r="L23" s="187">
        <v>0</v>
      </c>
      <c r="M23" s="187">
        <v>0</v>
      </c>
      <c r="N23" s="187">
        <v>0</v>
      </c>
      <c r="O23" s="187">
        <v>0</v>
      </c>
      <c r="P23" s="187">
        <v>0</v>
      </c>
      <c r="Q23" s="187">
        <v>0</v>
      </c>
      <c r="R23" s="187">
        <v>0</v>
      </c>
      <c r="S23" s="187">
        <v>0</v>
      </c>
      <c r="T23" s="187">
        <v>0</v>
      </c>
      <c r="U23" s="187">
        <v>0</v>
      </c>
      <c r="V23" s="187">
        <v>0</v>
      </c>
      <c r="W23" s="187">
        <v>0</v>
      </c>
      <c r="X23" s="187">
        <v>0</v>
      </c>
      <c r="Y23" s="187">
        <v>0</v>
      </c>
      <c r="Z23" s="187">
        <v>0</v>
      </c>
      <c r="AA23" s="187">
        <v>7.6</v>
      </c>
      <c r="AB23" s="187">
        <v>0</v>
      </c>
      <c r="AC23" s="187">
        <v>0</v>
      </c>
      <c r="AD23" s="187">
        <v>0</v>
      </c>
      <c r="AE23" s="187">
        <v>0</v>
      </c>
      <c r="AF23" s="187">
        <v>0</v>
      </c>
      <c r="AG23" s="187">
        <v>0</v>
      </c>
      <c r="AH23" s="187">
        <v>0</v>
      </c>
      <c r="AI23" s="187">
        <v>0</v>
      </c>
      <c r="AJ23" s="187">
        <v>0</v>
      </c>
      <c r="AK23" s="187">
        <v>0</v>
      </c>
      <c r="AL23" s="187">
        <v>0</v>
      </c>
      <c r="AM23" s="187">
        <v>0</v>
      </c>
      <c r="AN23" s="187">
        <v>100</v>
      </c>
      <c r="AO23" s="187">
        <v>0</v>
      </c>
    </row>
    <row r="24" spans="3:41" x14ac:dyDescent="0.3">
      <c r="C24" s="187">
        <v>43</v>
      </c>
      <c r="D24" s="187">
        <v>5</v>
      </c>
      <c r="E24" s="187">
        <v>6</v>
      </c>
      <c r="F24" s="187">
        <v>89090</v>
      </c>
      <c r="G24" s="187">
        <v>0</v>
      </c>
      <c r="H24" s="187">
        <v>75544</v>
      </c>
      <c r="I24" s="187">
        <v>0</v>
      </c>
      <c r="J24" s="187">
        <v>0</v>
      </c>
      <c r="K24" s="187">
        <v>0</v>
      </c>
      <c r="L24" s="187">
        <v>0</v>
      </c>
      <c r="M24" s="187">
        <v>0</v>
      </c>
      <c r="N24" s="187">
        <v>0</v>
      </c>
      <c r="O24" s="187">
        <v>0</v>
      </c>
      <c r="P24" s="187">
        <v>0</v>
      </c>
      <c r="Q24" s="187">
        <v>0</v>
      </c>
      <c r="R24" s="187">
        <v>0</v>
      </c>
      <c r="S24" s="187">
        <v>0</v>
      </c>
      <c r="T24" s="187">
        <v>0</v>
      </c>
      <c r="U24" s="187">
        <v>0</v>
      </c>
      <c r="V24" s="187">
        <v>0</v>
      </c>
      <c r="W24" s="187">
        <v>0</v>
      </c>
      <c r="X24" s="187">
        <v>0</v>
      </c>
      <c r="Y24" s="187">
        <v>0</v>
      </c>
      <c r="Z24" s="187">
        <v>0</v>
      </c>
      <c r="AA24" s="187">
        <v>2063</v>
      </c>
      <c r="AB24" s="187">
        <v>0</v>
      </c>
      <c r="AC24" s="187">
        <v>0</v>
      </c>
      <c r="AD24" s="187">
        <v>0</v>
      </c>
      <c r="AE24" s="187">
        <v>0</v>
      </c>
      <c r="AF24" s="187">
        <v>0</v>
      </c>
      <c r="AG24" s="187">
        <v>0</v>
      </c>
      <c r="AH24" s="187">
        <v>0</v>
      </c>
      <c r="AI24" s="187">
        <v>0</v>
      </c>
      <c r="AJ24" s="187">
        <v>0</v>
      </c>
      <c r="AK24" s="187">
        <v>0</v>
      </c>
      <c r="AL24" s="187">
        <v>0</v>
      </c>
      <c r="AM24" s="187">
        <v>0</v>
      </c>
      <c r="AN24" s="187">
        <v>11483</v>
      </c>
      <c r="AO24" s="187">
        <v>0</v>
      </c>
    </row>
    <row r="25" spans="3:41" x14ac:dyDescent="0.3">
      <c r="C25" s="187">
        <v>43</v>
      </c>
      <c r="D25" s="187">
        <v>5</v>
      </c>
      <c r="E25" s="187">
        <v>11</v>
      </c>
      <c r="F25" s="187">
        <v>873.66570000617014</v>
      </c>
      <c r="G25" s="187">
        <v>0</v>
      </c>
      <c r="H25" s="187">
        <v>706.99903333950351</v>
      </c>
      <c r="I25" s="187">
        <v>0</v>
      </c>
      <c r="J25" s="187">
        <v>0</v>
      </c>
      <c r="K25" s="187">
        <v>166.66666666666666</v>
      </c>
      <c r="L25" s="187">
        <v>0</v>
      </c>
      <c r="M25" s="187">
        <v>0</v>
      </c>
      <c r="N25" s="187">
        <v>0</v>
      </c>
      <c r="O25" s="187">
        <v>0</v>
      </c>
      <c r="P25" s="187">
        <v>0</v>
      </c>
      <c r="Q25" s="187">
        <v>0</v>
      </c>
      <c r="R25" s="187">
        <v>0</v>
      </c>
      <c r="S25" s="187">
        <v>0</v>
      </c>
      <c r="T25" s="187">
        <v>0</v>
      </c>
      <c r="U25" s="187">
        <v>0</v>
      </c>
      <c r="V25" s="187">
        <v>0</v>
      </c>
      <c r="W25" s="187">
        <v>0</v>
      </c>
      <c r="X25" s="187">
        <v>0</v>
      </c>
      <c r="Y25" s="187">
        <v>0</v>
      </c>
      <c r="Z25" s="187">
        <v>0</v>
      </c>
      <c r="AA25" s="187">
        <v>0</v>
      </c>
      <c r="AB25" s="187">
        <v>0</v>
      </c>
      <c r="AC25" s="187">
        <v>0</v>
      </c>
      <c r="AD25" s="187">
        <v>0</v>
      </c>
      <c r="AE25" s="187">
        <v>0</v>
      </c>
      <c r="AF25" s="187">
        <v>0</v>
      </c>
      <c r="AG25" s="187">
        <v>0</v>
      </c>
      <c r="AH25" s="187">
        <v>0</v>
      </c>
      <c r="AI25" s="187">
        <v>0</v>
      </c>
      <c r="AJ25" s="187">
        <v>0</v>
      </c>
      <c r="AK25" s="187">
        <v>0</v>
      </c>
      <c r="AL25" s="187">
        <v>0</v>
      </c>
      <c r="AM25" s="187">
        <v>0</v>
      </c>
      <c r="AN25" s="187">
        <v>0</v>
      </c>
      <c r="AO25" s="187">
        <v>0</v>
      </c>
    </row>
    <row r="26" spans="3:41" x14ac:dyDescent="0.3">
      <c r="C26" s="187">
        <v>43</v>
      </c>
      <c r="D26" s="187">
        <v>6</v>
      </c>
      <c r="E26" s="187">
        <v>1</v>
      </c>
      <c r="F26" s="187">
        <v>2.65</v>
      </c>
      <c r="G26" s="187">
        <v>0</v>
      </c>
      <c r="H26" s="187">
        <v>2</v>
      </c>
      <c r="I26" s="187">
        <v>0</v>
      </c>
      <c r="J26" s="187">
        <v>0</v>
      </c>
      <c r="K26" s="187">
        <v>0</v>
      </c>
      <c r="L26" s="187">
        <v>0</v>
      </c>
      <c r="M26" s="187">
        <v>0</v>
      </c>
      <c r="N26" s="187">
        <v>0</v>
      </c>
      <c r="O26" s="187">
        <v>0</v>
      </c>
      <c r="P26" s="187">
        <v>0</v>
      </c>
      <c r="Q26" s="187">
        <v>0</v>
      </c>
      <c r="R26" s="187">
        <v>0</v>
      </c>
      <c r="S26" s="187">
        <v>0</v>
      </c>
      <c r="T26" s="187">
        <v>0</v>
      </c>
      <c r="U26" s="187">
        <v>0</v>
      </c>
      <c r="V26" s="187">
        <v>0</v>
      </c>
      <c r="W26" s="187">
        <v>0</v>
      </c>
      <c r="X26" s="187">
        <v>0</v>
      </c>
      <c r="Y26" s="187">
        <v>0</v>
      </c>
      <c r="Z26" s="187">
        <v>0</v>
      </c>
      <c r="AA26" s="187">
        <v>0.05</v>
      </c>
      <c r="AB26" s="187">
        <v>0</v>
      </c>
      <c r="AC26" s="187">
        <v>0</v>
      </c>
      <c r="AD26" s="187">
        <v>0</v>
      </c>
      <c r="AE26" s="187">
        <v>0</v>
      </c>
      <c r="AF26" s="187">
        <v>0</v>
      </c>
      <c r="AG26" s="187">
        <v>0</v>
      </c>
      <c r="AH26" s="187">
        <v>0</v>
      </c>
      <c r="AI26" s="187">
        <v>0</v>
      </c>
      <c r="AJ26" s="187">
        <v>0</v>
      </c>
      <c r="AK26" s="187">
        <v>0</v>
      </c>
      <c r="AL26" s="187">
        <v>0</v>
      </c>
      <c r="AM26" s="187">
        <v>0</v>
      </c>
      <c r="AN26" s="187">
        <v>0.6</v>
      </c>
      <c r="AO26" s="187">
        <v>0</v>
      </c>
    </row>
    <row r="27" spans="3:41" x14ac:dyDescent="0.3">
      <c r="C27" s="187">
        <v>43</v>
      </c>
      <c r="D27" s="187">
        <v>6</v>
      </c>
      <c r="E27" s="187">
        <v>2</v>
      </c>
      <c r="F27" s="187">
        <v>416</v>
      </c>
      <c r="G27" s="187">
        <v>0</v>
      </c>
      <c r="H27" s="187">
        <v>308</v>
      </c>
      <c r="I27" s="187">
        <v>0</v>
      </c>
      <c r="J27" s="187">
        <v>0</v>
      </c>
      <c r="K27" s="187">
        <v>0</v>
      </c>
      <c r="L27" s="187">
        <v>0</v>
      </c>
      <c r="M27" s="187">
        <v>0</v>
      </c>
      <c r="N27" s="187">
        <v>0</v>
      </c>
      <c r="O27" s="187">
        <v>0</v>
      </c>
      <c r="P27" s="187">
        <v>0</v>
      </c>
      <c r="Q27" s="187">
        <v>0</v>
      </c>
      <c r="R27" s="187">
        <v>0</v>
      </c>
      <c r="S27" s="187">
        <v>0</v>
      </c>
      <c r="T27" s="187">
        <v>0</v>
      </c>
      <c r="U27" s="187">
        <v>0</v>
      </c>
      <c r="V27" s="187">
        <v>0</v>
      </c>
      <c r="W27" s="187">
        <v>0</v>
      </c>
      <c r="X27" s="187">
        <v>0</v>
      </c>
      <c r="Y27" s="187">
        <v>0</v>
      </c>
      <c r="Z27" s="187">
        <v>0</v>
      </c>
      <c r="AA27" s="187">
        <v>3.2</v>
      </c>
      <c r="AB27" s="187">
        <v>0</v>
      </c>
      <c r="AC27" s="187">
        <v>0</v>
      </c>
      <c r="AD27" s="187">
        <v>0</v>
      </c>
      <c r="AE27" s="187">
        <v>0</v>
      </c>
      <c r="AF27" s="187">
        <v>0</v>
      </c>
      <c r="AG27" s="187">
        <v>0</v>
      </c>
      <c r="AH27" s="187">
        <v>0</v>
      </c>
      <c r="AI27" s="187">
        <v>0</v>
      </c>
      <c r="AJ27" s="187">
        <v>0</v>
      </c>
      <c r="AK27" s="187">
        <v>0</v>
      </c>
      <c r="AL27" s="187">
        <v>0</v>
      </c>
      <c r="AM27" s="187">
        <v>0</v>
      </c>
      <c r="AN27" s="187">
        <v>104.8</v>
      </c>
      <c r="AO27" s="187">
        <v>0</v>
      </c>
    </row>
    <row r="28" spans="3:41" x14ac:dyDescent="0.3">
      <c r="C28" s="187">
        <v>43</v>
      </c>
      <c r="D28" s="187">
        <v>6</v>
      </c>
      <c r="E28" s="187">
        <v>6</v>
      </c>
      <c r="F28" s="187">
        <v>88799</v>
      </c>
      <c r="G28" s="187">
        <v>0</v>
      </c>
      <c r="H28" s="187">
        <v>76525</v>
      </c>
      <c r="I28" s="187">
        <v>0</v>
      </c>
      <c r="J28" s="187">
        <v>0</v>
      </c>
      <c r="K28" s="187">
        <v>0</v>
      </c>
      <c r="L28" s="187">
        <v>0</v>
      </c>
      <c r="M28" s="187">
        <v>0</v>
      </c>
      <c r="N28" s="187">
        <v>0</v>
      </c>
      <c r="O28" s="187">
        <v>0</v>
      </c>
      <c r="P28" s="187">
        <v>0</v>
      </c>
      <c r="Q28" s="187">
        <v>0</v>
      </c>
      <c r="R28" s="187">
        <v>0</v>
      </c>
      <c r="S28" s="187">
        <v>0</v>
      </c>
      <c r="T28" s="187">
        <v>0</v>
      </c>
      <c r="U28" s="187">
        <v>0</v>
      </c>
      <c r="V28" s="187">
        <v>0</v>
      </c>
      <c r="W28" s="187">
        <v>0</v>
      </c>
      <c r="X28" s="187">
        <v>0</v>
      </c>
      <c r="Y28" s="187">
        <v>0</v>
      </c>
      <c r="Z28" s="187">
        <v>0</v>
      </c>
      <c r="AA28" s="187">
        <v>787</v>
      </c>
      <c r="AB28" s="187">
        <v>0</v>
      </c>
      <c r="AC28" s="187">
        <v>0</v>
      </c>
      <c r="AD28" s="187">
        <v>0</v>
      </c>
      <c r="AE28" s="187">
        <v>0</v>
      </c>
      <c r="AF28" s="187">
        <v>0</v>
      </c>
      <c r="AG28" s="187">
        <v>0</v>
      </c>
      <c r="AH28" s="187">
        <v>0</v>
      </c>
      <c r="AI28" s="187">
        <v>0</v>
      </c>
      <c r="AJ28" s="187">
        <v>0</v>
      </c>
      <c r="AK28" s="187">
        <v>0</v>
      </c>
      <c r="AL28" s="187">
        <v>0</v>
      </c>
      <c r="AM28" s="187">
        <v>0</v>
      </c>
      <c r="AN28" s="187">
        <v>11487</v>
      </c>
      <c r="AO28" s="187">
        <v>0</v>
      </c>
    </row>
    <row r="29" spans="3:41" x14ac:dyDescent="0.3">
      <c r="C29" s="187">
        <v>43</v>
      </c>
      <c r="D29" s="187">
        <v>6</v>
      </c>
      <c r="E29" s="187">
        <v>11</v>
      </c>
      <c r="F29" s="187">
        <v>873.66570000617014</v>
      </c>
      <c r="G29" s="187">
        <v>0</v>
      </c>
      <c r="H29" s="187">
        <v>706.99903333950351</v>
      </c>
      <c r="I29" s="187">
        <v>0</v>
      </c>
      <c r="J29" s="187">
        <v>0</v>
      </c>
      <c r="K29" s="187">
        <v>166.66666666666666</v>
      </c>
      <c r="L29" s="187">
        <v>0</v>
      </c>
      <c r="M29" s="187">
        <v>0</v>
      </c>
      <c r="N29" s="187">
        <v>0</v>
      </c>
      <c r="O29" s="187">
        <v>0</v>
      </c>
      <c r="P29" s="187">
        <v>0</v>
      </c>
      <c r="Q29" s="187">
        <v>0</v>
      </c>
      <c r="R29" s="187">
        <v>0</v>
      </c>
      <c r="S29" s="187">
        <v>0</v>
      </c>
      <c r="T29" s="187">
        <v>0</v>
      </c>
      <c r="U29" s="187">
        <v>0</v>
      </c>
      <c r="V29" s="187">
        <v>0</v>
      </c>
      <c r="W29" s="187">
        <v>0</v>
      </c>
      <c r="X29" s="187">
        <v>0</v>
      </c>
      <c r="Y29" s="187">
        <v>0</v>
      </c>
      <c r="Z29" s="187">
        <v>0</v>
      </c>
      <c r="AA29" s="187">
        <v>0</v>
      </c>
      <c r="AB29" s="187">
        <v>0</v>
      </c>
      <c r="AC29" s="187">
        <v>0</v>
      </c>
      <c r="AD29" s="187">
        <v>0</v>
      </c>
      <c r="AE29" s="187">
        <v>0</v>
      </c>
      <c r="AF29" s="187">
        <v>0</v>
      </c>
      <c r="AG29" s="187">
        <v>0</v>
      </c>
      <c r="AH29" s="187">
        <v>0</v>
      </c>
      <c r="AI29" s="187">
        <v>0</v>
      </c>
      <c r="AJ29" s="187">
        <v>0</v>
      </c>
      <c r="AK29" s="187">
        <v>0</v>
      </c>
      <c r="AL29" s="187">
        <v>0</v>
      </c>
      <c r="AM29" s="187">
        <v>0</v>
      </c>
      <c r="AN29" s="187">
        <v>0</v>
      </c>
      <c r="AO29" s="187">
        <v>0</v>
      </c>
    </row>
    <row r="30" spans="3:41" x14ac:dyDescent="0.3">
      <c r="C30" s="187">
        <v>43</v>
      </c>
      <c r="D30" s="187">
        <v>7</v>
      </c>
      <c r="E30" s="187">
        <v>1</v>
      </c>
      <c r="F30" s="187">
        <v>2.65</v>
      </c>
      <c r="G30" s="187">
        <v>0</v>
      </c>
      <c r="H30" s="187">
        <v>2</v>
      </c>
      <c r="I30" s="187">
        <v>0</v>
      </c>
      <c r="J30" s="187">
        <v>0</v>
      </c>
      <c r="K30" s="187">
        <v>0</v>
      </c>
      <c r="L30" s="187">
        <v>0</v>
      </c>
      <c r="M30" s="187">
        <v>0</v>
      </c>
      <c r="N30" s="187">
        <v>0</v>
      </c>
      <c r="O30" s="187">
        <v>0</v>
      </c>
      <c r="P30" s="187">
        <v>0</v>
      </c>
      <c r="Q30" s="187">
        <v>0</v>
      </c>
      <c r="R30" s="187">
        <v>0</v>
      </c>
      <c r="S30" s="187">
        <v>0</v>
      </c>
      <c r="T30" s="187">
        <v>0</v>
      </c>
      <c r="U30" s="187">
        <v>0</v>
      </c>
      <c r="V30" s="187">
        <v>0</v>
      </c>
      <c r="W30" s="187">
        <v>0</v>
      </c>
      <c r="X30" s="187">
        <v>0</v>
      </c>
      <c r="Y30" s="187">
        <v>0</v>
      </c>
      <c r="Z30" s="187">
        <v>0</v>
      </c>
      <c r="AA30" s="187">
        <v>0.05</v>
      </c>
      <c r="AB30" s="187">
        <v>0</v>
      </c>
      <c r="AC30" s="187">
        <v>0</v>
      </c>
      <c r="AD30" s="187">
        <v>0</v>
      </c>
      <c r="AE30" s="187">
        <v>0</v>
      </c>
      <c r="AF30" s="187">
        <v>0</v>
      </c>
      <c r="AG30" s="187">
        <v>0</v>
      </c>
      <c r="AH30" s="187">
        <v>0</v>
      </c>
      <c r="AI30" s="187">
        <v>0</v>
      </c>
      <c r="AJ30" s="187">
        <v>0</v>
      </c>
      <c r="AK30" s="187">
        <v>0</v>
      </c>
      <c r="AL30" s="187">
        <v>0</v>
      </c>
      <c r="AM30" s="187">
        <v>0</v>
      </c>
      <c r="AN30" s="187">
        <v>0.6</v>
      </c>
      <c r="AO30" s="187">
        <v>0</v>
      </c>
    </row>
    <row r="31" spans="3:41" x14ac:dyDescent="0.3">
      <c r="C31" s="187">
        <v>43</v>
      </c>
      <c r="D31" s="187">
        <v>7</v>
      </c>
      <c r="E31" s="187">
        <v>2</v>
      </c>
      <c r="F31" s="187">
        <v>417.2</v>
      </c>
      <c r="G31" s="187">
        <v>0</v>
      </c>
      <c r="H31" s="187">
        <v>300</v>
      </c>
      <c r="I31" s="187">
        <v>0</v>
      </c>
      <c r="J31" s="187">
        <v>0</v>
      </c>
      <c r="K31" s="187">
        <v>0</v>
      </c>
      <c r="L31" s="187">
        <v>0</v>
      </c>
      <c r="M31" s="187">
        <v>0</v>
      </c>
      <c r="N31" s="187">
        <v>0</v>
      </c>
      <c r="O31" s="187">
        <v>0</v>
      </c>
      <c r="P31" s="187">
        <v>0</v>
      </c>
      <c r="Q31" s="187">
        <v>0</v>
      </c>
      <c r="R31" s="187">
        <v>0</v>
      </c>
      <c r="S31" s="187">
        <v>0</v>
      </c>
      <c r="T31" s="187">
        <v>0</v>
      </c>
      <c r="U31" s="187">
        <v>0</v>
      </c>
      <c r="V31" s="187">
        <v>0</v>
      </c>
      <c r="W31" s="187">
        <v>0</v>
      </c>
      <c r="X31" s="187">
        <v>0</v>
      </c>
      <c r="Y31" s="187">
        <v>0</v>
      </c>
      <c r="Z31" s="187">
        <v>0</v>
      </c>
      <c r="AA31" s="187">
        <v>9.1999999999999993</v>
      </c>
      <c r="AB31" s="187">
        <v>0</v>
      </c>
      <c r="AC31" s="187">
        <v>0</v>
      </c>
      <c r="AD31" s="187">
        <v>0</v>
      </c>
      <c r="AE31" s="187">
        <v>0</v>
      </c>
      <c r="AF31" s="187">
        <v>0</v>
      </c>
      <c r="AG31" s="187">
        <v>0</v>
      </c>
      <c r="AH31" s="187">
        <v>0</v>
      </c>
      <c r="AI31" s="187">
        <v>0</v>
      </c>
      <c r="AJ31" s="187">
        <v>0</v>
      </c>
      <c r="AK31" s="187">
        <v>0</v>
      </c>
      <c r="AL31" s="187">
        <v>0</v>
      </c>
      <c r="AM31" s="187">
        <v>0</v>
      </c>
      <c r="AN31" s="187">
        <v>108</v>
      </c>
      <c r="AO31" s="187">
        <v>0</v>
      </c>
    </row>
    <row r="32" spans="3:41" x14ac:dyDescent="0.3">
      <c r="C32" s="187">
        <v>43</v>
      </c>
      <c r="D32" s="187">
        <v>7</v>
      </c>
      <c r="E32" s="187">
        <v>6</v>
      </c>
      <c r="F32" s="187">
        <v>174618</v>
      </c>
      <c r="G32" s="187">
        <v>0</v>
      </c>
      <c r="H32" s="187">
        <v>153056</v>
      </c>
      <c r="I32" s="187">
        <v>0</v>
      </c>
      <c r="J32" s="187">
        <v>0</v>
      </c>
      <c r="K32" s="187">
        <v>0</v>
      </c>
      <c r="L32" s="187">
        <v>0</v>
      </c>
      <c r="M32" s="187">
        <v>0</v>
      </c>
      <c r="N32" s="187">
        <v>0</v>
      </c>
      <c r="O32" s="187">
        <v>0</v>
      </c>
      <c r="P32" s="187">
        <v>0</v>
      </c>
      <c r="Q32" s="187">
        <v>0</v>
      </c>
      <c r="R32" s="187">
        <v>0</v>
      </c>
      <c r="S32" s="187">
        <v>0</v>
      </c>
      <c r="T32" s="187">
        <v>0</v>
      </c>
      <c r="U32" s="187">
        <v>0</v>
      </c>
      <c r="V32" s="187">
        <v>0</v>
      </c>
      <c r="W32" s="187">
        <v>0</v>
      </c>
      <c r="X32" s="187">
        <v>0</v>
      </c>
      <c r="Y32" s="187">
        <v>0</v>
      </c>
      <c r="Z32" s="187">
        <v>0</v>
      </c>
      <c r="AA32" s="187">
        <v>3000</v>
      </c>
      <c r="AB32" s="187">
        <v>0</v>
      </c>
      <c r="AC32" s="187">
        <v>0</v>
      </c>
      <c r="AD32" s="187">
        <v>0</v>
      </c>
      <c r="AE32" s="187">
        <v>0</v>
      </c>
      <c r="AF32" s="187">
        <v>0</v>
      </c>
      <c r="AG32" s="187">
        <v>0</v>
      </c>
      <c r="AH32" s="187">
        <v>0</v>
      </c>
      <c r="AI32" s="187">
        <v>0</v>
      </c>
      <c r="AJ32" s="187">
        <v>0</v>
      </c>
      <c r="AK32" s="187">
        <v>0</v>
      </c>
      <c r="AL32" s="187">
        <v>0</v>
      </c>
      <c r="AM32" s="187">
        <v>0</v>
      </c>
      <c r="AN32" s="187">
        <v>18562</v>
      </c>
      <c r="AO32" s="187">
        <v>0</v>
      </c>
    </row>
    <row r="33" spans="3:41" x14ac:dyDescent="0.3">
      <c r="C33" s="187">
        <v>43</v>
      </c>
      <c r="D33" s="187">
        <v>7</v>
      </c>
      <c r="E33" s="187">
        <v>9</v>
      </c>
      <c r="F33" s="187">
        <v>85827</v>
      </c>
      <c r="G33" s="187">
        <v>0</v>
      </c>
      <c r="H33" s="187">
        <v>77920</v>
      </c>
      <c r="I33" s="187">
        <v>0</v>
      </c>
      <c r="J33" s="187">
        <v>0</v>
      </c>
      <c r="K33" s="187">
        <v>0</v>
      </c>
      <c r="L33" s="187">
        <v>0</v>
      </c>
      <c r="M33" s="187">
        <v>0</v>
      </c>
      <c r="N33" s="187">
        <v>0</v>
      </c>
      <c r="O33" s="187">
        <v>0</v>
      </c>
      <c r="P33" s="187">
        <v>0</v>
      </c>
      <c r="Q33" s="187">
        <v>0</v>
      </c>
      <c r="R33" s="187">
        <v>0</v>
      </c>
      <c r="S33" s="187">
        <v>0</v>
      </c>
      <c r="T33" s="187">
        <v>0</v>
      </c>
      <c r="U33" s="187">
        <v>0</v>
      </c>
      <c r="V33" s="187">
        <v>0</v>
      </c>
      <c r="W33" s="187">
        <v>0</v>
      </c>
      <c r="X33" s="187">
        <v>0</v>
      </c>
      <c r="Y33" s="187">
        <v>0</v>
      </c>
      <c r="Z33" s="187">
        <v>0</v>
      </c>
      <c r="AA33" s="187">
        <v>837</v>
      </c>
      <c r="AB33" s="187">
        <v>0</v>
      </c>
      <c r="AC33" s="187">
        <v>0</v>
      </c>
      <c r="AD33" s="187">
        <v>0</v>
      </c>
      <c r="AE33" s="187">
        <v>0</v>
      </c>
      <c r="AF33" s="187">
        <v>0</v>
      </c>
      <c r="AG33" s="187">
        <v>0</v>
      </c>
      <c r="AH33" s="187">
        <v>0</v>
      </c>
      <c r="AI33" s="187">
        <v>0</v>
      </c>
      <c r="AJ33" s="187">
        <v>0</v>
      </c>
      <c r="AK33" s="187">
        <v>0</v>
      </c>
      <c r="AL33" s="187">
        <v>0</v>
      </c>
      <c r="AM33" s="187">
        <v>0</v>
      </c>
      <c r="AN33" s="187">
        <v>7070</v>
      </c>
      <c r="AO33" s="187">
        <v>0</v>
      </c>
    </row>
    <row r="34" spans="3:41" x14ac:dyDescent="0.3">
      <c r="C34" s="187">
        <v>43</v>
      </c>
      <c r="D34" s="187">
        <v>7</v>
      </c>
      <c r="E34" s="187">
        <v>11</v>
      </c>
      <c r="F34" s="187">
        <v>873.66570000617014</v>
      </c>
      <c r="G34" s="187">
        <v>0</v>
      </c>
      <c r="H34" s="187">
        <v>706.99903333950351</v>
      </c>
      <c r="I34" s="187">
        <v>0</v>
      </c>
      <c r="J34" s="187">
        <v>0</v>
      </c>
      <c r="K34" s="187">
        <v>166.66666666666666</v>
      </c>
      <c r="L34" s="187">
        <v>0</v>
      </c>
      <c r="M34" s="187">
        <v>0</v>
      </c>
      <c r="N34" s="187">
        <v>0</v>
      </c>
      <c r="O34" s="187">
        <v>0</v>
      </c>
      <c r="P34" s="187">
        <v>0</v>
      </c>
      <c r="Q34" s="187">
        <v>0</v>
      </c>
      <c r="R34" s="187">
        <v>0</v>
      </c>
      <c r="S34" s="187">
        <v>0</v>
      </c>
      <c r="T34" s="187">
        <v>0</v>
      </c>
      <c r="U34" s="187">
        <v>0</v>
      </c>
      <c r="V34" s="187">
        <v>0</v>
      </c>
      <c r="W34" s="187">
        <v>0</v>
      </c>
      <c r="X34" s="187">
        <v>0</v>
      </c>
      <c r="Y34" s="187">
        <v>0</v>
      </c>
      <c r="Z34" s="187">
        <v>0</v>
      </c>
      <c r="AA34" s="187">
        <v>0</v>
      </c>
      <c r="AB34" s="187">
        <v>0</v>
      </c>
      <c r="AC34" s="187">
        <v>0</v>
      </c>
      <c r="AD34" s="187">
        <v>0</v>
      </c>
      <c r="AE34" s="187">
        <v>0</v>
      </c>
      <c r="AF34" s="187">
        <v>0</v>
      </c>
      <c r="AG34" s="187">
        <v>0</v>
      </c>
      <c r="AH34" s="187">
        <v>0</v>
      </c>
      <c r="AI34" s="187">
        <v>0</v>
      </c>
      <c r="AJ34" s="187">
        <v>0</v>
      </c>
      <c r="AK34" s="187">
        <v>0</v>
      </c>
      <c r="AL34" s="187">
        <v>0</v>
      </c>
      <c r="AM34" s="187">
        <v>0</v>
      </c>
      <c r="AN34" s="187">
        <v>0</v>
      </c>
      <c r="AO34" s="187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5.4414062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76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76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76" customWidth="1"/>
    <col min="20" max="16384" width="8.88671875" style="102"/>
  </cols>
  <sheetData>
    <row r="1" spans="1:19" ht="18.600000000000001" customHeight="1" thickBot="1" x14ac:dyDescent="0.4">
      <c r="A1" s="292" t="s">
        <v>277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</row>
    <row r="2" spans="1:19" ht="14.4" customHeight="1" thickBot="1" x14ac:dyDescent="0.35">
      <c r="A2" s="191" t="s">
        <v>216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19" ht="14.4" customHeight="1" thickBot="1" x14ac:dyDescent="0.35">
      <c r="A3" s="177" t="s">
        <v>98</v>
      </c>
      <c r="B3" s="178">
        <f>SUBTOTAL(9,B6:B1048576)/2</f>
        <v>327</v>
      </c>
      <c r="C3" s="179">
        <f t="shared" ref="C3:R3" si="0">SUBTOTAL(9,C6:C1048576)</f>
        <v>2</v>
      </c>
      <c r="D3" s="179">
        <f>SUBTOTAL(9,D6:D1048576)/2</f>
        <v>327</v>
      </c>
      <c r="E3" s="179">
        <f t="shared" si="0"/>
        <v>2</v>
      </c>
      <c r="F3" s="179">
        <f>SUBTOTAL(9,F6:F1048576)/2</f>
        <v>0</v>
      </c>
      <c r="G3" s="180">
        <f>IF(B3&lt;&gt;0,F3/B3,"")</f>
        <v>0</v>
      </c>
      <c r="H3" s="181">
        <f t="shared" si="0"/>
        <v>0</v>
      </c>
      <c r="I3" s="179">
        <f t="shared" si="0"/>
        <v>0</v>
      </c>
      <c r="J3" s="179">
        <f t="shared" si="0"/>
        <v>0</v>
      </c>
      <c r="K3" s="179">
        <f t="shared" si="0"/>
        <v>0</v>
      </c>
      <c r="L3" s="179">
        <f t="shared" si="0"/>
        <v>0</v>
      </c>
      <c r="M3" s="182" t="str">
        <f>IF(H3&lt;&gt;0,L3/H3,"")</f>
        <v/>
      </c>
      <c r="N3" s="178">
        <f t="shared" si="0"/>
        <v>0</v>
      </c>
      <c r="O3" s="179">
        <f t="shared" si="0"/>
        <v>0</v>
      </c>
      <c r="P3" s="179">
        <f t="shared" si="0"/>
        <v>0</v>
      </c>
      <c r="Q3" s="179">
        <f t="shared" si="0"/>
        <v>0</v>
      </c>
      <c r="R3" s="179">
        <f t="shared" si="0"/>
        <v>0</v>
      </c>
      <c r="S3" s="180" t="str">
        <f>IF(N3&lt;&gt;0,R3/N3,"")</f>
        <v/>
      </c>
    </row>
    <row r="4" spans="1:19" ht="14.4" customHeight="1" x14ac:dyDescent="0.3">
      <c r="A4" s="293" t="s">
        <v>215</v>
      </c>
      <c r="B4" s="294" t="s">
        <v>75</v>
      </c>
      <c r="C4" s="295"/>
      <c r="D4" s="295"/>
      <c r="E4" s="295"/>
      <c r="F4" s="295"/>
      <c r="G4" s="296"/>
      <c r="H4" s="294" t="s">
        <v>76</v>
      </c>
      <c r="I4" s="295"/>
      <c r="J4" s="295"/>
      <c r="K4" s="295"/>
      <c r="L4" s="295"/>
      <c r="M4" s="296"/>
      <c r="N4" s="294" t="s">
        <v>77</v>
      </c>
      <c r="O4" s="295"/>
      <c r="P4" s="295"/>
      <c r="Q4" s="295"/>
      <c r="R4" s="295"/>
      <c r="S4" s="296"/>
    </row>
    <row r="5" spans="1:19" ht="14.4" customHeight="1" thickBot="1" x14ac:dyDescent="0.35">
      <c r="A5" s="370"/>
      <c r="B5" s="371">
        <v>2013</v>
      </c>
      <c r="C5" s="372"/>
      <c r="D5" s="372">
        <v>2014</v>
      </c>
      <c r="E5" s="372"/>
      <c r="F5" s="372">
        <v>2015</v>
      </c>
      <c r="G5" s="373" t="s">
        <v>1</v>
      </c>
      <c r="H5" s="371">
        <v>2013</v>
      </c>
      <c r="I5" s="372"/>
      <c r="J5" s="372">
        <v>2014</v>
      </c>
      <c r="K5" s="372"/>
      <c r="L5" s="372">
        <v>2015</v>
      </c>
      <c r="M5" s="373" t="s">
        <v>1</v>
      </c>
      <c r="N5" s="371">
        <v>2013</v>
      </c>
      <c r="O5" s="372"/>
      <c r="P5" s="372">
        <v>2014</v>
      </c>
      <c r="Q5" s="372"/>
      <c r="R5" s="372">
        <v>2015</v>
      </c>
      <c r="S5" s="373" t="s">
        <v>1</v>
      </c>
    </row>
    <row r="6" spans="1:19" ht="14.4" customHeight="1" thickBot="1" x14ac:dyDescent="0.35">
      <c r="A6" s="377" t="s">
        <v>276</v>
      </c>
      <c r="B6" s="375">
        <v>327</v>
      </c>
      <c r="C6" s="376">
        <v>1</v>
      </c>
      <c r="D6" s="375">
        <v>327</v>
      </c>
      <c r="E6" s="376">
        <v>1</v>
      </c>
      <c r="F6" s="375"/>
      <c r="G6" s="249"/>
      <c r="H6" s="375"/>
      <c r="I6" s="376"/>
      <c r="J6" s="375"/>
      <c r="K6" s="376"/>
      <c r="L6" s="375"/>
      <c r="M6" s="249"/>
      <c r="N6" s="375"/>
      <c r="O6" s="376"/>
      <c r="P6" s="375"/>
      <c r="Q6" s="376"/>
      <c r="R6" s="375"/>
      <c r="S6" s="250"/>
    </row>
    <row r="7" spans="1:19" ht="14.4" customHeight="1" thickBot="1" x14ac:dyDescent="0.35"/>
    <row r="8" spans="1:19" ht="14.4" customHeight="1" thickBot="1" x14ac:dyDescent="0.35">
      <c r="A8" s="377" t="s">
        <v>278</v>
      </c>
      <c r="B8" s="375">
        <v>327</v>
      </c>
      <c r="C8" s="376">
        <v>1</v>
      </c>
      <c r="D8" s="375">
        <v>327</v>
      </c>
      <c r="E8" s="376">
        <v>1</v>
      </c>
      <c r="F8" s="375"/>
      <c r="G8" s="249"/>
      <c r="H8" s="375"/>
      <c r="I8" s="376"/>
      <c r="J8" s="375"/>
      <c r="K8" s="376"/>
      <c r="L8" s="375"/>
      <c r="M8" s="249"/>
      <c r="N8" s="375"/>
      <c r="O8" s="376"/>
      <c r="P8" s="375"/>
      <c r="Q8" s="376"/>
      <c r="R8" s="375"/>
      <c r="S8" s="250"/>
    </row>
    <row r="9" spans="1:19" ht="14.4" customHeight="1" x14ac:dyDescent="0.3">
      <c r="A9" s="378" t="s">
        <v>279</v>
      </c>
    </row>
    <row r="10" spans="1:19" ht="14.4" customHeight="1" x14ac:dyDescent="0.3">
      <c r="A10" s="379" t="s">
        <v>280</v>
      </c>
    </row>
    <row r="11" spans="1:19" ht="14.4" customHeight="1" x14ac:dyDescent="0.3">
      <c r="A11" s="378" t="s">
        <v>281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</vt:i4>
      </vt:variant>
    </vt:vector>
  </HeadingPairs>
  <TitlesOfParts>
    <vt:vector size="14" baseType="lpstr">
      <vt:lpstr>Obsah</vt:lpstr>
      <vt:lpstr>Motivace</vt:lpstr>
      <vt:lpstr>HI</vt:lpstr>
      <vt:lpstr>HI Graf</vt:lpstr>
      <vt:lpstr>Man Tab</vt:lpstr>
      <vt:lpstr>HV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2015-08-21T14:17:22Z</dcterms:modified>
</cp:coreProperties>
</file>