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19" r:id="rId7"/>
    <sheet name="ON Data" sheetId="418" state="hidden" r:id="rId8"/>
    <sheet name="ZV Vykáz.-A" sheetId="344" r:id="rId9"/>
    <sheet name="ZV Vykáz.-A Lékaři" sheetId="429" r:id="rId10"/>
    <sheet name="ZV Vykáz.-A Detail" sheetId="345" r:id="rId11"/>
    <sheet name="ZV Vykáz.-H" sheetId="410" r:id="rId12"/>
    <sheet name="ZV Vykáz.-H Detail" sheetId="377" r:id="rId13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0" hidden="1">'ZV Vykáz.-A Detail'!$A$5:$Q$5</definedName>
    <definedName name="_xlnm._FilterDatabase" localSheetId="9" hidden="1">'ZV Vykáz.-A Lékaři'!$A$4:$A$5</definedName>
    <definedName name="_xlnm._FilterDatabase" localSheetId="1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G26" i="419" l="1"/>
  <c r="G25" i="419"/>
  <c r="E26" i="419"/>
  <c r="G28" i="419" l="1"/>
  <c r="G27" i="419"/>
  <c r="E25" i="419"/>
  <c r="G20" i="419"/>
  <c r="G19" i="419"/>
  <c r="G17" i="419"/>
  <c r="G16" i="419"/>
  <c r="G14" i="419"/>
  <c r="G13" i="419"/>
  <c r="G12" i="419"/>
  <c r="G11" i="419"/>
  <c r="AW3" i="418"/>
  <c r="AV3" i="418"/>
  <c r="AU3" i="418"/>
  <c r="AT3" i="418"/>
  <c r="AS3" i="418"/>
  <c r="AR3" i="418"/>
  <c r="AQ3" i="418"/>
  <c r="AP3" i="418"/>
  <c r="G18" i="419" l="1"/>
  <c r="B25" i="419"/>
  <c r="E27" i="419" l="1"/>
  <c r="B26" i="419"/>
  <c r="B27" i="419" s="1"/>
  <c r="E28" i="419"/>
  <c r="A7" i="414"/>
  <c r="F3" i="344" l="1"/>
  <c r="D3" i="344"/>
  <c r="B3" i="344"/>
  <c r="F21" i="419" l="1"/>
  <c r="E21" i="419"/>
  <c r="F20" i="419"/>
  <c r="E20" i="419"/>
  <c r="F19" i="419"/>
  <c r="E19" i="419"/>
  <c r="F17" i="419"/>
  <c r="E17" i="419"/>
  <c r="F16" i="419"/>
  <c r="E16" i="419"/>
  <c r="F14" i="419"/>
  <c r="E14" i="419"/>
  <c r="F13" i="419"/>
  <c r="E13" i="419"/>
  <c r="F12" i="419"/>
  <c r="E12" i="419"/>
  <c r="F11" i="419"/>
  <c r="E11" i="419"/>
  <c r="E18" i="419" l="1"/>
  <c r="E23" i="419"/>
  <c r="F23" i="419"/>
  <c r="F18" i="419"/>
  <c r="E22" i="419"/>
  <c r="F22" i="419"/>
  <c r="M3" i="418"/>
  <c r="D21" i="419" l="1"/>
  <c r="D22" i="419" s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B21" i="419"/>
  <c r="B22" i="419" l="1"/>
  <c r="A15" i="383"/>
  <c r="G3" i="429"/>
  <c r="F3" i="429"/>
  <c r="E3" i="429"/>
  <c r="D3" i="429"/>
  <c r="C3" i="429"/>
  <c r="B3" i="429"/>
  <c r="C11" i="340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G6" i="419" l="1"/>
  <c r="F6" i="419"/>
  <c r="E6" i="419"/>
  <c r="C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12" i="414"/>
  <c r="A4" i="414"/>
  <c r="A6" i="339" l="1"/>
  <c r="A5" i="339"/>
  <c r="D4" i="414"/>
  <c r="C15" i="414"/>
  <c r="C12" i="414"/>
  <c r="D15" i="414"/>
  <c r="D12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C18" i="414"/>
  <c r="D18" i="414"/>
  <c r="F13" i="339" l="1"/>
  <c r="E13" i="339"/>
  <c r="E15" i="339" s="1"/>
  <c r="H12" i="339"/>
  <c r="G12" i="339"/>
  <c r="A4" i="383"/>
  <c r="A18" i="383"/>
  <c r="A17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4" i="414"/>
  <c r="C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<sst xmlns="http://schemas.openxmlformats.org/spreadsheetml/2006/main" count="543" uniqueCount="287">
  <si>
    <t>NS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</si>
  <si>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</si>
  <si>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</si>
  <si>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</si>
  <si>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</si>
  <si>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</si>
  <si>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</si>
  <si>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</si>
  <si>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</si>
  <si>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</si>
  <si>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</si>
  <si>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</si>
  <si>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</si>
  <si>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</si>
  <si>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</si>
  <si>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</si>
  <si>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</si>
  <si>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</si>
  <si>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</si>
  <si>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</si>
  <si>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</si>
  <si>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</si>
  <si>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</si>
  <si>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</si>
  <si>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</si>
  <si>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</si>
  <si>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</si>
  <si>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</si>
  <si>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</si>
  <si>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</si>
  <si>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</si>
  <si>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</si>
  <si>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</si>
  <si>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</si>
  <si>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</si>
  <si>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</si>
  <si>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</si>
  <si>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</si>
  <si>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</si>
  <si>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</si>
  <si>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</si>
  <si>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</si>
  <si>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</si>
  <si>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</si>
  <si>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</si>
  <si>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</si>
  <si>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</si>
  <si>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</si>
  <si>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</si>
  <si>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</si>
  <si>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</si>
  <si>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</si>
  <si>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</si>
  <si>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</si>
  <si>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</si>
  <si>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</si>
  <si>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</si>
  <si>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</si>
  <si>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</si>
  <si>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</si>
  <si>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</si>
  <si>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</si>
  <si>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</si>
  <si>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</si>
  <si>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</si>
  <si>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</si>
  <si>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</si>
  <si>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</si>
  <si>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</si>
  <si>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</si>
  <si>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</si>
  <si>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</si>
  <si>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</si>
  <si>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</si>
  <si>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</si>
  <si>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</si>
  <si>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</si>
  <si>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</si>
  <si>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</si>
  <si>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</si>
  <si>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</si>
  <si>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</si>
  <si>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</si>
  <si>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</si>
  <si>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</si>
  <si>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</si>
  <si>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</si>
  <si>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</si>
  <si>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</si>
  <si>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</si>
  <si>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</si>
  <si>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</si>
  <si>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</si>
  <si>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</si>
  <si>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</si>
  <si>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</si>
  <si>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</si>
  <si>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</si>
  <si>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</si>
  <si>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</si>
  <si>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</si>
  <si>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</si>
  <si>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</si>
  <si>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</si>
  <si>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</si>
  <si>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</si>
  <si>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</si>
  <si>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</si>
  <si>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</si>
  <si>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</si>
  <si>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</si>
  <si>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</si>
  <si>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</si>
  <si>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</si>
  <si>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</si>
  <si>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</si>
  <si>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</si>
  <si>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</si>
  <si>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</si>
  <si>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</si>
  <si>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</si>
  <si>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</si>
  <si>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</si>
  <si>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</si>
  <si>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</si>
  <si>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</si>
  <si>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</si>
  <si>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</si>
  <si>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</si>
  <si>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</si>
  <si>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</si>
  <si>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</si>
  <si>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</si>
  <si>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</si>
  <si>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</si>
  <si>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</si>
  <si>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</si>
  <si>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</si>
  <si>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</si>
  <si>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</si>
  <si>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</si>
  <si>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</si>
  <si>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</si>
  <si>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</si>
  <si>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</si>
  <si>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</si>
  <si>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</si>
  <si>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</si>
  <si>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</si>
  <si>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</si>
  <si>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</si>
  <si>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</si>
  <si>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odborní pracovníci v lab. metodách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</si>
  <si>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</si>
  <si>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</si>
  <si>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</si>
  <si>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</si>
  <si>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</si>
  <si>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</si>
  <si>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</si>
  <si>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</si>
  <si>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</si>
  <si>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</si>
  <si>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</si>
  <si>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</si>
  <si>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</si>
  <si>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</si>
  <si>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</si>
  <si>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</si>
  <si>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</si>
  <si>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</si>
  <si>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</si>
  <si>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</si>
  <si>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</si>
  <si>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</si>
  <si>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</si>
  <si>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</si>
  <si>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</si>
  <si>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</si>
  <si>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</si>
  <si>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</si>
  <si>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</si>
  <si>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</si>
  <si>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</si>
  <si>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</si>
  <si>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</si>
  <si>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</si>
  <si>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</si>
  <si>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</si>
  <si>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</si>
  <si>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</si>
  <si>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</si>
  <si>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</si>
  <si>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</si>
  <si>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</si>
  <si>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</si>
  <si>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50119     DDHM a textil</t>
  </si>
  <si>
    <t>--</t>
  </si>
  <si>
    <t>50119077     OOPP a prádlo pro zaměstnance (sk.T14)</t>
  </si>
  <si>
    <t>51     Služby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</si>
  <si>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</si>
  <si>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</si>
  <si>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</si>
  <si>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</si>
  <si>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</si>
  <si>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</si>
  <si>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</si>
  <si>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</si>
  <si>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</si>
  <si>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</si>
  <si>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</si>
  <si>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</si>
  <si>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</si>
  <si>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</si>
  <si>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</si>
  <si>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</si>
  <si>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</si>
  <si>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</si>
  <si>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</si>
  <si>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6     Účtová třída 6 - Výnosy</t>
  </si>
  <si>
    <t>60     Tržby za vlastní výkony a zboží</t>
  </si>
  <si>
    <t>602     Výnosy z prodeje služeb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</si>
  <si>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</si>
  <si>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</si>
  <si>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</si>
  <si>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</si>
  <si>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</si>
  <si>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</si>
  <si>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</si>
  <si>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</si>
  <si>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</si>
  <si>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</si>
  <si>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</si>
  <si>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</si>
  <si>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</si>
  <si>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</si>
  <si>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</si>
  <si>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</si>
  <si>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</si>
  <si>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</si>
  <si>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ON Data</t>
  </si>
  <si>
    <t>206 - Pracoviště klinické farmakologie (mimo laboratorní</t>
  </si>
  <si>
    <t>Zdravotní výkony vykázané na pracovišti v rámci ambulantní péče *</t>
  </si>
  <si>
    <t>4321</t>
  </si>
  <si>
    <t xml:space="preserve"> </t>
  </si>
  <si>
    <t>* Legenda</t>
  </si>
  <si>
    <t>Ambulantní péče znamená, že pacient v den poskytnutí zdravotní péče není hospitalizován ve FNOL</t>
  </si>
  <si>
    <t>Matalová Petra</t>
  </si>
  <si>
    <t>Zdravotní výkony vykázané na pracovišti v rámci ambulantní péče dle lékařů *</t>
  </si>
  <si>
    <t>206</t>
  </si>
  <si>
    <t>V</t>
  </si>
  <si>
    <t>26022</t>
  </si>
  <si>
    <t>CÍLENÉ VYŠETŘENÍ KLINICKÝM FARMAKOLOGEM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</si>
  <si>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</si>
  <si>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</si>
  <si>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</si>
  <si>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</si>
  <si>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</si>
  <si>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</si>
  <si>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08 - Porodnicko-gynekologická klinika</t>
  </si>
  <si>
    <t>10 - Dětská klinika</t>
  </si>
  <si>
    <t>14 - Oční klinika</t>
  </si>
  <si>
    <t>16 - Klinika plicních nemocí a tuberkulózy</t>
  </si>
  <si>
    <t>17 - Neurologická klinika</t>
  </si>
  <si>
    <t>21 - Onkologická klinika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</si>
  <si>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</si>
  <si>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</si>
  <si>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</si>
  <si>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</si>
  <si>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</si>
  <si>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</si>
  <si>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>KONTROLNÍ VYŠETŘENÍ KLINICKÝM FARMAKOLOGEM</t>
  </si>
  <si>
    <t>02</t>
  </si>
  <si>
    <t>03</t>
  </si>
  <si>
    <t>05</t>
  </si>
  <si>
    <t>07</t>
  </si>
  <si>
    <t>08</t>
  </si>
  <si>
    <t>10</t>
  </si>
  <si>
    <t>14</t>
  </si>
  <si>
    <t>16</t>
  </si>
  <si>
    <t>17</t>
  </si>
  <si>
    <t>21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</si>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</sst>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1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1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1" fontId="28" fillId="3" borderId="26" xfId="78" applyNumberFormat="1" applyFont="1" applyFill="1" applyBorder="1"/>
    <xf numFmtId="171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164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7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2" fillId="8" borderId="58" xfId="0" applyNumberFormat="1" applyFont="1" applyFill="1" applyBorder="1"/>
    <xf numFmtId="3" fontId="52" fillId="8" borderId="57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39" fillId="2" borderId="61" xfId="0" applyFont="1" applyFill="1" applyBorder="1" applyAlignment="1">
      <alignment horizontal="center" vertical="center"/>
    </xf>
    <xf numFmtId="0" fontId="54" fillId="2" borderId="64" xfId="0" applyFont="1" applyFill="1" applyBorder="1" applyAlignment="1">
      <alignment horizontal="center" vertical="center" wrapText="1"/>
    </xf>
    <xf numFmtId="0" fontId="39" fillId="2" borderId="66" xfId="0" applyFont="1" applyFill="1" applyBorder="1" applyAlignment="1"/>
    <xf numFmtId="0" fontId="39" fillId="2" borderId="68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6" xfId="0" applyFont="1" applyFill="1" applyBorder="1" applyAlignment="1"/>
    <xf numFmtId="0" fontId="39" fillId="4" borderId="68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2" borderId="68" xfId="0" quotePrefix="1" applyFont="1" applyFill="1" applyBorder="1" applyAlignment="1">
      <alignment horizontal="left" indent="2"/>
    </xf>
    <xf numFmtId="0" fontId="32" fillId="2" borderId="73" xfId="0" quotePrefix="1" applyFont="1" applyFill="1" applyBorder="1" applyAlignment="1">
      <alignment horizontal="left" indent="2"/>
    </xf>
    <xf numFmtId="0" fontId="39" fillId="2" borderId="66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0" borderId="81" xfId="0" applyFont="1" applyBorder="1"/>
    <xf numFmtId="3" fontId="32" fillId="0" borderId="81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0" xfId="0" applyNumberFormat="1" applyFont="1" applyFill="1" applyBorder="1" applyAlignment="1">
      <alignment horizontal="center" vertical="center"/>
    </xf>
    <xf numFmtId="3" fontId="54" fillId="2" borderId="78" xfId="0" applyNumberFormat="1" applyFont="1" applyFill="1" applyBorder="1" applyAlignment="1">
      <alignment horizontal="center" vertical="center" wrapText="1"/>
    </xf>
    <xf numFmtId="173" fontId="39" fillId="4" borderId="67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0" borderId="69" xfId="0" applyNumberFormat="1" applyFont="1" applyBorder="1"/>
    <xf numFmtId="173" fontId="32" fillId="0" borderId="71" xfId="0" applyNumberFormat="1" applyFont="1" applyBorder="1"/>
    <xf numFmtId="173" fontId="39" fillId="0" borderId="77" xfId="0" applyNumberFormat="1" applyFont="1" applyBorder="1"/>
    <xf numFmtId="173" fontId="32" fillId="0" borderId="64" xfId="0" applyNumberFormat="1" applyFont="1" applyBorder="1"/>
    <xf numFmtId="173" fontId="39" fillId="2" borderId="79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0" borderId="74" xfId="0" applyNumberFormat="1" applyFont="1" applyBorder="1"/>
    <xf numFmtId="173" fontId="32" fillId="0" borderId="75" xfId="0" applyNumberFormat="1" applyFont="1" applyBorder="1"/>
    <xf numFmtId="173" fontId="39" fillId="0" borderId="67" xfId="0" applyNumberFormat="1" applyFont="1" applyBorder="1"/>
    <xf numFmtId="173" fontId="32" fillId="0" borderId="61" xfId="0" applyNumberFormat="1" applyFont="1" applyBorder="1"/>
    <xf numFmtId="174" fontId="39" fillId="2" borderId="67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9" fillId="0" borderId="69" xfId="0" applyNumberFormat="1" applyFont="1" applyBorder="1"/>
    <xf numFmtId="174" fontId="32" fillId="0" borderId="71" xfId="0" applyNumberFormat="1" applyFont="1" applyBorder="1"/>
    <xf numFmtId="174" fontId="39" fillId="0" borderId="74" xfId="0" applyNumberFormat="1" applyFont="1" applyBorder="1"/>
    <xf numFmtId="174" fontId="32" fillId="0" borderId="75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67" xfId="0" applyNumberFormat="1" applyFont="1" applyFill="1" applyBorder="1" applyAlignment="1">
      <alignment horizontal="center"/>
    </xf>
    <xf numFmtId="175" fontId="39" fillId="0" borderId="74" xfId="0" applyNumberFormat="1" applyFont="1" applyBorder="1"/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25" fillId="2" borderId="33" xfId="1" applyFill="1" applyBorder="1" applyAlignment="1">
      <alignment horizontal="left" indent="4"/>
    </xf>
    <xf numFmtId="0" fontId="32" fillId="0" borderId="81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69" xfId="0" applyNumberFormat="1" applyFont="1" applyBorder="1"/>
    <xf numFmtId="9" fontId="32" fillId="0" borderId="71" xfId="0" applyNumberFormat="1" applyFont="1" applyBorder="1"/>
    <xf numFmtId="0" fontId="40" fillId="0" borderId="81" xfId="0" applyFont="1" applyFill="1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39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37" xfId="78" applyFont="1" applyFill="1" applyBorder="1" applyAlignment="1">
      <alignment horizontal="center"/>
    </xf>
    <xf numFmtId="0" fontId="31" fillId="2" borderId="56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0" fillId="0" borderId="1" xfId="0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85" xfId="26" applyNumberFormat="1" applyFont="1" applyFill="1" applyBorder="1" applyAlignment="1">
      <alignment horizontal="center"/>
    </xf>
    <xf numFmtId="3" fontId="31" fillId="2" borderId="81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9" xfId="0" applyFont="1" applyFill="1" applyBorder="1" applyAlignment="1">
      <alignment horizontal="center" vertical="top" wrapText="1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87" xfId="0" applyNumberFormat="1" applyFont="1" applyFill="1" applyBorder="1" applyAlignment="1">
      <alignment horizontal="right" vertical="top"/>
    </xf>
    <xf numFmtId="3" fontId="33" fillId="9" borderId="88" xfId="0" applyNumberFormat="1" applyFont="1" applyFill="1" applyBorder="1" applyAlignment="1">
      <alignment horizontal="right" vertical="top"/>
    </xf>
    <xf numFmtId="176" fontId="33" fillId="9" borderId="89" xfId="0" applyNumberFormat="1" applyFont="1" applyFill="1" applyBorder="1" applyAlignment="1">
      <alignment horizontal="right" vertical="top"/>
    </xf>
    <xf numFmtId="3" fontId="33" fillId="0" borderId="87" xfId="0" applyNumberFormat="1" applyFont="1" applyBorder="1" applyAlignment="1">
      <alignment horizontal="right" vertical="top"/>
    </xf>
    <xf numFmtId="176" fontId="33" fillId="9" borderId="90" xfId="0" applyNumberFormat="1" applyFont="1" applyFill="1" applyBorder="1" applyAlignment="1">
      <alignment horizontal="right" vertical="top"/>
    </xf>
    <xf numFmtId="3" fontId="35" fillId="9" borderId="92" xfId="0" applyNumberFormat="1" applyFont="1" applyFill="1" applyBorder="1" applyAlignment="1">
      <alignment horizontal="right" vertical="top"/>
    </xf>
    <xf numFmtId="3" fontId="35" fillId="9" borderId="93" xfId="0" applyNumberFormat="1" applyFont="1" applyFill="1" applyBorder="1" applyAlignment="1">
      <alignment horizontal="right" vertical="top"/>
    </xf>
    <xf numFmtId="176" fontId="35" fillId="9" borderId="94" xfId="0" applyNumberFormat="1" applyFont="1" applyFill="1" applyBorder="1" applyAlignment="1">
      <alignment horizontal="right" vertical="top"/>
    </xf>
    <xf numFmtId="3" fontId="35" fillId="0" borderId="92" xfId="0" applyNumberFormat="1" applyFont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0" fontId="35" fillId="9" borderId="94" xfId="0" applyFont="1" applyFill="1" applyBorder="1" applyAlignment="1">
      <alignment horizontal="right" vertical="top"/>
    </xf>
    <xf numFmtId="0" fontId="35" fillId="9" borderId="95" xfId="0" applyFont="1" applyFill="1" applyBorder="1" applyAlignment="1">
      <alignment horizontal="right" vertical="top"/>
    </xf>
    <xf numFmtId="0" fontId="33" fillId="9" borderId="89" xfId="0" applyFont="1" applyFill="1" applyBorder="1" applyAlignment="1">
      <alignment horizontal="right" vertical="top"/>
    </xf>
    <xf numFmtId="0" fontId="33" fillId="9" borderId="90" xfId="0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0" fontId="37" fillId="10" borderId="86" xfId="0" applyFont="1" applyFill="1" applyBorder="1" applyAlignment="1">
      <alignment vertical="top"/>
    </xf>
    <xf numFmtId="0" fontId="37" fillId="10" borderId="86" xfId="0" applyFont="1" applyFill="1" applyBorder="1" applyAlignment="1">
      <alignment vertical="top" indent="2"/>
    </xf>
    <xf numFmtId="0" fontId="37" fillId="10" borderId="86" xfId="0" applyFont="1" applyFill="1" applyBorder="1" applyAlignment="1">
      <alignment vertical="top" indent="4"/>
    </xf>
    <xf numFmtId="0" fontId="38" fillId="10" borderId="91" xfId="0" applyFont="1" applyFill="1" applyBorder="1" applyAlignment="1">
      <alignment vertical="top" indent="6"/>
    </xf>
    <xf numFmtId="0" fontId="37" fillId="10" borderId="86" xfId="0" applyFont="1" applyFill="1" applyBorder="1" applyAlignment="1">
      <alignment vertical="top" indent="8"/>
    </xf>
    <xf numFmtId="0" fontId="38" fillId="10" borderId="91" xfId="0" applyFont="1" applyFill="1" applyBorder="1" applyAlignment="1">
      <alignment vertical="top" indent="2"/>
    </xf>
    <xf numFmtId="0" fontId="38" fillId="10" borderId="91" xfId="0" applyFont="1" applyFill="1" applyBorder="1" applyAlignment="1">
      <alignment vertical="top" indent="4"/>
    </xf>
    <xf numFmtId="0" fontId="32" fillId="10" borderId="86" xfId="0" applyFont="1" applyFill="1" applyBorder="1"/>
    <xf numFmtId="0" fontId="38" fillId="10" borderId="17" xfId="0" applyFont="1" applyFill="1" applyBorder="1" applyAlignment="1">
      <alignment vertical="top"/>
    </xf>
    <xf numFmtId="0" fontId="0" fillId="0" borderId="100" xfId="0" applyBorder="1" applyAlignment="1"/>
    <xf numFmtId="173" fontId="39" fillId="4" borderId="101" xfId="0" applyNumberFormat="1" applyFont="1" applyFill="1" applyBorder="1" applyAlignment="1">
      <alignment horizontal="center"/>
    </xf>
    <xf numFmtId="0" fontId="0" fillId="0" borderId="101" xfId="0" applyBorder="1" applyAlignment="1">
      <alignment horizontal="center"/>
    </xf>
    <xf numFmtId="0" fontId="0" fillId="0" borderId="102" xfId="0" applyBorder="1" applyAlignment="1">
      <alignment horizontal="right"/>
    </xf>
    <xf numFmtId="173" fontId="32" fillId="0" borderId="103" xfId="0" applyNumberFormat="1" applyFont="1" applyBorder="1" applyAlignment="1">
      <alignment horizontal="right"/>
    </xf>
    <xf numFmtId="0" fontId="0" fillId="0" borderId="103" xfId="0" applyBorder="1" applyAlignment="1">
      <alignment horizontal="right"/>
    </xf>
    <xf numFmtId="173" fontId="32" fillId="0" borderId="103" xfId="0" applyNumberFormat="1" applyFont="1" applyBorder="1" applyAlignment="1">
      <alignment horizontal="right" wrapText="1"/>
    </xf>
    <xf numFmtId="0" fontId="0" fillId="0" borderId="103" xfId="0" applyBorder="1" applyAlignment="1">
      <alignment horizontal="right" wrapText="1"/>
    </xf>
    <xf numFmtId="175" fontId="32" fillId="0" borderId="103" xfId="0" applyNumberFormat="1" applyFont="1" applyBorder="1" applyAlignment="1">
      <alignment horizontal="right"/>
    </xf>
    <xf numFmtId="0" fontId="0" fillId="0" borderId="104" xfId="0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0" fillId="0" borderId="105" xfId="0" applyBorder="1" applyAlignment="1">
      <alignment horizontal="right"/>
    </xf>
    <xf numFmtId="0" fontId="39" fillId="2" borderId="84" xfId="0" applyFont="1" applyFill="1" applyBorder="1" applyAlignment="1">
      <alignment horizontal="center" vertical="center"/>
    </xf>
    <xf numFmtId="0" fontId="54" fillId="2" borderId="83" xfId="0" applyFont="1" applyFill="1" applyBorder="1" applyAlignment="1">
      <alignment horizontal="center" vertical="center" wrapText="1"/>
    </xf>
    <xf numFmtId="174" fontId="32" fillId="2" borderId="84" xfId="0" applyNumberFormat="1" applyFont="1" applyFill="1" applyBorder="1" applyAlignment="1"/>
    <xf numFmtId="174" fontId="32" fillId="0" borderId="82" xfId="0" applyNumberFormat="1" applyFont="1" applyBorder="1"/>
    <xf numFmtId="174" fontId="32" fillId="0" borderId="107" xfId="0" applyNumberFormat="1" applyFont="1" applyBorder="1"/>
    <xf numFmtId="173" fontId="39" fillId="4" borderId="84" xfId="0" applyNumberFormat="1" applyFont="1" applyFill="1" applyBorder="1" applyAlignment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2" borderId="84" xfId="0" applyNumberFormat="1" applyFont="1" applyFill="1" applyBorder="1" applyAlignment="1"/>
    <xf numFmtId="173" fontId="32" fillId="0" borderId="107" xfId="0" applyNumberFormat="1" applyFont="1" applyBorder="1"/>
    <xf numFmtId="173" fontId="32" fillId="0" borderId="84" xfId="0" applyNumberFormat="1" applyFont="1" applyBorder="1"/>
    <xf numFmtId="173" fontId="39" fillId="4" borderId="108" xfId="0" applyNumberFormat="1" applyFont="1" applyFill="1" applyBorder="1" applyAlignment="1">
      <alignment horizontal="center"/>
    </xf>
    <xf numFmtId="173" fontId="32" fillId="0" borderId="109" xfId="0" applyNumberFormat="1" applyFont="1" applyBorder="1" applyAlignment="1">
      <alignment horizontal="right"/>
    </xf>
    <xf numFmtId="175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0" fillId="0" borderId="106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8" xfId="0" applyNumberFormat="1" applyFont="1" applyBorder="1" applyAlignment="1">
      <alignment horizontal="right"/>
    </xf>
    <xf numFmtId="175" fontId="32" fillId="0" borderId="68" xfId="0" applyNumberFormat="1" applyFont="1" applyBorder="1" applyAlignment="1">
      <alignment horizontal="right"/>
    </xf>
    <xf numFmtId="173" fontId="32" fillId="0" borderId="76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0" fontId="32" fillId="0" borderId="18" xfId="0" applyFont="1" applyFill="1" applyBorder="1"/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8" fillId="0" borderId="0" xfId="0" applyFont="1" applyFill="1"/>
    <xf numFmtId="0" fontId="59" fillId="0" borderId="0" xfId="0" applyFont="1" applyFill="1"/>
    <xf numFmtId="3" fontId="32" fillId="0" borderId="26" xfId="0" applyNumberFormat="1" applyFont="1" applyFill="1" applyBorder="1"/>
    <xf numFmtId="169" fontId="32" fillId="0" borderId="19" xfId="0" applyNumberFormat="1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3" fontId="32" fillId="0" borderId="19" xfId="0" applyNumberFormat="1" applyFont="1" applyFill="1" applyBorder="1"/>
    <xf numFmtId="0" fontId="32" fillId="0" borderId="23" xfId="0" applyFont="1" applyFill="1" applyBorder="1"/>
    <xf numFmtId="169" fontId="32" fillId="0" borderId="61" xfId="0" applyNumberFormat="1" applyFont="1" applyFill="1" applyBorder="1"/>
    <xf numFmtId="0" fontId="32" fillId="0" borderId="61" xfId="0" applyFont="1" applyFill="1" applyBorder="1"/>
    <xf numFmtId="9" fontId="32" fillId="0" borderId="61" xfId="0" applyNumberFormat="1" applyFont="1" applyFill="1" applyBorder="1"/>
    <xf numFmtId="9" fontId="32" fillId="0" borderId="62" xfId="0" applyNumberFormat="1" applyFont="1" applyFill="1" applyBorder="1"/>
    <xf numFmtId="0" fontId="32" fillId="0" borderId="70" xfId="0" applyFont="1" applyFill="1" applyBorder="1"/>
    <xf numFmtId="169" fontId="32" fillId="0" borderId="71" xfId="0" applyNumberFormat="1" applyFont="1" applyFill="1" applyBorder="1"/>
    <xf numFmtId="0" fontId="32" fillId="0" borderId="71" xfId="0" applyFont="1" applyFill="1" applyBorder="1"/>
    <xf numFmtId="9" fontId="32" fillId="0" borderId="71" xfId="0" applyNumberFormat="1" applyFont="1" applyFill="1" applyBorder="1"/>
    <xf numFmtId="9" fontId="32" fillId="0" borderId="72" xfId="0" applyNumberFormat="1" applyFont="1" applyFill="1" applyBorder="1"/>
    <xf numFmtId="0" fontId="32" fillId="0" borderId="63" xfId="0" applyFont="1" applyFill="1" applyBorder="1"/>
    <xf numFmtId="169" fontId="32" fillId="0" borderId="64" xfId="0" applyNumberFormat="1" applyFont="1" applyFill="1" applyBorder="1"/>
    <xf numFmtId="0" fontId="32" fillId="0" borderId="64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0" fontId="39" fillId="0" borderId="23" xfId="0" applyFont="1" applyFill="1" applyBorder="1"/>
    <xf numFmtId="0" fontId="39" fillId="0" borderId="70" xfId="0" applyFont="1" applyFill="1" applyBorder="1"/>
    <xf numFmtId="0" fontId="39" fillId="0" borderId="63" xfId="0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3" fontId="32" fillId="0" borderId="64" xfId="0" applyNumberFormat="1" applyFont="1" applyFill="1" applyBorder="1"/>
    <xf numFmtId="3" fontId="32" fillId="0" borderId="65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1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7095568"/>
        <c:axId val="-3709774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2.2157117009615154E-4</c:v>
                </c:pt>
                <c:pt idx="1">
                  <c:v>2.2157117009615154E-4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7092304"/>
        <c:axId val="-37097200"/>
      </c:scatterChart>
      <c:catAx>
        <c:axId val="-3709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3709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70977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37095568"/>
        <c:crosses val="autoZero"/>
        <c:crossBetween val="between"/>
      </c:valAx>
      <c:valAx>
        <c:axId val="-370923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37097200"/>
        <c:crosses val="max"/>
        <c:crossBetween val="midCat"/>
      </c:valAx>
      <c:valAx>
        <c:axId val="-370972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370923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51" t="s">
        <v>84</v>
      </c>
      <c r="B1" s="251"/>
    </row>
    <row r="2" spans="1:3" ht="14.4" customHeight="1" thickBot="1" x14ac:dyDescent="0.35">
      <c r="A2" s="191" t="s">
        <v>184</v>
      </c>
      <c r="B2" s="41"/>
    </row>
    <row r="3" spans="1:3" ht="14.4" customHeight="1" thickBot="1" x14ac:dyDescent="0.35">
      <c r="A3" s="247" t="s">
        <v>101</v>
      </c>
      <c r="B3" s="248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91</v>
      </c>
      <c r="C4" s="42" t="s">
        <v>92</v>
      </c>
    </row>
    <row r="5" spans="1:3" ht="14.4" customHeight="1" x14ac:dyDescent="0.3">
      <c r="A5" s="115" t="str">
        <f t="shared" si="0"/>
        <v>HI</v>
      </c>
      <c r="B5" s="64" t="s">
        <v>100</v>
      </c>
      <c r="C5" s="42" t="s">
        <v>87</v>
      </c>
    </row>
    <row r="6" spans="1:3" ht="14.4" customHeight="1" x14ac:dyDescent="0.3">
      <c r="A6" s="116" t="str">
        <f t="shared" si="0"/>
        <v>HI Graf</v>
      </c>
      <c r="B6" s="65" t="s">
        <v>80</v>
      </c>
      <c r="C6" s="42" t="s">
        <v>88</v>
      </c>
    </row>
    <row r="7" spans="1:3" ht="14.4" customHeight="1" x14ac:dyDescent="0.3">
      <c r="A7" s="116" t="str">
        <f t="shared" si="0"/>
        <v>Man Tab</v>
      </c>
      <c r="B7" s="65" t="s">
        <v>186</v>
      </c>
      <c r="C7" s="42" t="s">
        <v>89</v>
      </c>
    </row>
    <row r="8" spans="1:3" ht="14.4" customHeight="1" thickBot="1" x14ac:dyDescent="0.35">
      <c r="A8" s="117" t="str">
        <f t="shared" si="0"/>
        <v>HV</v>
      </c>
      <c r="B8" s="66" t="s">
        <v>37</v>
      </c>
      <c r="C8" s="42" t="s">
        <v>42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49" t="s">
        <v>85</v>
      </c>
      <c r="B10" s="248"/>
    </row>
    <row r="11" spans="1:3" ht="14.4" customHeight="1" thickBot="1" x14ac:dyDescent="0.35">
      <c r="A11" s="118" t="str">
        <f t="shared" ref="A11" si="1">HYPERLINK("#'"&amp;C11&amp;"'!A1",C11)</f>
        <v>Osobní náklady</v>
      </c>
      <c r="B11" s="65" t="s">
        <v>82</v>
      </c>
      <c r="C11" s="42" t="s">
        <v>90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50" t="s">
        <v>86</v>
      </c>
      <c r="B13" s="248"/>
    </row>
    <row r="14" spans="1:3" ht="14.4" customHeight="1" x14ac:dyDescent="0.3">
      <c r="A14" s="119" t="str">
        <f t="shared" ref="A14:A18" si="2">HYPERLINK("#'"&amp;C14&amp;"'!A1",C14)</f>
        <v>ZV Vykáz.-A</v>
      </c>
      <c r="B14" s="64" t="s">
        <v>242</v>
      </c>
      <c r="C14" s="42" t="s">
        <v>93</v>
      </c>
    </row>
    <row r="15" spans="1:3" ht="14.4" customHeight="1" x14ac:dyDescent="0.3">
      <c r="A15" s="116" t="str">
        <f t="shared" ref="A15" si="3">HYPERLINK("#'"&amp;C15&amp;"'!A1",C15)</f>
        <v>ZV Vykáz.-A Lékaři</v>
      </c>
      <c r="B15" s="65" t="s">
        <v>248</v>
      </c>
      <c r="C15" s="42" t="s">
        <v>155</v>
      </c>
    </row>
    <row r="16" spans="1:3" ht="14.4" customHeight="1" x14ac:dyDescent="0.3">
      <c r="A16" s="116" t="str">
        <f t="shared" si="2"/>
        <v>ZV Vykáz.-A Detail</v>
      </c>
      <c r="B16" s="65" t="s">
        <v>253</v>
      </c>
      <c r="C16" s="42" t="s">
        <v>94</v>
      </c>
    </row>
    <row r="17" spans="1:3" ht="14.4" customHeight="1" x14ac:dyDescent="0.3">
      <c r="A17" s="116" t="str">
        <f t="shared" si="2"/>
        <v>ZV Vykáz.-H</v>
      </c>
      <c r="B17" s="65" t="s">
        <v>97</v>
      </c>
      <c r="C17" s="42" t="s">
        <v>95</v>
      </c>
    </row>
    <row r="18" spans="1:3" ht="14.4" customHeight="1" x14ac:dyDescent="0.3">
      <c r="A18" s="116" t="str">
        <f t="shared" si="2"/>
        <v>ZV Vykáz.-H Detail</v>
      </c>
      <c r="B18" s="65" t="s">
        <v>286</v>
      </c>
      <c r="C18" s="42" t="s">
        <v>96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5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279" t="s">
        <v>248</v>
      </c>
      <c r="B1" s="251"/>
      <c r="C1" s="251"/>
      <c r="D1" s="251"/>
      <c r="E1" s="251"/>
      <c r="F1" s="251"/>
      <c r="G1" s="251"/>
    </row>
    <row r="2" spans="1:7" ht="14.4" customHeight="1" thickBot="1" x14ac:dyDescent="0.35">
      <c r="A2" s="191" t="s">
        <v>184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77" t="s">
        <v>98</v>
      </c>
      <c r="B3" s="241">
        <f t="shared" ref="B3:G3" si="0">SUBTOTAL(9,B6:B1048576)</f>
        <v>1</v>
      </c>
      <c r="C3" s="242">
        <f t="shared" si="0"/>
        <v>0</v>
      </c>
      <c r="D3" s="242">
        <f t="shared" si="0"/>
        <v>0</v>
      </c>
      <c r="E3" s="181">
        <f t="shared" si="0"/>
        <v>327</v>
      </c>
      <c r="F3" s="179">
        <f t="shared" si="0"/>
        <v>0</v>
      </c>
      <c r="G3" s="243">
        <f t="shared" si="0"/>
        <v>0</v>
      </c>
    </row>
    <row r="4" spans="1:7" ht="14.4" customHeight="1" x14ac:dyDescent="0.3">
      <c r="A4" s="280" t="s">
        <v>99</v>
      </c>
      <c r="B4" s="281" t="s">
        <v>154</v>
      </c>
      <c r="C4" s="282"/>
      <c r="D4" s="282"/>
      <c r="E4" s="284" t="s">
        <v>75</v>
      </c>
      <c r="F4" s="285"/>
      <c r="G4" s="286"/>
    </row>
    <row r="5" spans="1:7" ht="14.4" customHeight="1" thickBot="1" x14ac:dyDescent="0.35">
      <c r="A5" s="359"/>
      <c r="B5" s="360">
        <v>2014</v>
      </c>
      <c r="C5" s="361">
        <v>2015</v>
      </c>
      <c r="D5" s="361">
        <v>2016</v>
      </c>
      <c r="E5" s="360">
        <v>2014</v>
      </c>
      <c r="F5" s="361">
        <v>2015</v>
      </c>
      <c r="G5" s="361">
        <v>2016</v>
      </c>
    </row>
    <row r="6" spans="1:7" ht="14.4" customHeight="1" thickBot="1" x14ac:dyDescent="0.35">
      <c r="A6" s="366" t="s">
        <v>247</v>
      </c>
      <c r="B6" s="369">
        <v>1</v>
      </c>
      <c r="C6" s="369"/>
      <c r="D6" s="369"/>
      <c r="E6" s="364">
        <v>327</v>
      </c>
      <c r="F6" s="364"/>
      <c r="G6" s="370"/>
    </row>
    <row r="7" spans="1:7" ht="14.4" customHeight="1" x14ac:dyDescent="0.3">
      <c r="A7" s="367" t="s">
        <v>244</v>
      </c>
    </row>
    <row r="8" spans="1:7" ht="14.4" customHeight="1" x14ac:dyDescent="0.3">
      <c r="A8" s="368" t="s">
        <v>245</v>
      </c>
    </row>
    <row r="9" spans="1:7" ht="14.4" customHeight="1" x14ac:dyDescent="0.3">
      <c r="A9" s="367" t="s">
        <v>246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2" bestFit="1" customWidth="1"/>
    <col min="2" max="2" width="6.109375" style="102" customWidth="1"/>
    <col min="3" max="3" width="2.109375" style="102" bestFit="1" customWidth="1"/>
    <col min="4" max="4" width="8" style="102" customWidth="1"/>
    <col min="5" max="5" width="50.88671875" style="102" bestFit="1" customWidth="1"/>
    <col min="6" max="7" width="11.109375" style="175" customWidth="1"/>
    <col min="8" max="9" width="9.33203125" style="102" hidden="1" customWidth="1"/>
    <col min="10" max="11" width="11.109375" style="175" customWidth="1"/>
    <col min="12" max="13" width="9.33203125" style="102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51" t="s">
        <v>253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14.4" customHeight="1" thickBot="1" x14ac:dyDescent="0.35">
      <c r="A2" s="191" t="s">
        <v>184</v>
      </c>
      <c r="B2" s="246"/>
      <c r="C2" s="103"/>
      <c r="D2" s="240"/>
      <c r="E2" s="103"/>
      <c r="F2" s="185"/>
      <c r="G2" s="185"/>
      <c r="H2" s="103"/>
      <c r="I2" s="103"/>
      <c r="J2" s="185"/>
      <c r="K2" s="185"/>
      <c r="L2" s="103"/>
      <c r="M2" s="103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1</v>
      </c>
      <c r="G3" s="75">
        <f t="shared" si="0"/>
        <v>327</v>
      </c>
      <c r="H3" s="57"/>
      <c r="I3" s="57"/>
      <c r="J3" s="75">
        <f t="shared" si="0"/>
        <v>0</v>
      </c>
      <c r="K3" s="75">
        <f t="shared" si="0"/>
        <v>0</v>
      </c>
      <c r="L3" s="57"/>
      <c r="M3" s="57"/>
      <c r="N3" s="75">
        <f t="shared" si="0"/>
        <v>0</v>
      </c>
      <c r="O3" s="75">
        <f t="shared" si="0"/>
        <v>0</v>
      </c>
      <c r="P3" s="58">
        <f>IF(G3=0,0,O3/G3)</f>
        <v>0</v>
      </c>
      <c r="Q3" s="76">
        <f>IF(N3=0,0,O3/N3)</f>
        <v>0</v>
      </c>
    </row>
    <row r="4" spans="1:17" ht="14.4" customHeight="1" x14ac:dyDescent="0.3">
      <c r="A4" s="288" t="s">
        <v>71</v>
      </c>
      <c r="B4" s="295" t="s">
        <v>0</v>
      </c>
      <c r="C4" s="289" t="s">
        <v>72</v>
      </c>
      <c r="D4" s="294" t="s">
        <v>47</v>
      </c>
      <c r="E4" s="290" t="s">
        <v>46</v>
      </c>
      <c r="F4" s="291">
        <v>2014</v>
      </c>
      <c r="G4" s="292"/>
      <c r="H4" s="73"/>
      <c r="I4" s="73"/>
      <c r="J4" s="291">
        <v>2015</v>
      </c>
      <c r="K4" s="292"/>
      <c r="L4" s="73"/>
      <c r="M4" s="73"/>
      <c r="N4" s="291">
        <v>2016</v>
      </c>
      <c r="O4" s="292"/>
      <c r="P4" s="293" t="s">
        <v>1</v>
      </c>
      <c r="Q4" s="287" t="s">
        <v>74</v>
      </c>
    </row>
    <row r="5" spans="1:17" ht="14.4" customHeight="1" thickBot="1" x14ac:dyDescent="0.35">
      <c r="A5" s="371"/>
      <c r="B5" s="372"/>
      <c r="C5" s="373"/>
      <c r="D5" s="374"/>
      <c r="E5" s="375"/>
      <c r="F5" s="376" t="s">
        <v>48</v>
      </c>
      <c r="G5" s="377" t="s">
        <v>4</v>
      </c>
      <c r="H5" s="378"/>
      <c r="I5" s="378"/>
      <c r="J5" s="376" t="s">
        <v>48</v>
      </c>
      <c r="K5" s="377" t="s">
        <v>4</v>
      </c>
      <c r="L5" s="378"/>
      <c r="M5" s="378"/>
      <c r="N5" s="376" t="s">
        <v>48</v>
      </c>
      <c r="O5" s="377" t="s">
        <v>4</v>
      </c>
      <c r="P5" s="379"/>
      <c r="Q5" s="380"/>
    </row>
    <row r="6" spans="1:17" ht="14.4" customHeight="1" thickBot="1" x14ac:dyDescent="0.35">
      <c r="A6" s="363" t="s">
        <v>249</v>
      </c>
      <c r="B6" s="365" t="s">
        <v>243</v>
      </c>
      <c r="C6" s="365" t="s">
        <v>250</v>
      </c>
      <c r="D6" s="365" t="s">
        <v>251</v>
      </c>
      <c r="E6" s="365" t="s">
        <v>252</v>
      </c>
      <c r="F6" s="369">
        <v>1</v>
      </c>
      <c r="G6" s="369">
        <v>327</v>
      </c>
      <c r="H6" s="365">
        <v>1</v>
      </c>
      <c r="I6" s="365">
        <v>327</v>
      </c>
      <c r="J6" s="369"/>
      <c r="K6" s="369"/>
      <c r="L6" s="365"/>
      <c r="M6" s="365"/>
      <c r="N6" s="369"/>
      <c r="O6" s="369"/>
      <c r="P6" s="237"/>
      <c r="Q6" s="381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60" t="s">
        <v>97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</row>
    <row r="2" spans="1:19" ht="14.4" customHeight="1" thickBot="1" x14ac:dyDescent="0.35">
      <c r="A2" s="191" t="s">
        <v>184</v>
      </c>
      <c r="B2" s="183"/>
      <c r="C2" s="83"/>
      <c r="D2" s="183"/>
      <c r="E2" s="83"/>
      <c r="F2" s="183"/>
      <c r="G2" s="184"/>
      <c r="H2" s="183"/>
      <c r="I2" s="83"/>
      <c r="J2" s="183"/>
      <c r="K2" s="83"/>
      <c r="L2" s="183"/>
      <c r="M2" s="184"/>
      <c r="N2" s="183"/>
      <c r="O2" s="83"/>
      <c r="P2" s="183"/>
      <c r="Q2" s="83"/>
      <c r="R2" s="183"/>
      <c r="S2" s="184"/>
    </row>
    <row r="3" spans="1:19" ht="14.4" customHeight="1" thickBot="1" x14ac:dyDescent="0.35">
      <c r="A3" s="177" t="s">
        <v>98</v>
      </c>
      <c r="B3" s="178">
        <f>SUBTOTAL(9,B6:B1048576)</f>
        <v>35394</v>
      </c>
      <c r="C3" s="179">
        <f t="shared" ref="C3:R3" si="0">SUBTOTAL(9,C6:C1048576)</f>
        <v>11</v>
      </c>
      <c r="D3" s="179">
        <f t="shared" si="0"/>
        <v>37716</v>
      </c>
      <c r="E3" s="179">
        <f t="shared" si="0"/>
        <v>17.343154535051895</v>
      </c>
      <c r="F3" s="179">
        <f t="shared" si="0"/>
        <v>23364</v>
      </c>
      <c r="G3" s="182">
        <f>IF(B3&lt;&gt;0,F3/B3,"")</f>
        <v>0.66011188337006277</v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IF(H3&lt;&gt;0,L3/H3,"")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80" t="s">
        <v>81</v>
      </c>
      <c r="B4" s="281" t="s">
        <v>75</v>
      </c>
      <c r="C4" s="282"/>
      <c r="D4" s="282"/>
      <c r="E4" s="282"/>
      <c r="F4" s="282"/>
      <c r="G4" s="283"/>
      <c r="H4" s="281" t="s">
        <v>76</v>
      </c>
      <c r="I4" s="282"/>
      <c r="J4" s="282"/>
      <c r="K4" s="282"/>
      <c r="L4" s="282"/>
      <c r="M4" s="283"/>
      <c r="N4" s="281" t="s">
        <v>77</v>
      </c>
      <c r="O4" s="282"/>
      <c r="P4" s="282"/>
      <c r="Q4" s="282"/>
      <c r="R4" s="282"/>
      <c r="S4" s="283"/>
    </row>
    <row r="5" spans="1:19" ht="14.4" customHeight="1" thickBot="1" x14ac:dyDescent="0.35">
      <c r="A5" s="359"/>
      <c r="B5" s="360">
        <v>2014</v>
      </c>
      <c r="C5" s="361"/>
      <c r="D5" s="361">
        <v>2015</v>
      </c>
      <c r="E5" s="361"/>
      <c r="F5" s="361">
        <v>2016</v>
      </c>
      <c r="G5" s="362" t="s">
        <v>1</v>
      </c>
      <c r="H5" s="360">
        <v>2014</v>
      </c>
      <c r="I5" s="361"/>
      <c r="J5" s="361">
        <v>2015</v>
      </c>
      <c r="K5" s="361"/>
      <c r="L5" s="361">
        <v>2016</v>
      </c>
      <c r="M5" s="362" t="s">
        <v>1</v>
      </c>
      <c r="N5" s="360">
        <v>2014</v>
      </c>
      <c r="O5" s="361"/>
      <c r="P5" s="361">
        <v>2015</v>
      </c>
      <c r="Q5" s="361"/>
      <c r="R5" s="361">
        <v>2016</v>
      </c>
      <c r="S5" s="362" t="s">
        <v>1</v>
      </c>
    </row>
    <row r="6" spans="1:19" ht="14.4" customHeight="1" x14ac:dyDescent="0.3">
      <c r="A6" s="397" t="s">
        <v>254</v>
      </c>
      <c r="B6" s="383">
        <v>1320</v>
      </c>
      <c r="C6" s="384">
        <v>1</v>
      </c>
      <c r="D6" s="383">
        <v>3142</v>
      </c>
      <c r="E6" s="384">
        <v>2.3803030303030304</v>
      </c>
      <c r="F6" s="383">
        <v>3009</v>
      </c>
      <c r="G6" s="385">
        <v>2.2795454545454548</v>
      </c>
      <c r="H6" s="383"/>
      <c r="I6" s="384"/>
      <c r="J6" s="383"/>
      <c r="K6" s="384"/>
      <c r="L6" s="383"/>
      <c r="M6" s="385"/>
      <c r="N6" s="383"/>
      <c r="O6" s="384"/>
      <c r="P6" s="383"/>
      <c r="Q6" s="384"/>
      <c r="R6" s="383"/>
      <c r="S6" s="386"/>
    </row>
    <row r="7" spans="1:19" ht="14.4" customHeight="1" x14ac:dyDescent="0.3">
      <c r="A7" s="398" t="s">
        <v>255</v>
      </c>
      <c r="B7" s="388">
        <v>18267</v>
      </c>
      <c r="C7" s="389">
        <v>1</v>
      </c>
      <c r="D7" s="388">
        <v>5295</v>
      </c>
      <c r="E7" s="389">
        <v>0.28986697323041549</v>
      </c>
      <c r="F7" s="388">
        <v>3363</v>
      </c>
      <c r="G7" s="390">
        <v>0.18410247988175399</v>
      </c>
      <c r="H7" s="388"/>
      <c r="I7" s="389"/>
      <c r="J7" s="388"/>
      <c r="K7" s="389"/>
      <c r="L7" s="388"/>
      <c r="M7" s="390"/>
      <c r="N7" s="388"/>
      <c r="O7" s="389"/>
      <c r="P7" s="388"/>
      <c r="Q7" s="389"/>
      <c r="R7" s="388"/>
      <c r="S7" s="391"/>
    </row>
    <row r="8" spans="1:19" ht="14.4" customHeight="1" x14ac:dyDescent="0.3">
      <c r="A8" s="398" t="s">
        <v>256</v>
      </c>
      <c r="B8" s="388">
        <v>6265</v>
      </c>
      <c r="C8" s="389">
        <v>1</v>
      </c>
      <c r="D8" s="388">
        <v>15385</v>
      </c>
      <c r="E8" s="389">
        <v>2.4557063048683161</v>
      </c>
      <c r="F8" s="388">
        <v>2478</v>
      </c>
      <c r="G8" s="390">
        <v>0.39553072625698327</v>
      </c>
      <c r="H8" s="388"/>
      <c r="I8" s="389"/>
      <c r="J8" s="388"/>
      <c r="K8" s="389"/>
      <c r="L8" s="388"/>
      <c r="M8" s="390"/>
      <c r="N8" s="388"/>
      <c r="O8" s="389"/>
      <c r="P8" s="388"/>
      <c r="Q8" s="389"/>
      <c r="R8" s="388"/>
      <c r="S8" s="391"/>
    </row>
    <row r="9" spans="1:19" ht="14.4" customHeight="1" x14ac:dyDescent="0.3">
      <c r="A9" s="398" t="s">
        <v>257</v>
      </c>
      <c r="B9" s="388"/>
      <c r="C9" s="389"/>
      <c r="D9" s="388">
        <v>496</v>
      </c>
      <c r="E9" s="389"/>
      <c r="F9" s="388"/>
      <c r="G9" s="390"/>
      <c r="H9" s="388"/>
      <c r="I9" s="389"/>
      <c r="J9" s="388"/>
      <c r="K9" s="389"/>
      <c r="L9" s="388"/>
      <c r="M9" s="390"/>
      <c r="N9" s="388"/>
      <c r="O9" s="389"/>
      <c r="P9" s="388"/>
      <c r="Q9" s="389"/>
      <c r="R9" s="388"/>
      <c r="S9" s="391"/>
    </row>
    <row r="10" spans="1:19" ht="14.4" customHeight="1" x14ac:dyDescent="0.3">
      <c r="A10" s="398" t="s">
        <v>258</v>
      </c>
      <c r="B10" s="388">
        <v>990</v>
      </c>
      <c r="C10" s="389">
        <v>1</v>
      </c>
      <c r="D10" s="388">
        <v>3804</v>
      </c>
      <c r="E10" s="389">
        <v>3.8424242424242423</v>
      </c>
      <c r="F10" s="388">
        <v>3540</v>
      </c>
      <c r="G10" s="390">
        <v>3.5757575757575757</v>
      </c>
      <c r="H10" s="388"/>
      <c r="I10" s="389"/>
      <c r="J10" s="388"/>
      <c r="K10" s="389"/>
      <c r="L10" s="388"/>
      <c r="M10" s="390"/>
      <c r="N10" s="388"/>
      <c r="O10" s="389"/>
      <c r="P10" s="388"/>
      <c r="Q10" s="389"/>
      <c r="R10" s="388"/>
      <c r="S10" s="391"/>
    </row>
    <row r="11" spans="1:19" ht="14.4" customHeight="1" x14ac:dyDescent="0.3">
      <c r="A11" s="398" t="s">
        <v>259</v>
      </c>
      <c r="B11" s="388"/>
      <c r="C11" s="389"/>
      <c r="D11" s="388"/>
      <c r="E11" s="389"/>
      <c r="F11" s="388">
        <v>354</v>
      </c>
      <c r="G11" s="390"/>
      <c r="H11" s="388"/>
      <c r="I11" s="389"/>
      <c r="J11" s="388"/>
      <c r="K11" s="389"/>
      <c r="L11" s="388"/>
      <c r="M11" s="390"/>
      <c r="N11" s="388"/>
      <c r="O11" s="389"/>
      <c r="P11" s="388"/>
      <c r="Q11" s="389"/>
      <c r="R11" s="388"/>
      <c r="S11" s="391"/>
    </row>
    <row r="12" spans="1:19" ht="14.4" customHeight="1" x14ac:dyDescent="0.3">
      <c r="A12" s="398" t="s">
        <v>260</v>
      </c>
      <c r="B12" s="388">
        <v>2302</v>
      </c>
      <c r="C12" s="389">
        <v>1</v>
      </c>
      <c r="D12" s="388">
        <v>2812</v>
      </c>
      <c r="E12" s="389">
        <v>1.2215464813205907</v>
      </c>
      <c r="F12" s="388">
        <v>3894</v>
      </c>
      <c r="G12" s="390">
        <v>1.6915725456125108</v>
      </c>
      <c r="H12" s="388"/>
      <c r="I12" s="389"/>
      <c r="J12" s="388"/>
      <c r="K12" s="389"/>
      <c r="L12" s="388"/>
      <c r="M12" s="390"/>
      <c r="N12" s="388"/>
      <c r="O12" s="389"/>
      <c r="P12" s="388"/>
      <c r="Q12" s="389"/>
      <c r="R12" s="388"/>
      <c r="S12" s="391"/>
    </row>
    <row r="13" spans="1:19" ht="14.4" customHeight="1" x14ac:dyDescent="0.3">
      <c r="A13" s="398" t="s">
        <v>261</v>
      </c>
      <c r="B13" s="388">
        <v>1484</v>
      </c>
      <c r="C13" s="389">
        <v>1</v>
      </c>
      <c r="D13" s="388">
        <v>1158</v>
      </c>
      <c r="E13" s="389">
        <v>0.78032345013477089</v>
      </c>
      <c r="F13" s="388">
        <v>1770</v>
      </c>
      <c r="G13" s="390">
        <v>1.192722371967655</v>
      </c>
      <c r="H13" s="388"/>
      <c r="I13" s="389"/>
      <c r="J13" s="388"/>
      <c r="K13" s="389"/>
      <c r="L13" s="388"/>
      <c r="M13" s="390"/>
      <c r="N13" s="388"/>
      <c r="O13" s="389"/>
      <c r="P13" s="388"/>
      <c r="Q13" s="389"/>
      <c r="R13" s="388"/>
      <c r="S13" s="391"/>
    </row>
    <row r="14" spans="1:19" ht="14.4" customHeight="1" x14ac:dyDescent="0.3">
      <c r="A14" s="398" t="s">
        <v>262</v>
      </c>
      <c r="B14" s="388">
        <v>330</v>
      </c>
      <c r="C14" s="389">
        <v>1</v>
      </c>
      <c r="D14" s="388">
        <v>662</v>
      </c>
      <c r="E14" s="389">
        <v>2.0060606060606059</v>
      </c>
      <c r="F14" s="388">
        <v>354</v>
      </c>
      <c r="G14" s="390">
        <v>1.0727272727272728</v>
      </c>
      <c r="H14" s="388"/>
      <c r="I14" s="389"/>
      <c r="J14" s="388"/>
      <c r="K14" s="389"/>
      <c r="L14" s="388"/>
      <c r="M14" s="390"/>
      <c r="N14" s="388"/>
      <c r="O14" s="389"/>
      <c r="P14" s="388"/>
      <c r="Q14" s="389"/>
      <c r="R14" s="388"/>
      <c r="S14" s="391"/>
    </row>
    <row r="15" spans="1:19" ht="14.4" customHeight="1" x14ac:dyDescent="0.3">
      <c r="A15" s="398" t="s">
        <v>263</v>
      </c>
      <c r="B15" s="388"/>
      <c r="C15" s="389"/>
      <c r="D15" s="388">
        <v>827</v>
      </c>
      <c r="E15" s="389"/>
      <c r="F15" s="388">
        <v>354</v>
      </c>
      <c r="G15" s="390"/>
      <c r="H15" s="388"/>
      <c r="I15" s="389"/>
      <c r="J15" s="388"/>
      <c r="K15" s="389"/>
      <c r="L15" s="388"/>
      <c r="M15" s="390"/>
      <c r="N15" s="388"/>
      <c r="O15" s="389"/>
      <c r="P15" s="388"/>
      <c r="Q15" s="389"/>
      <c r="R15" s="388"/>
      <c r="S15" s="391"/>
    </row>
    <row r="16" spans="1:19" ht="14.4" customHeight="1" x14ac:dyDescent="0.3">
      <c r="A16" s="398" t="s">
        <v>264</v>
      </c>
      <c r="B16" s="388">
        <v>657</v>
      </c>
      <c r="C16" s="389">
        <v>1</v>
      </c>
      <c r="D16" s="388">
        <v>1158</v>
      </c>
      <c r="E16" s="389">
        <v>1.7625570776255708</v>
      </c>
      <c r="F16" s="388">
        <v>354</v>
      </c>
      <c r="G16" s="390">
        <v>0.53881278538812782</v>
      </c>
      <c r="H16" s="388"/>
      <c r="I16" s="389"/>
      <c r="J16" s="388"/>
      <c r="K16" s="389"/>
      <c r="L16" s="388"/>
      <c r="M16" s="390"/>
      <c r="N16" s="388"/>
      <c r="O16" s="389"/>
      <c r="P16" s="388"/>
      <c r="Q16" s="389"/>
      <c r="R16" s="388"/>
      <c r="S16" s="391"/>
    </row>
    <row r="17" spans="1:19" ht="14.4" customHeight="1" x14ac:dyDescent="0.3">
      <c r="A17" s="398" t="s">
        <v>265</v>
      </c>
      <c r="B17" s="388">
        <v>3122</v>
      </c>
      <c r="C17" s="389">
        <v>1</v>
      </c>
      <c r="D17" s="388">
        <v>1820</v>
      </c>
      <c r="E17" s="389">
        <v>0.5829596412556054</v>
      </c>
      <c r="F17" s="388">
        <v>2301</v>
      </c>
      <c r="G17" s="390">
        <v>0.73702754644458679</v>
      </c>
      <c r="H17" s="388"/>
      <c r="I17" s="389"/>
      <c r="J17" s="388"/>
      <c r="K17" s="389"/>
      <c r="L17" s="388"/>
      <c r="M17" s="390"/>
      <c r="N17" s="388"/>
      <c r="O17" s="389"/>
      <c r="P17" s="388"/>
      <c r="Q17" s="389"/>
      <c r="R17" s="388"/>
      <c r="S17" s="391"/>
    </row>
    <row r="18" spans="1:19" ht="14.4" customHeight="1" x14ac:dyDescent="0.3">
      <c r="A18" s="398" t="s">
        <v>266</v>
      </c>
      <c r="B18" s="388">
        <v>330</v>
      </c>
      <c r="C18" s="389">
        <v>1</v>
      </c>
      <c r="D18" s="388"/>
      <c r="E18" s="389"/>
      <c r="F18" s="388"/>
      <c r="G18" s="390"/>
      <c r="H18" s="388"/>
      <c r="I18" s="389"/>
      <c r="J18" s="388"/>
      <c r="K18" s="389"/>
      <c r="L18" s="388"/>
      <c r="M18" s="390"/>
      <c r="N18" s="388"/>
      <c r="O18" s="389"/>
      <c r="P18" s="388"/>
      <c r="Q18" s="389"/>
      <c r="R18" s="388"/>
      <c r="S18" s="391"/>
    </row>
    <row r="19" spans="1:19" ht="14.4" customHeight="1" x14ac:dyDescent="0.3">
      <c r="A19" s="398" t="s">
        <v>267</v>
      </c>
      <c r="B19" s="388"/>
      <c r="C19" s="389"/>
      <c r="D19" s="388">
        <v>496</v>
      </c>
      <c r="E19" s="389"/>
      <c r="F19" s="388">
        <v>1062</v>
      </c>
      <c r="G19" s="390"/>
      <c r="H19" s="388"/>
      <c r="I19" s="389"/>
      <c r="J19" s="388"/>
      <c r="K19" s="389"/>
      <c r="L19" s="388"/>
      <c r="M19" s="390"/>
      <c r="N19" s="388"/>
      <c r="O19" s="389"/>
      <c r="P19" s="388"/>
      <c r="Q19" s="389"/>
      <c r="R19" s="388"/>
      <c r="S19" s="391"/>
    </row>
    <row r="20" spans="1:19" ht="14.4" customHeight="1" thickBot="1" x14ac:dyDescent="0.35">
      <c r="A20" s="399" t="s">
        <v>268</v>
      </c>
      <c r="B20" s="393">
        <v>327</v>
      </c>
      <c r="C20" s="394">
        <v>1</v>
      </c>
      <c r="D20" s="393">
        <v>661</v>
      </c>
      <c r="E20" s="394">
        <v>2.021406727828746</v>
      </c>
      <c r="F20" s="393">
        <v>531</v>
      </c>
      <c r="G20" s="395">
        <v>1.6238532110091743</v>
      </c>
      <c r="H20" s="393"/>
      <c r="I20" s="394"/>
      <c r="J20" s="393"/>
      <c r="K20" s="394"/>
      <c r="L20" s="393"/>
      <c r="M20" s="395"/>
      <c r="N20" s="393"/>
      <c r="O20" s="394"/>
      <c r="P20" s="393"/>
      <c r="Q20" s="394"/>
      <c r="R20" s="393"/>
      <c r="S20" s="39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5" customWidth="1"/>
    <col min="8" max="9" width="9.33203125" style="175" hidden="1" customWidth="1"/>
    <col min="10" max="11" width="11.109375" style="175" customWidth="1"/>
    <col min="12" max="13" width="9.33203125" style="175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51" t="s">
        <v>286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14.4" customHeight="1" thickBot="1" x14ac:dyDescent="0.35">
      <c r="A2" s="191" t="s">
        <v>184</v>
      </c>
      <c r="B2" s="103"/>
      <c r="C2" s="103"/>
      <c r="D2" s="103"/>
      <c r="E2" s="103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116</v>
      </c>
      <c r="G3" s="75">
        <f t="shared" si="0"/>
        <v>35394</v>
      </c>
      <c r="H3" s="75"/>
      <c r="I3" s="75"/>
      <c r="J3" s="75">
        <f t="shared" si="0"/>
        <v>132</v>
      </c>
      <c r="K3" s="75">
        <f t="shared" si="0"/>
        <v>37716</v>
      </c>
      <c r="L3" s="75"/>
      <c r="M3" s="75"/>
      <c r="N3" s="75">
        <f t="shared" si="0"/>
        <v>76</v>
      </c>
      <c r="O3" s="75">
        <f t="shared" si="0"/>
        <v>23364</v>
      </c>
      <c r="P3" s="58">
        <f>IF(G3=0,0,O3/G3)</f>
        <v>0.66011188337006277</v>
      </c>
      <c r="Q3" s="76">
        <f>IF(N3=0,0,O3/N3)</f>
        <v>307.42105263157896</v>
      </c>
    </row>
    <row r="4" spans="1:17" ht="14.4" customHeight="1" x14ac:dyDescent="0.3">
      <c r="A4" s="289" t="s">
        <v>45</v>
      </c>
      <c r="B4" s="288" t="s">
        <v>71</v>
      </c>
      <c r="C4" s="289" t="s">
        <v>72</v>
      </c>
      <c r="D4" s="298" t="s">
        <v>73</v>
      </c>
      <c r="E4" s="290" t="s">
        <v>46</v>
      </c>
      <c r="F4" s="296">
        <v>2014</v>
      </c>
      <c r="G4" s="297"/>
      <c r="H4" s="77"/>
      <c r="I4" s="77"/>
      <c r="J4" s="296">
        <v>2015</v>
      </c>
      <c r="K4" s="297"/>
      <c r="L4" s="77"/>
      <c r="M4" s="77"/>
      <c r="N4" s="296">
        <v>2016</v>
      </c>
      <c r="O4" s="297"/>
      <c r="P4" s="299" t="s">
        <v>1</v>
      </c>
      <c r="Q4" s="287" t="s">
        <v>74</v>
      </c>
    </row>
    <row r="5" spans="1:17" ht="14.4" customHeight="1" thickBot="1" x14ac:dyDescent="0.35">
      <c r="A5" s="373"/>
      <c r="B5" s="371"/>
      <c r="C5" s="373"/>
      <c r="D5" s="400"/>
      <c r="E5" s="375"/>
      <c r="F5" s="401" t="s">
        <v>48</v>
      </c>
      <c r="G5" s="402" t="s">
        <v>4</v>
      </c>
      <c r="H5" s="403"/>
      <c r="I5" s="403"/>
      <c r="J5" s="401" t="s">
        <v>48</v>
      </c>
      <c r="K5" s="402" t="s">
        <v>4</v>
      </c>
      <c r="L5" s="403"/>
      <c r="M5" s="403"/>
      <c r="N5" s="401" t="s">
        <v>48</v>
      </c>
      <c r="O5" s="402" t="s">
        <v>4</v>
      </c>
      <c r="P5" s="404"/>
      <c r="Q5" s="380"/>
    </row>
    <row r="6" spans="1:17" ht="14.4" customHeight="1" x14ac:dyDescent="0.3">
      <c r="A6" s="382" t="s">
        <v>269</v>
      </c>
      <c r="B6" s="384" t="s">
        <v>249</v>
      </c>
      <c r="C6" s="384" t="s">
        <v>250</v>
      </c>
      <c r="D6" s="384" t="s">
        <v>251</v>
      </c>
      <c r="E6" s="384" t="s">
        <v>252</v>
      </c>
      <c r="F6" s="405">
        <v>4</v>
      </c>
      <c r="G6" s="405">
        <v>1320</v>
      </c>
      <c r="H6" s="405">
        <v>1</v>
      </c>
      <c r="I6" s="405">
        <v>330</v>
      </c>
      <c r="J6" s="405">
        <v>7</v>
      </c>
      <c r="K6" s="405">
        <v>2317</v>
      </c>
      <c r="L6" s="405">
        <v>1.7553030303030304</v>
      </c>
      <c r="M6" s="405">
        <v>331</v>
      </c>
      <c r="N6" s="405">
        <v>7</v>
      </c>
      <c r="O6" s="405">
        <v>2478</v>
      </c>
      <c r="P6" s="385">
        <v>1.8772727272727272</v>
      </c>
      <c r="Q6" s="406">
        <v>354</v>
      </c>
    </row>
    <row r="7" spans="1:17" ht="14.4" customHeight="1" x14ac:dyDescent="0.3">
      <c r="A7" s="387" t="s">
        <v>269</v>
      </c>
      <c r="B7" s="389" t="s">
        <v>249</v>
      </c>
      <c r="C7" s="389" t="s">
        <v>250</v>
      </c>
      <c r="D7" s="389" t="s">
        <v>270</v>
      </c>
      <c r="E7" s="389" t="s">
        <v>271</v>
      </c>
      <c r="F7" s="407"/>
      <c r="G7" s="407"/>
      <c r="H7" s="407"/>
      <c r="I7" s="407"/>
      <c r="J7" s="407">
        <v>5</v>
      </c>
      <c r="K7" s="407">
        <v>825</v>
      </c>
      <c r="L7" s="407"/>
      <c r="M7" s="407">
        <v>165</v>
      </c>
      <c r="N7" s="407">
        <v>3</v>
      </c>
      <c r="O7" s="407">
        <v>531</v>
      </c>
      <c r="P7" s="390"/>
      <c r="Q7" s="408">
        <v>177</v>
      </c>
    </row>
    <row r="8" spans="1:17" ht="14.4" customHeight="1" x14ac:dyDescent="0.3">
      <c r="A8" s="387" t="s">
        <v>272</v>
      </c>
      <c r="B8" s="389" t="s">
        <v>249</v>
      </c>
      <c r="C8" s="389" t="s">
        <v>250</v>
      </c>
      <c r="D8" s="389" t="s">
        <v>251</v>
      </c>
      <c r="E8" s="389" t="s">
        <v>252</v>
      </c>
      <c r="F8" s="407">
        <v>51</v>
      </c>
      <c r="G8" s="407">
        <v>16794</v>
      </c>
      <c r="H8" s="407">
        <v>1</v>
      </c>
      <c r="I8" s="407">
        <v>329.29411764705884</v>
      </c>
      <c r="J8" s="407">
        <v>15</v>
      </c>
      <c r="K8" s="407">
        <v>4965</v>
      </c>
      <c r="L8" s="407">
        <v>0.29564130046445158</v>
      </c>
      <c r="M8" s="407">
        <v>331</v>
      </c>
      <c r="N8" s="407">
        <v>7</v>
      </c>
      <c r="O8" s="407">
        <v>2478</v>
      </c>
      <c r="P8" s="390">
        <v>0.1475526973919257</v>
      </c>
      <c r="Q8" s="408">
        <v>354</v>
      </c>
    </row>
    <row r="9" spans="1:17" ht="14.4" customHeight="1" x14ac:dyDescent="0.3">
      <c r="A9" s="387" t="s">
        <v>272</v>
      </c>
      <c r="B9" s="389" t="s">
        <v>249</v>
      </c>
      <c r="C9" s="389" t="s">
        <v>250</v>
      </c>
      <c r="D9" s="389" t="s">
        <v>270</v>
      </c>
      <c r="E9" s="389" t="s">
        <v>271</v>
      </c>
      <c r="F9" s="407">
        <v>9</v>
      </c>
      <c r="G9" s="407">
        <v>1473</v>
      </c>
      <c r="H9" s="407">
        <v>1</v>
      </c>
      <c r="I9" s="407">
        <v>163.66666666666666</v>
      </c>
      <c r="J9" s="407">
        <v>2</v>
      </c>
      <c r="K9" s="407">
        <v>330</v>
      </c>
      <c r="L9" s="407">
        <v>0.22403258655804481</v>
      </c>
      <c r="M9" s="407">
        <v>165</v>
      </c>
      <c r="N9" s="407">
        <v>5</v>
      </c>
      <c r="O9" s="407">
        <v>885</v>
      </c>
      <c r="P9" s="390">
        <v>0.60081466395112015</v>
      </c>
      <c r="Q9" s="408">
        <v>177</v>
      </c>
    </row>
    <row r="10" spans="1:17" ht="14.4" customHeight="1" x14ac:dyDescent="0.3">
      <c r="A10" s="387" t="s">
        <v>273</v>
      </c>
      <c r="B10" s="389" t="s">
        <v>249</v>
      </c>
      <c r="C10" s="389" t="s">
        <v>250</v>
      </c>
      <c r="D10" s="389" t="s">
        <v>251</v>
      </c>
      <c r="E10" s="389" t="s">
        <v>252</v>
      </c>
      <c r="F10" s="407">
        <v>18</v>
      </c>
      <c r="G10" s="407">
        <v>5937</v>
      </c>
      <c r="H10" s="407">
        <v>1</v>
      </c>
      <c r="I10" s="407">
        <v>329.83333333333331</v>
      </c>
      <c r="J10" s="407">
        <v>40</v>
      </c>
      <c r="K10" s="407">
        <v>13240</v>
      </c>
      <c r="L10" s="407">
        <v>2.2300825332659593</v>
      </c>
      <c r="M10" s="407">
        <v>331</v>
      </c>
      <c r="N10" s="407">
        <v>6</v>
      </c>
      <c r="O10" s="407">
        <v>2124</v>
      </c>
      <c r="P10" s="390">
        <v>0.35775644264780193</v>
      </c>
      <c r="Q10" s="408">
        <v>354</v>
      </c>
    </row>
    <row r="11" spans="1:17" ht="14.4" customHeight="1" x14ac:dyDescent="0.3">
      <c r="A11" s="387" t="s">
        <v>273</v>
      </c>
      <c r="B11" s="389" t="s">
        <v>249</v>
      </c>
      <c r="C11" s="389" t="s">
        <v>250</v>
      </c>
      <c r="D11" s="389" t="s">
        <v>270</v>
      </c>
      <c r="E11" s="389" t="s">
        <v>271</v>
      </c>
      <c r="F11" s="407">
        <v>2</v>
      </c>
      <c r="G11" s="407">
        <v>328</v>
      </c>
      <c r="H11" s="407">
        <v>1</v>
      </c>
      <c r="I11" s="407">
        <v>164</v>
      </c>
      <c r="J11" s="407">
        <v>13</v>
      </c>
      <c r="K11" s="407">
        <v>2145</v>
      </c>
      <c r="L11" s="407">
        <v>6.5396341463414638</v>
      </c>
      <c r="M11" s="407">
        <v>165</v>
      </c>
      <c r="N11" s="407">
        <v>2</v>
      </c>
      <c r="O11" s="407">
        <v>354</v>
      </c>
      <c r="P11" s="390">
        <v>1.0792682926829269</v>
      </c>
      <c r="Q11" s="408">
        <v>177</v>
      </c>
    </row>
    <row r="12" spans="1:17" ht="14.4" customHeight="1" x14ac:dyDescent="0.3">
      <c r="A12" s="387" t="s">
        <v>274</v>
      </c>
      <c r="B12" s="389" t="s">
        <v>249</v>
      </c>
      <c r="C12" s="389" t="s">
        <v>250</v>
      </c>
      <c r="D12" s="389" t="s">
        <v>251</v>
      </c>
      <c r="E12" s="389" t="s">
        <v>252</v>
      </c>
      <c r="F12" s="407"/>
      <c r="G12" s="407"/>
      <c r="H12" s="407"/>
      <c r="I12" s="407"/>
      <c r="J12" s="407">
        <v>1</v>
      </c>
      <c r="K12" s="407">
        <v>331</v>
      </c>
      <c r="L12" s="407"/>
      <c r="M12" s="407">
        <v>331</v>
      </c>
      <c r="N12" s="407"/>
      <c r="O12" s="407"/>
      <c r="P12" s="390"/>
      <c r="Q12" s="408"/>
    </row>
    <row r="13" spans="1:17" ht="14.4" customHeight="1" x14ac:dyDescent="0.3">
      <c r="A13" s="387" t="s">
        <v>274</v>
      </c>
      <c r="B13" s="389" t="s">
        <v>249</v>
      </c>
      <c r="C13" s="389" t="s">
        <v>250</v>
      </c>
      <c r="D13" s="389" t="s">
        <v>270</v>
      </c>
      <c r="E13" s="389" t="s">
        <v>271</v>
      </c>
      <c r="F13" s="407"/>
      <c r="G13" s="407"/>
      <c r="H13" s="407"/>
      <c r="I13" s="407"/>
      <c r="J13" s="407">
        <v>1</v>
      </c>
      <c r="K13" s="407">
        <v>165</v>
      </c>
      <c r="L13" s="407"/>
      <c r="M13" s="407">
        <v>165</v>
      </c>
      <c r="N13" s="407"/>
      <c r="O13" s="407"/>
      <c r="P13" s="390"/>
      <c r="Q13" s="408"/>
    </row>
    <row r="14" spans="1:17" ht="14.4" customHeight="1" x14ac:dyDescent="0.3">
      <c r="A14" s="387" t="s">
        <v>275</v>
      </c>
      <c r="B14" s="389" t="s">
        <v>249</v>
      </c>
      <c r="C14" s="389" t="s">
        <v>250</v>
      </c>
      <c r="D14" s="389" t="s">
        <v>251</v>
      </c>
      <c r="E14" s="389" t="s">
        <v>252</v>
      </c>
      <c r="F14" s="407">
        <v>3</v>
      </c>
      <c r="G14" s="407">
        <v>990</v>
      </c>
      <c r="H14" s="407">
        <v>1</v>
      </c>
      <c r="I14" s="407">
        <v>330</v>
      </c>
      <c r="J14" s="407">
        <v>9</v>
      </c>
      <c r="K14" s="407">
        <v>2979</v>
      </c>
      <c r="L14" s="407">
        <v>3.0090909090909093</v>
      </c>
      <c r="M14" s="407">
        <v>331</v>
      </c>
      <c r="N14" s="407">
        <v>9</v>
      </c>
      <c r="O14" s="407">
        <v>3186</v>
      </c>
      <c r="P14" s="390">
        <v>3.2181818181818183</v>
      </c>
      <c r="Q14" s="408">
        <v>354</v>
      </c>
    </row>
    <row r="15" spans="1:17" ht="14.4" customHeight="1" x14ac:dyDescent="0.3">
      <c r="A15" s="387" t="s">
        <v>275</v>
      </c>
      <c r="B15" s="389" t="s">
        <v>249</v>
      </c>
      <c r="C15" s="389" t="s">
        <v>250</v>
      </c>
      <c r="D15" s="389" t="s">
        <v>270</v>
      </c>
      <c r="E15" s="389" t="s">
        <v>271</v>
      </c>
      <c r="F15" s="407"/>
      <c r="G15" s="407"/>
      <c r="H15" s="407"/>
      <c r="I15" s="407"/>
      <c r="J15" s="407">
        <v>5</v>
      </c>
      <c r="K15" s="407">
        <v>825</v>
      </c>
      <c r="L15" s="407"/>
      <c r="M15" s="407">
        <v>165</v>
      </c>
      <c r="N15" s="407">
        <v>2</v>
      </c>
      <c r="O15" s="407">
        <v>354</v>
      </c>
      <c r="P15" s="390"/>
      <c r="Q15" s="408">
        <v>177</v>
      </c>
    </row>
    <row r="16" spans="1:17" ht="14.4" customHeight="1" x14ac:dyDescent="0.3">
      <c r="A16" s="387" t="s">
        <v>276</v>
      </c>
      <c r="B16" s="389" t="s">
        <v>249</v>
      </c>
      <c r="C16" s="389" t="s">
        <v>250</v>
      </c>
      <c r="D16" s="389" t="s">
        <v>251</v>
      </c>
      <c r="E16" s="389" t="s">
        <v>252</v>
      </c>
      <c r="F16" s="407"/>
      <c r="G16" s="407"/>
      <c r="H16" s="407"/>
      <c r="I16" s="407"/>
      <c r="J16" s="407"/>
      <c r="K16" s="407"/>
      <c r="L16" s="407"/>
      <c r="M16" s="407"/>
      <c r="N16" s="407">
        <v>1</v>
      </c>
      <c r="O16" s="407">
        <v>354</v>
      </c>
      <c r="P16" s="390"/>
      <c r="Q16" s="408">
        <v>354</v>
      </c>
    </row>
    <row r="17" spans="1:17" ht="14.4" customHeight="1" x14ac:dyDescent="0.3">
      <c r="A17" s="387" t="s">
        <v>277</v>
      </c>
      <c r="B17" s="389" t="s">
        <v>249</v>
      </c>
      <c r="C17" s="389" t="s">
        <v>250</v>
      </c>
      <c r="D17" s="389" t="s">
        <v>251</v>
      </c>
      <c r="E17" s="389" t="s">
        <v>252</v>
      </c>
      <c r="F17" s="407">
        <v>5</v>
      </c>
      <c r="G17" s="407">
        <v>1647</v>
      </c>
      <c r="H17" s="407">
        <v>1</v>
      </c>
      <c r="I17" s="407">
        <v>329.4</v>
      </c>
      <c r="J17" s="407">
        <v>7</v>
      </c>
      <c r="K17" s="407">
        <v>2317</v>
      </c>
      <c r="L17" s="407">
        <v>1.4068002428658166</v>
      </c>
      <c r="M17" s="407">
        <v>331</v>
      </c>
      <c r="N17" s="407">
        <v>9</v>
      </c>
      <c r="O17" s="407">
        <v>3186</v>
      </c>
      <c r="P17" s="390">
        <v>1.9344262295081966</v>
      </c>
      <c r="Q17" s="408">
        <v>354</v>
      </c>
    </row>
    <row r="18" spans="1:17" ht="14.4" customHeight="1" x14ac:dyDescent="0.3">
      <c r="A18" s="387" t="s">
        <v>277</v>
      </c>
      <c r="B18" s="389" t="s">
        <v>249</v>
      </c>
      <c r="C18" s="389" t="s">
        <v>250</v>
      </c>
      <c r="D18" s="389" t="s">
        <v>270</v>
      </c>
      <c r="E18" s="389" t="s">
        <v>271</v>
      </c>
      <c r="F18" s="407">
        <v>4</v>
      </c>
      <c r="G18" s="407">
        <v>655</v>
      </c>
      <c r="H18" s="407">
        <v>1</v>
      </c>
      <c r="I18" s="407">
        <v>163.75</v>
      </c>
      <c r="J18" s="407">
        <v>3</v>
      </c>
      <c r="K18" s="407">
        <v>495</v>
      </c>
      <c r="L18" s="407">
        <v>0.75572519083969469</v>
      </c>
      <c r="M18" s="407">
        <v>165</v>
      </c>
      <c r="N18" s="407">
        <v>4</v>
      </c>
      <c r="O18" s="407">
        <v>708</v>
      </c>
      <c r="P18" s="390">
        <v>1.080916030534351</v>
      </c>
      <c r="Q18" s="408">
        <v>177</v>
      </c>
    </row>
    <row r="19" spans="1:17" ht="14.4" customHeight="1" x14ac:dyDescent="0.3">
      <c r="A19" s="387" t="s">
        <v>278</v>
      </c>
      <c r="B19" s="389" t="s">
        <v>249</v>
      </c>
      <c r="C19" s="389" t="s">
        <v>250</v>
      </c>
      <c r="D19" s="389" t="s">
        <v>251</v>
      </c>
      <c r="E19" s="389" t="s">
        <v>252</v>
      </c>
      <c r="F19" s="407">
        <v>4</v>
      </c>
      <c r="G19" s="407">
        <v>1320</v>
      </c>
      <c r="H19" s="407">
        <v>1</v>
      </c>
      <c r="I19" s="407">
        <v>330</v>
      </c>
      <c r="J19" s="407">
        <v>3</v>
      </c>
      <c r="K19" s="407">
        <v>993</v>
      </c>
      <c r="L19" s="407">
        <v>0.75227272727272732</v>
      </c>
      <c r="M19" s="407">
        <v>331</v>
      </c>
      <c r="N19" s="407">
        <v>5</v>
      </c>
      <c r="O19" s="407">
        <v>1770</v>
      </c>
      <c r="P19" s="390">
        <v>1.3409090909090908</v>
      </c>
      <c r="Q19" s="408">
        <v>354</v>
      </c>
    </row>
    <row r="20" spans="1:17" ht="14.4" customHeight="1" x14ac:dyDescent="0.3">
      <c r="A20" s="387" t="s">
        <v>278</v>
      </c>
      <c r="B20" s="389" t="s">
        <v>249</v>
      </c>
      <c r="C20" s="389" t="s">
        <v>250</v>
      </c>
      <c r="D20" s="389" t="s">
        <v>270</v>
      </c>
      <c r="E20" s="389" t="s">
        <v>271</v>
      </c>
      <c r="F20" s="407">
        <v>1</v>
      </c>
      <c r="G20" s="407">
        <v>164</v>
      </c>
      <c r="H20" s="407">
        <v>1</v>
      </c>
      <c r="I20" s="407">
        <v>164</v>
      </c>
      <c r="J20" s="407">
        <v>1</v>
      </c>
      <c r="K20" s="407">
        <v>165</v>
      </c>
      <c r="L20" s="407">
        <v>1.0060975609756098</v>
      </c>
      <c r="M20" s="407">
        <v>165</v>
      </c>
      <c r="N20" s="407"/>
      <c r="O20" s="407"/>
      <c r="P20" s="390"/>
      <c r="Q20" s="408"/>
    </row>
    <row r="21" spans="1:17" ht="14.4" customHeight="1" x14ac:dyDescent="0.3">
      <c r="A21" s="387" t="s">
        <v>279</v>
      </c>
      <c r="B21" s="389" t="s">
        <v>249</v>
      </c>
      <c r="C21" s="389" t="s">
        <v>250</v>
      </c>
      <c r="D21" s="389" t="s">
        <v>251</v>
      </c>
      <c r="E21" s="389" t="s">
        <v>252</v>
      </c>
      <c r="F21" s="407">
        <v>1</v>
      </c>
      <c r="G21" s="407">
        <v>330</v>
      </c>
      <c r="H21" s="407">
        <v>1</v>
      </c>
      <c r="I21" s="407">
        <v>330</v>
      </c>
      <c r="J21" s="407">
        <v>2</v>
      </c>
      <c r="K21" s="407">
        <v>662</v>
      </c>
      <c r="L21" s="407">
        <v>2.0060606060606059</v>
      </c>
      <c r="M21" s="407">
        <v>331</v>
      </c>
      <c r="N21" s="407">
        <v>1</v>
      </c>
      <c r="O21" s="407">
        <v>354</v>
      </c>
      <c r="P21" s="390">
        <v>1.0727272727272728</v>
      </c>
      <c r="Q21" s="408">
        <v>354</v>
      </c>
    </row>
    <row r="22" spans="1:17" ht="14.4" customHeight="1" x14ac:dyDescent="0.3">
      <c r="A22" s="387" t="s">
        <v>280</v>
      </c>
      <c r="B22" s="389" t="s">
        <v>249</v>
      </c>
      <c r="C22" s="389" t="s">
        <v>250</v>
      </c>
      <c r="D22" s="389" t="s">
        <v>251</v>
      </c>
      <c r="E22" s="389" t="s">
        <v>252</v>
      </c>
      <c r="F22" s="407"/>
      <c r="G22" s="407"/>
      <c r="H22" s="407"/>
      <c r="I22" s="407"/>
      <c r="J22" s="407">
        <v>2</v>
      </c>
      <c r="K22" s="407">
        <v>662</v>
      </c>
      <c r="L22" s="407"/>
      <c r="M22" s="407">
        <v>331</v>
      </c>
      <c r="N22" s="407">
        <v>1</v>
      </c>
      <c r="O22" s="407">
        <v>354</v>
      </c>
      <c r="P22" s="390"/>
      <c r="Q22" s="408">
        <v>354</v>
      </c>
    </row>
    <row r="23" spans="1:17" ht="14.4" customHeight="1" x14ac:dyDescent="0.3">
      <c r="A23" s="387" t="s">
        <v>280</v>
      </c>
      <c r="B23" s="389" t="s">
        <v>249</v>
      </c>
      <c r="C23" s="389" t="s">
        <v>250</v>
      </c>
      <c r="D23" s="389" t="s">
        <v>270</v>
      </c>
      <c r="E23" s="389" t="s">
        <v>271</v>
      </c>
      <c r="F23" s="407"/>
      <c r="G23" s="407"/>
      <c r="H23" s="407"/>
      <c r="I23" s="407"/>
      <c r="J23" s="407">
        <v>1</v>
      </c>
      <c r="K23" s="407">
        <v>165</v>
      </c>
      <c r="L23" s="407"/>
      <c r="M23" s="407">
        <v>165</v>
      </c>
      <c r="N23" s="407"/>
      <c r="O23" s="407"/>
      <c r="P23" s="390"/>
      <c r="Q23" s="408"/>
    </row>
    <row r="24" spans="1:17" ht="14.4" customHeight="1" x14ac:dyDescent="0.3">
      <c r="A24" s="387" t="s">
        <v>281</v>
      </c>
      <c r="B24" s="389" t="s">
        <v>249</v>
      </c>
      <c r="C24" s="389" t="s">
        <v>250</v>
      </c>
      <c r="D24" s="389" t="s">
        <v>251</v>
      </c>
      <c r="E24" s="389" t="s">
        <v>252</v>
      </c>
      <c r="F24" s="407">
        <v>2</v>
      </c>
      <c r="G24" s="407">
        <v>657</v>
      </c>
      <c r="H24" s="407">
        <v>1</v>
      </c>
      <c r="I24" s="407">
        <v>328.5</v>
      </c>
      <c r="J24" s="407">
        <v>3</v>
      </c>
      <c r="K24" s="407">
        <v>993</v>
      </c>
      <c r="L24" s="407">
        <v>1.5114155251141552</v>
      </c>
      <c r="M24" s="407">
        <v>331</v>
      </c>
      <c r="N24" s="407">
        <v>1</v>
      </c>
      <c r="O24" s="407">
        <v>354</v>
      </c>
      <c r="P24" s="390">
        <v>0.53881278538812782</v>
      </c>
      <c r="Q24" s="408">
        <v>354</v>
      </c>
    </row>
    <row r="25" spans="1:17" ht="14.4" customHeight="1" x14ac:dyDescent="0.3">
      <c r="A25" s="387" t="s">
        <v>281</v>
      </c>
      <c r="B25" s="389" t="s">
        <v>249</v>
      </c>
      <c r="C25" s="389" t="s">
        <v>250</v>
      </c>
      <c r="D25" s="389" t="s">
        <v>270</v>
      </c>
      <c r="E25" s="389" t="s">
        <v>271</v>
      </c>
      <c r="F25" s="407"/>
      <c r="G25" s="407"/>
      <c r="H25" s="407"/>
      <c r="I25" s="407"/>
      <c r="J25" s="407">
        <v>1</v>
      </c>
      <c r="K25" s="407">
        <v>165</v>
      </c>
      <c r="L25" s="407"/>
      <c r="M25" s="407">
        <v>165</v>
      </c>
      <c r="N25" s="407"/>
      <c r="O25" s="407"/>
      <c r="P25" s="390"/>
      <c r="Q25" s="408"/>
    </row>
    <row r="26" spans="1:17" ht="14.4" customHeight="1" x14ac:dyDescent="0.3">
      <c r="A26" s="387" t="s">
        <v>282</v>
      </c>
      <c r="B26" s="389" t="s">
        <v>249</v>
      </c>
      <c r="C26" s="389" t="s">
        <v>250</v>
      </c>
      <c r="D26" s="389" t="s">
        <v>251</v>
      </c>
      <c r="E26" s="389" t="s">
        <v>252</v>
      </c>
      <c r="F26" s="407">
        <v>9</v>
      </c>
      <c r="G26" s="407">
        <v>2958</v>
      </c>
      <c r="H26" s="407">
        <v>1</v>
      </c>
      <c r="I26" s="407">
        <v>328.66666666666669</v>
      </c>
      <c r="J26" s="407">
        <v>5</v>
      </c>
      <c r="K26" s="407">
        <v>1655</v>
      </c>
      <c r="L26" s="407">
        <v>0.55949966193373901</v>
      </c>
      <c r="M26" s="407">
        <v>331</v>
      </c>
      <c r="N26" s="407">
        <v>6</v>
      </c>
      <c r="O26" s="407">
        <v>2124</v>
      </c>
      <c r="P26" s="390">
        <v>0.71805273833671401</v>
      </c>
      <c r="Q26" s="408">
        <v>354</v>
      </c>
    </row>
    <row r="27" spans="1:17" ht="14.4" customHeight="1" x14ac:dyDescent="0.3">
      <c r="A27" s="387" t="s">
        <v>282</v>
      </c>
      <c r="B27" s="389" t="s">
        <v>249</v>
      </c>
      <c r="C27" s="389" t="s">
        <v>250</v>
      </c>
      <c r="D27" s="389" t="s">
        <v>270</v>
      </c>
      <c r="E27" s="389" t="s">
        <v>271</v>
      </c>
      <c r="F27" s="407">
        <v>1</v>
      </c>
      <c r="G27" s="407">
        <v>164</v>
      </c>
      <c r="H27" s="407">
        <v>1</v>
      </c>
      <c r="I27" s="407">
        <v>164</v>
      </c>
      <c r="J27" s="407">
        <v>1</v>
      </c>
      <c r="K27" s="407">
        <v>165</v>
      </c>
      <c r="L27" s="407">
        <v>1.0060975609756098</v>
      </c>
      <c r="M27" s="407">
        <v>165</v>
      </c>
      <c r="N27" s="407">
        <v>1</v>
      </c>
      <c r="O27" s="407">
        <v>177</v>
      </c>
      <c r="P27" s="390">
        <v>1.0792682926829269</v>
      </c>
      <c r="Q27" s="408">
        <v>177</v>
      </c>
    </row>
    <row r="28" spans="1:17" ht="14.4" customHeight="1" x14ac:dyDescent="0.3">
      <c r="A28" s="387" t="s">
        <v>283</v>
      </c>
      <c r="B28" s="389" t="s">
        <v>249</v>
      </c>
      <c r="C28" s="389" t="s">
        <v>250</v>
      </c>
      <c r="D28" s="389" t="s">
        <v>251</v>
      </c>
      <c r="E28" s="389" t="s">
        <v>252</v>
      </c>
      <c r="F28" s="407">
        <v>1</v>
      </c>
      <c r="G28" s="407">
        <v>330</v>
      </c>
      <c r="H28" s="407">
        <v>1</v>
      </c>
      <c r="I28" s="407">
        <v>330</v>
      </c>
      <c r="J28" s="407"/>
      <c r="K28" s="407"/>
      <c r="L28" s="407"/>
      <c r="M28" s="407"/>
      <c r="N28" s="407"/>
      <c r="O28" s="407"/>
      <c r="P28" s="390"/>
      <c r="Q28" s="408"/>
    </row>
    <row r="29" spans="1:17" ht="14.4" customHeight="1" x14ac:dyDescent="0.3">
      <c r="A29" s="387" t="s">
        <v>284</v>
      </c>
      <c r="B29" s="389" t="s">
        <v>249</v>
      </c>
      <c r="C29" s="389" t="s">
        <v>250</v>
      </c>
      <c r="D29" s="389" t="s">
        <v>251</v>
      </c>
      <c r="E29" s="389" t="s">
        <v>252</v>
      </c>
      <c r="F29" s="407"/>
      <c r="G29" s="407"/>
      <c r="H29" s="407"/>
      <c r="I29" s="407"/>
      <c r="J29" s="407">
        <v>1</v>
      </c>
      <c r="K29" s="407">
        <v>331</v>
      </c>
      <c r="L29" s="407"/>
      <c r="M29" s="407">
        <v>331</v>
      </c>
      <c r="N29" s="407">
        <v>2</v>
      </c>
      <c r="O29" s="407">
        <v>708</v>
      </c>
      <c r="P29" s="390"/>
      <c r="Q29" s="408">
        <v>354</v>
      </c>
    </row>
    <row r="30" spans="1:17" ht="14.4" customHeight="1" x14ac:dyDescent="0.3">
      <c r="A30" s="387" t="s">
        <v>284</v>
      </c>
      <c r="B30" s="389" t="s">
        <v>249</v>
      </c>
      <c r="C30" s="389" t="s">
        <v>250</v>
      </c>
      <c r="D30" s="389" t="s">
        <v>270</v>
      </c>
      <c r="E30" s="389" t="s">
        <v>271</v>
      </c>
      <c r="F30" s="407"/>
      <c r="G30" s="407"/>
      <c r="H30" s="407"/>
      <c r="I30" s="407"/>
      <c r="J30" s="407">
        <v>1</v>
      </c>
      <c r="K30" s="407">
        <v>165</v>
      </c>
      <c r="L30" s="407"/>
      <c r="M30" s="407">
        <v>165</v>
      </c>
      <c r="N30" s="407">
        <v>2</v>
      </c>
      <c r="O30" s="407">
        <v>354</v>
      </c>
      <c r="P30" s="390"/>
      <c r="Q30" s="408">
        <v>177</v>
      </c>
    </row>
    <row r="31" spans="1:17" ht="14.4" customHeight="1" x14ac:dyDescent="0.3">
      <c r="A31" s="387" t="s">
        <v>285</v>
      </c>
      <c r="B31" s="389" t="s">
        <v>249</v>
      </c>
      <c r="C31" s="389" t="s">
        <v>250</v>
      </c>
      <c r="D31" s="389" t="s">
        <v>251</v>
      </c>
      <c r="E31" s="389" t="s">
        <v>252</v>
      </c>
      <c r="F31" s="407">
        <v>1</v>
      </c>
      <c r="G31" s="407">
        <v>327</v>
      </c>
      <c r="H31" s="407">
        <v>1</v>
      </c>
      <c r="I31" s="407">
        <v>327</v>
      </c>
      <c r="J31" s="407">
        <v>1</v>
      </c>
      <c r="K31" s="407">
        <v>331</v>
      </c>
      <c r="L31" s="407">
        <v>1.0122324159021407</v>
      </c>
      <c r="M31" s="407">
        <v>331</v>
      </c>
      <c r="N31" s="407">
        <v>1</v>
      </c>
      <c r="O31" s="407">
        <v>354</v>
      </c>
      <c r="P31" s="390">
        <v>1.0825688073394495</v>
      </c>
      <c r="Q31" s="408">
        <v>354</v>
      </c>
    </row>
    <row r="32" spans="1:17" ht="14.4" customHeight="1" thickBot="1" x14ac:dyDescent="0.35">
      <c r="A32" s="392" t="s">
        <v>285</v>
      </c>
      <c r="B32" s="394" t="s">
        <v>249</v>
      </c>
      <c r="C32" s="394" t="s">
        <v>250</v>
      </c>
      <c r="D32" s="394" t="s">
        <v>270</v>
      </c>
      <c r="E32" s="394" t="s">
        <v>271</v>
      </c>
      <c r="F32" s="409"/>
      <c r="G32" s="409"/>
      <c r="H32" s="409"/>
      <c r="I32" s="409"/>
      <c r="J32" s="409">
        <v>2</v>
      </c>
      <c r="K32" s="409">
        <v>330</v>
      </c>
      <c r="L32" s="409"/>
      <c r="M32" s="409">
        <v>165</v>
      </c>
      <c r="N32" s="409">
        <v>1</v>
      </c>
      <c r="O32" s="409">
        <v>177</v>
      </c>
      <c r="P32" s="395"/>
      <c r="Q32" s="410">
        <v>177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51" t="s">
        <v>91</v>
      </c>
      <c r="B1" s="251"/>
      <c r="C1" s="252"/>
      <c r="D1" s="252"/>
      <c r="E1" s="252"/>
    </row>
    <row r="2" spans="1:5" ht="14.4" customHeight="1" thickBot="1" x14ac:dyDescent="0.35">
      <c r="A2" s="191" t="s">
        <v>184</v>
      </c>
      <c r="B2" s="121"/>
    </row>
    <row r="3" spans="1:5" ht="14.4" customHeight="1" thickBot="1" x14ac:dyDescent="0.35">
      <c r="A3" s="124"/>
      <c r="C3" s="125" t="s">
        <v>83</v>
      </c>
      <c r="D3" s="126" t="s">
        <v>49</v>
      </c>
      <c r="E3" s="127" t="s">
        <v>51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1475.8237719198635</v>
      </c>
      <c r="D4" s="130">
        <f ca="1">IF(ISERROR(VLOOKUP("Náklady celkem",INDIRECT("HI!$A:$G"),5,0)),0,VLOOKUP("Náklady celkem",INDIRECT("HI!$A:$G"),5,0))</f>
        <v>1513.5475899999999</v>
      </c>
      <c r="E4" s="131">
        <f ca="1">IF(C4=0,0,D4/C4)</f>
        <v>1.02556119422786</v>
      </c>
    </row>
    <row r="5" spans="1:5" ht="14.4" customHeight="1" x14ac:dyDescent="0.3">
      <c r="A5" s="132" t="s">
        <v>103</v>
      </c>
      <c r="B5" s="133"/>
      <c r="C5" s="134"/>
      <c r="D5" s="134"/>
      <c r="E5" s="135"/>
    </row>
    <row r="6" spans="1:5" ht="14.4" customHeight="1" x14ac:dyDescent="0.3">
      <c r="A6" s="136" t="s">
        <v>108</v>
      </c>
      <c r="B6" s="137"/>
      <c r="C6" s="138"/>
      <c r="D6" s="138"/>
      <c r="E6" s="135"/>
    </row>
    <row r="7" spans="1:5" ht="14.4" customHeight="1" x14ac:dyDescent="0.3">
      <c r="A7" s="2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87</v>
      </c>
      <c r="C7" s="138">
        <f>IF(ISERROR(HI!F5),"",HI!F5)</f>
        <v>0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0" t="s">
        <v>104</v>
      </c>
      <c r="B8" s="137"/>
      <c r="C8" s="138"/>
      <c r="D8" s="138"/>
      <c r="E8" s="135"/>
    </row>
    <row r="9" spans="1:5" ht="14.4" customHeight="1" x14ac:dyDescent="0.3">
      <c r="A9" s="140" t="s">
        <v>105</v>
      </c>
      <c r="B9" s="137"/>
      <c r="C9" s="138"/>
      <c r="D9" s="138"/>
      <c r="E9" s="135"/>
    </row>
    <row r="10" spans="1:5" ht="14.4" customHeight="1" x14ac:dyDescent="0.3">
      <c r="A10" s="141" t="s">
        <v>109</v>
      </c>
      <c r="B10" s="137"/>
      <c r="C10" s="134"/>
      <c r="D10" s="134"/>
      <c r="E10" s="135"/>
    </row>
    <row r="11" spans="1:5" ht="14.4" customHeight="1" x14ac:dyDescent="0.3">
      <c r="A11" s="1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87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3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1471.7882198918219</v>
      </c>
      <c r="D12" s="134">
        <f ca="1">IF(ISERROR(VLOOKUP("Osobní náklady (Kč) *",INDIRECT("HI!$A:$G"),5,0)),0,VLOOKUP("Osobní náklady (Kč) *",INDIRECT("HI!$A:$G"),5,0))</f>
        <v>1508.61626</v>
      </c>
      <c r="E12" s="135">
        <f ca="1">IF(C12=0,0,D12/C12)</f>
        <v>1.0250226490540093</v>
      </c>
    </row>
    <row r="13" spans="1:5" ht="14.4" customHeight="1" thickBot="1" x14ac:dyDescent="0.35">
      <c r="A13" s="147"/>
      <c r="B13" s="148"/>
      <c r="C13" s="149"/>
      <c r="D13" s="149"/>
      <c r="E13" s="150"/>
    </row>
    <row r="14" spans="1:5" ht="14.4" customHeight="1" thickBot="1" x14ac:dyDescent="0.35">
      <c r="A14" s="151" t="str">
        <f>HYPERLINK("#HI!A1","VÝNOSY CELKEM (v tisících)")</f>
        <v>VÝNOSY CELKEM (v tisících)</v>
      </c>
      <c r="B14" s="152"/>
      <c r="C14" s="153">
        <f ca="1">IF(ISERROR(VLOOKUP("Výnosy celkem",INDIRECT("HI!$A:$G"),6,0)),0,VLOOKUP("Výnosy celkem",INDIRECT("HI!$A:$G"),6,0))</f>
        <v>0.32700000000000001</v>
      </c>
      <c r="D14" s="153">
        <f ca="1">IF(ISERROR(VLOOKUP("Výnosy celkem",INDIRECT("HI!$A:$G"),5,0)),0,VLOOKUP("Výnosy celkem",INDIRECT("HI!$A:$G"),5,0))</f>
        <v>0</v>
      </c>
      <c r="E14" s="154">
        <f t="shared" ref="E14:E17" ca="1" si="1">IF(C14=0,0,D14/C14)</f>
        <v>0</v>
      </c>
    </row>
    <row r="15" spans="1:5" ht="14.4" customHeight="1" x14ac:dyDescent="0.3">
      <c r="A15" s="155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0.32700000000000001</v>
      </c>
      <c r="D15" s="134">
        <f ca="1">IF(ISERROR(VLOOKUP("Ambulance *",INDIRECT("HI!$A:$G"),5,0)),0,VLOOKUP("Ambulance *",INDIRECT("HI!$A:$G"),5,0))</f>
        <v>0</v>
      </c>
      <c r="E15" s="135">
        <f t="shared" ca="1" si="1"/>
        <v>0</v>
      </c>
    </row>
    <row r="16" spans="1:5" ht="14.4" customHeight="1" x14ac:dyDescent="0.3">
      <c r="A16" s="156" t="str">
        <f>HYPERLINK("#'ZV Vykáz.-A'!A1","Zdravotní výkony vykázané u ambulantních pacientů (min. 100 %)")</f>
        <v>Zdravotní výkony vykázané u ambulantních pacientů (min. 100 %)</v>
      </c>
      <c r="B16" s="120" t="s">
        <v>93</v>
      </c>
      <c r="C16" s="139">
        <v>1</v>
      </c>
      <c r="D16" s="139">
        <f>IF(ISERROR(VLOOKUP("Celkem:",'ZV Vykáz.-A'!$A:$S,7,0)),"",VLOOKUP("Celkem:",'ZV Vykáz.-A'!$A:$S,7,0))</f>
        <v>0</v>
      </c>
      <c r="E16" s="135">
        <f t="shared" si="1"/>
        <v>0</v>
      </c>
    </row>
    <row r="17" spans="1:5" ht="14.4" customHeight="1" x14ac:dyDescent="0.3">
      <c r="A17" s="156" t="str">
        <f>HYPERLINK("#'ZV Vykáz.-H'!A1","Zdravotní výkony vykázané u hospitalizovaných pacientů (max. 85 %)")</f>
        <v>Zdravotní výkony vykázané u hospitalizovaných pacientů (max. 85 %)</v>
      </c>
      <c r="B17" s="120" t="s">
        <v>95</v>
      </c>
      <c r="C17" s="139">
        <v>0.85</v>
      </c>
      <c r="D17" s="139">
        <f>IF(ISERROR(VLOOKUP("Celkem:",'ZV Vykáz.-H'!$A:$S,7,0)),"",VLOOKUP("Celkem:",'ZV Vykáz.-H'!$A:$S,7,0))</f>
        <v>0.66011188337006277</v>
      </c>
      <c r="E17" s="135">
        <f t="shared" si="1"/>
        <v>0.77660221572948562</v>
      </c>
    </row>
    <row r="18" spans="1:5" ht="14.4" customHeight="1" x14ac:dyDescent="0.3">
      <c r="A18" s="157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8" t="s">
        <v>106</v>
      </c>
      <c r="B19" s="144"/>
      <c r="C19" s="145"/>
      <c r="D19" s="145"/>
      <c r="E19" s="146"/>
    </row>
    <row r="20" spans="1:5" ht="14.4" customHeight="1" thickBot="1" x14ac:dyDescent="0.35">
      <c r="A20" s="159"/>
      <c r="B20" s="160"/>
      <c r="C20" s="161"/>
      <c r="D20" s="161"/>
      <c r="E20" s="162"/>
    </row>
    <row r="21" spans="1:5" ht="14.4" customHeight="1" thickBot="1" x14ac:dyDescent="0.35">
      <c r="A21" s="163" t="s">
        <v>107</v>
      </c>
      <c r="B21" s="164"/>
      <c r="C21" s="165"/>
      <c r="D21" s="165"/>
      <c r="E21" s="166"/>
    </row>
  </sheetData>
  <mergeCells count="1">
    <mergeCell ref="A1:E1"/>
  </mergeCells>
  <conditionalFormatting sqref="E5">
    <cfRule type="cellIs" dxfId="1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1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1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12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11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51" t="s">
        <v>100</v>
      </c>
      <c r="B1" s="251"/>
      <c r="C1" s="251"/>
      <c r="D1" s="251"/>
      <c r="E1" s="251"/>
      <c r="F1" s="251"/>
      <c r="G1" s="252"/>
      <c r="H1" s="252"/>
    </row>
    <row r="2" spans="1:8" ht="14.4" customHeight="1" thickBot="1" x14ac:dyDescent="0.35">
      <c r="A2" s="191" t="s">
        <v>184</v>
      </c>
      <c r="B2" s="83"/>
      <c r="C2" s="83"/>
      <c r="D2" s="83"/>
      <c r="E2" s="83"/>
      <c r="F2" s="83"/>
    </row>
    <row r="3" spans="1:8" ht="14.4" customHeight="1" x14ac:dyDescent="0.3">
      <c r="A3" s="253"/>
      <c r="B3" s="79">
        <v>2014</v>
      </c>
      <c r="C3" s="40">
        <v>2015</v>
      </c>
      <c r="D3" s="7"/>
      <c r="E3" s="257">
        <v>2016</v>
      </c>
      <c r="F3" s="258"/>
      <c r="G3" s="258"/>
      <c r="H3" s="259"/>
    </row>
    <row r="4" spans="1:8" ht="14.4" customHeight="1" thickBot="1" x14ac:dyDescent="0.35">
      <c r="A4" s="254"/>
      <c r="B4" s="255" t="s">
        <v>49</v>
      </c>
      <c r="C4" s="256"/>
      <c r="D4" s="7"/>
      <c r="E4" s="100" t="s">
        <v>49</v>
      </c>
      <c r="F4" s="81" t="s">
        <v>50</v>
      </c>
      <c r="G4" s="81" t="s">
        <v>44</v>
      </c>
      <c r="H4" s="82" t="s">
        <v>51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1207.0729600000011</v>
      </c>
      <c r="C7" s="31">
        <v>1353.3952199999999</v>
      </c>
      <c r="D7" s="8"/>
      <c r="E7" s="90">
        <v>1508.61626</v>
      </c>
      <c r="F7" s="30">
        <v>1471.7882198918219</v>
      </c>
      <c r="G7" s="91">
        <f>E7-F7</f>
        <v>36.828040108178129</v>
      </c>
      <c r="H7" s="95">
        <f>IF(F7&lt;0.00000001,"",E7/F7)</f>
        <v>1.0250226490540093</v>
      </c>
    </row>
    <row r="8" spans="1:8" ht="14.4" customHeight="1" thickBot="1" x14ac:dyDescent="0.35">
      <c r="A8" s="1" t="s">
        <v>52</v>
      </c>
      <c r="B8" s="11">
        <v>4.8662699999999859</v>
      </c>
      <c r="C8" s="33">
        <v>3.7583599999998114</v>
      </c>
      <c r="D8" s="8"/>
      <c r="E8" s="92">
        <v>4.931329999999889</v>
      </c>
      <c r="F8" s="32">
        <v>4.0355520280415931</v>
      </c>
      <c r="G8" s="93">
        <f>E8-F8</f>
        <v>0.89577797195829589</v>
      </c>
      <c r="H8" s="96">
        <f>IF(F8&lt;0.00000001,"",E8/F8)</f>
        <v>1.221971607783485</v>
      </c>
    </row>
    <row r="9" spans="1:8" ht="14.4" customHeight="1" thickBot="1" x14ac:dyDescent="0.35">
      <c r="A9" s="2" t="s">
        <v>53</v>
      </c>
      <c r="B9" s="3">
        <v>1211.9392300000011</v>
      </c>
      <c r="C9" s="35">
        <v>1357.1535799999997</v>
      </c>
      <c r="D9" s="8"/>
      <c r="E9" s="3">
        <v>1513.5475899999999</v>
      </c>
      <c r="F9" s="34">
        <v>1475.8237719198635</v>
      </c>
      <c r="G9" s="34">
        <f>E9-F9</f>
        <v>37.723818080136425</v>
      </c>
      <c r="H9" s="97">
        <f>IF(F9&lt;0.00000001,"",E9/F9)</f>
        <v>1.02556119422786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0.32700000000000001</v>
      </c>
      <c r="C11" s="29">
        <f>IF(ISERROR(VLOOKUP("Celkem:",'ZV Vykáz.-A'!A:F,4,0)),0,VLOOKUP("Celkem:",'ZV Vykáz.-A'!A:F,4,0)/1000)</f>
        <v>0</v>
      </c>
      <c r="D11" s="8"/>
      <c r="E11" s="89">
        <f>IF(ISERROR(VLOOKUP("Celkem:",'ZV Vykáz.-A'!A:F,6,0)),0,VLOOKUP("Celkem:",'ZV Vykáz.-A'!A:F,6,0)/1000)</f>
        <v>0</v>
      </c>
      <c r="F11" s="28">
        <f>B11</f>
        <v>0.32700000000000001</v>
      </c>
      <c r="G11" s="88">
        <f>E11-F11</f>
        <v>-0.32700000000000001</v>
      </c>
      <c r="H11" s="94">
        <f>IF(F11&lt;0.00000001,"",E11/F11)</f>
        <v>0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0.32700000000000001</v>
      </c>
      <c r="C13" s="37">
        <f>SUM(C11:C12)</f>
        <v>0</v>
      </c>
      <c r="D13" s="8"/>
      <c r="E13" s="5">
        <f>SUM(E11:E12)</f>
        <v>0</v>
      </c>
      <c r="F13" s="36">
        <f>SUM(F11:F12)</f>
        <v>0.32700000000000001</v>
      </c>
      <c r="G13" s="36">
        <f>E13-F13</f>
        <v>-0.32700000000000001</v>
      </c>
      <c r="H13" s="98">
        <f>IF(F13&lt;0.00000001,"",E13/F13)</f>
        <v>0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2.6981550881887019E-4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2.2157117009615154E-4</v>
      </c>
      <c r="G15" s="38">
        <f>IF(ISERROR(F15-E15),"",E15-F15)</f>
        <v>-2.2157117009615154E-4</v>
      </c>
      <c r="H15" s="99">
        <f>IF(ISERROR(F15-E15),"",IF(F15&lt;0.00000001,"",E15/F15))</f>
        <v>0</v>
      </c>
    </row>
    <row r="17" spans="1:8" ht="14.4" customHeight="1" x14ac:dyDescent="0.3">
      <c r="A17" s="85" t="s">
        <v>110</v>
      </c>
    </row>
    <row r="18" spans="1:8" ht="14.4" customHeight="1" x14ac:dyDescent="0.3">
      <c r="A18" s="232" t="s">
        <v>141</v>
      </c>
      <c r="B18" s="233"/>
      <c r="C18" s="233"/>
      <c r="D18" s="233"/>
      <c r="E18" s="233"/>
      <c r="F18" s="233"/>
      <c r="G18" s="233"/>
      <c r="H18" s="233"/>
    </row>
    <row r="19" spans="1:8" x14ac:dyDescent="0.3">
      <c r="A19" s="231" t="s">
        <v>140</v>
      </c>
      <c r="B19" s="233"/>
      <c r="C19" s="233"/>
      <c r="D19" s="233"/>
      <c r="E19" s="233"/>
      <c r="F19" s="233"/>
      <c r="G19" s="233"/>
      <c r="H19" s="233"/>
    </row>
    <row r="20" spans="1:8" ht="14.4" customHeight="1" x14ac:dyDescent="0.3">
      <c r="A20" s="86" t="s">
        <v>153</v>
      </c>
    </row>
    <row r="21" spans="1:8" ht="14.4" customHeight="1" x14ac:dyDescent="0.3">
      <c r="A21" s="86" t="s">
        <v>111</v>
      </c>
    </row>
    <row r="22" spans="1:8" ht="14.4" customHeight="1" x14ac:dyDescent="0.3">
      <c r="A22" s="87" t="s">
        <v>183</v>
      </c>
    </row>
    <row r="23" spans="1:8" ht="14.4" customHeight="1" x14ac:dyDescent="0.3">
      <c r="A23" s="87" t="s">
        <v>112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0" priority="4" operator="greaterThan">
      <formula>0</formula>
    </cfRule>
  </conditionalFormatting>
  <conditionalFormatting sqref="G11:G13 G15">
    <cfRule type="cellIs" dxfId="9" priority="3" operator="lessThan">
      <formula>0</formula>
    </cfRule>
  </conditionalFormatting>
  <conditionalFormatting sqref="H5:H9">
    <cfRule type="cellIs" dxfId="8" priority="2" operator="greaterThan">
      <formula>1</formula>
    </cfRule>
  </conditionalFormatting>
  <conditionalFormatting sqref="H11:H13 H15">
    <cfRule type="cellIs" dxfId="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51" t="s">
        <v>80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ht="14.4" customHeight="1" x14ac:dyDescent="0.3">
      <c r="A2" s="191" t="s">
        <v>184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7"/>
      <c r="B3" s="168" t="s">
        <v>58</v>
      </c>
      <c r="C3" s="169" t="s">
        <v>59</v>
      </c>
      <c r="D3" s="169" t="s">
        <v>60</v>
      </c>
      <c r="E3" s="168" t="s">
        <v>61</v>
      </c>
      <c r="F3" s="169" t="s">
        <v>62</v>
      </c>
      <c r="G3" s="169" t="s">
        <v>63</v>
      </c>
      <c r="H3" s="169" t="s">
        <v>64</v>
      </c>
      <c r="I3" s="169" t="s">
        <v>65</v>
      </c>
      <c r="J3" s="169" t="s">
        <v>66</v>
      </c>
      <c r="K3" s="169" t="s">
        <v>67</v>
      </c>
      <c r="L3" s="169" t="s">
        <v>68</v>
      </c>
      <c r="M3" s="169" t="s">
        <v>69</v>
      </c>
    </row>
    <row r="4" spans="1:13" ht="14.4" customHeight="1" x14ac:dyDescent="0.3">
      <c r="A4" s="167" t="s">
        <v>57</v>
      </c>
      <c r="B4" s="170">
        <f>(B10+B8)/B6</f>
        <v>0</v>
      </c>
      <c r="C4" s="170">
        <f t="shared" ref="C4:M4" si="0">(C10+C8)/C6</f>
        <v>0</v>
      </c>
      <c r="D4" s="170">
        <f t="shared" si="0"/>
        <v>0</v>
      </c>
      <c r="E4" s="170">
        <f t="shared" si="0"/>
        <v>0</v>
      </c>
      <c r="F4" s="170">
        <f t="shared" si="0"/>
        <v>0</v>
      </c>
      <c r="G4" s="170">
        <f t="shared" si="0"/>
        <v>0</v>
      </c>
      <c r="H4" s="170">
        <f t="shared" si="0"/>
        <v>0</v>
      </c>
      <c r="I4" s="170">
        <f t="shared" si="0"/>
        <v>0</v>
      </c>
      <c r="J4" s="170">
        <f t="shared" si="0"/>
        <v>0</v>
      </c>
      <c r="K4" s="170">
        <f t="shared" si="0"/>
        <v>0</v>
      </c>
      <c r="L4" s="170">
        <f t="shared" si="0"/>
        <v>0</v>
      </c>
      <c r="M4" s="170">
        <f t="shared" si="0"/>
        <v>0</v>
      </c>
    </row>
    <row r="5" spans="1:13" ht="14.4" customHeight="1" x14ac:dyDescent="0.3">
      <c r="A5" s="171" t="s">
        <v>29</v>
      </c>
      <c r="B5" s="170">
        <f>IF(ISERROR(VLOOKUP($A5,'Man Tab'!$A:$Q,COLUMN()+2,0)),0,VLOOKUP($A5,'Man Tab'!$A:$Q,COLUMN()+2,0))</f>
        <v>129.31088</v>
      </c>
      <c r="C5" s="170">
        <f>IF(ISERROR(VLOOKUP($A5,'Man Tab'!$A:$Q,COLUMN()+2,0)),0,VLOOKUP($A5,'Man Tab'!$A:$Q,COLUMN()+2,0))</f>
        <v>129.69202999999999</v>
      </c>
      <c r="D5" s="170">
        <f>IF(ISERROR(VLOOKUP($A5,'Man Tab'!$A:$Q,COLUMN()+2,0)),0,VLOOKUP($A5,'Man Tab'!$A:$Q,COLUMN()+2,0))</f>
        <v>134.30172999999999</v>
      </c>
      <c r="E5" s="170">
        <f>IF(ISERROR(VLOOKUP($A5,'Man Tab'!$A:$Q,COLUMN()+2,0)),0,VLOOKUP($A5,'Man Tab'!$A:$Q,COLUMN()+2,0))</f>
        <v>133.11891</v>
      </c>
      <c r="F5" s="170">
        <f>IF(ISERROR(VLOOKUP($A5,'Man Tab'!$A:$Q,COLUMN()+2,0)),0,VLOOKUP($A5,'Man Tab'!$A:$Q,COLUMN()+2,0))</f>
        <v>145.74157</v>
      </c>
      <c r="G5" s="170">
        <f>IF(ISERROR(VLOOKUP($A5,'Man Tab'!$A:$Q,COLUMN()+2,0)),0,VLOOKUP($A5,'Man Tab'!$A:$Q,COLUMN()+2,0))</f>
        <v>156.46538000000001</v>
      </c>
      <c r="H5" s="170">
        <f>IF(ISERROR(VLOOKUP($A5,'Man Tab'!$A:$Q,COLUMN()+2,0)),0,VLOOKUP($A5,'Man Tab'!$A:$Q,COLUMN()+2,0))</f>
        <v>267.85527999999999</v>
      </c>
      <c r="I5" s="170">
        <f>IF(ISERROR(VLOOKUP($A5,'Man Tab'!$A:$Q,COLUMN()+2,0)),0,VLOOKUP($A5,'Man Tab'!$A:$Q,COLUMN()+2,0))</f>
        <v>160.92803000000001</v>
      </c>
      <c r="J5" s="170">
        <f>IF(ISERROR(VLOOKUP($A5,'Man Tab'!$A:$Q,COLUMN()+2,0)),0,VLOOKUP($A5,'Man Tab'!$A:$Q,COLUMN()+2,0))</f>
        <v>130.10534999999999</v>
      </c>
      <c r="K5" s="170">
        <f>IF(ISERROR(VLOOKUP($A5,'Man Tab'!$A:$Q,COLUMN()+2,0)),0,VLOOKUP($A5,'Man Tab'!$A:$Q,COLUMN()+2,0))</f>
        <v>126.02843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53</v>
      </c>
      <c r="B6" s="172">
        <f>B5</f>
        <v>129.31088</v>
      </c>
      <c r="C6" s="172">
        <f t="shared" ref="C6:M6" si="1">C5+B6</f>
        <v>259.00290999999999</v>
      </c>
      <c r="D6" s="172">
        <f t="shared" si="1"/>
        <v>393.30463999999995</v>
      </c>
      <c r="E6" s="172">
        <f t="shared" si="1"/>
        <v>526.42354999999998</v>
      </c>
      <c r="F6" s="172">
        <f t="shared" si="1"/>
        <v>672.16512</v>
      </c>
      <c r="G6" s="172">
        <f t="shared" si="1"/>
        <v>828.63049999999998</v>
      </c>
      <c r="H6" s="172">
        <f t="shared" si="1"/>
        <v>1096.48578</v>
      </c>
      <c r="I6" s="172">
        <f t="shared" si="1"/>
        <v>1257.41381</v>
      </c>
      <c r="J6" s="172">
        <f t="shared" si="1"/>
        <v>1387.5191600000001</v>
      </c>
      <c r="K6" s="172">
        <f t="shared" si="1"/>
        <v>1513.5475900000001</v>
      </c>
      <c r="L6" s="172">
        <f t="shared" si="1"/>
        <v>1513.5475900000001</v>
      </c>
      <c r="M6" s="172">
        <f t="shared" si="1"/>
        <v>1513.5475900000001</v>
      </c>
    </row>
    <row r="7" spans="1:13" ht="14.4" customHeight="1" x14ac:dyDescent="0.3">
      <c r="A7" s="171" t="s">
        <v>78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54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79</v>
      </c>
      <c r="B9" s="171"/>
      <c r="C9" s="171">
        <v>0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55</v>
      </c>
      <c r="B10" s="172">
        <f>B9/1000</f>
        <v>0</v>
      </c>
      <c r="C10" s="172">
        <f t="shared" ref="C10:M10" si="3">C9/1000+B10</f>
        <v>0</v>
      </c>
      <c r="D10" s="172">
        <f t="shared" si="3"/>
        <v>0</v>
      </c>
      <c r="E10" s="172">
        <f t="shared" si="3"/>
        <v>0</v>
      </c>
      <c r="F10" s="172">
        <f t="shared" si="3"/>
        <v>0</v>
      </c>
      <c r="G10" s="172">
        <f t="shared" si="3"/>
        <v>0</v>
      </c>
      <c r="H10" s="172">
        <f t="shared" si="3"/>
        <v>0</v>
      </c>
      <c r="I10" s="172">
        <f t="shared" si="3"/>
        <v>0</v>
      </c>
      <c r="J10" s="172">
        <f t="shared" si="3"/>
        <v>0</v>
      </c>
      <c r="K10" s="172">
        <f t="shared" si="3"/>
        <v>0</v>
      </c>
      <c r="L10" s="172">
        <f t="shared" si="3"/>
        <v>0</v>
      </c>
      <c r="M10" s="172">
        <f t="shared" si="3"/>
        <v>0</v>
      </c>
    </row>
    <row r="11" spans="1:13" ht="14.4" customHeight="1" x14ac:dyDescent="0.3">
      <c r="A11" s="167"/>
      <c r="B11" s="167" t="s">
        <v>70</v>
      </c>
      <c r="C11" s="167">
        <f ca="1">IF(MONTH(TODAY())=1,12,MONTH(TODAY())-1)</f>
        <v>10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2.2157117009615154E-4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2.2157117009615154E-4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3" customFormat="1" ht="18.600000000000001" customHeight="1" thickBot="1" x14ac:dyDescent="0.4">
      <c r="A1" s="260" t="s">
        <v>186</v>
      </c>
      <c r="B1" s="260"/>
      <c r="C1" s="260"/>
      <c r="D1" s="260"/>
      <c r="E1" s="260"/>
      <c r="F1" s="260"/>
      <c r="G1" s="260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s="173" customFormat="1" ht="14.4" customHeight="1" thickBot="1" x14ac:dyDescent="0.3">
      <c r="A2" s="191" t="s">
        <v>184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61" t="s">
        <v>5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110"/>
      <c r="Q3" s="112"/>
    </row>
    <row r="4" spans="1:17" ht="14.4" customHeight="1" x14ac:dyDescent="0.3">
      <c r="A4" s="60"/>
      <c r="B4" s="20">
        <v>2016</v>
      </c>
      <c r="C4" s="111" t="s">
        <v>6</v>
      </c>
      <c r="D4" s="101" t="s">
        <v>163</v>
      </c>
      <c r="E4" s="101" t="s">
        <v>164</v>
      </c>
      <c r="F4" s="101" t="s">
        <v>165</v>
      </c>
      <c r="G4" s="101" t="s">
        <v>166</v>
      </c>
      <c r="H4" s="101" t="s">
        <v>167</v>
      </c>
      <c r="I4" s="101" t="s">
        <v>168</v>
      </c>
      <c r="J4" s="101" t="s">
        <v>169</v>
      </c>
      <c r="K4" s="101" t="s">
        <v>170</v>
      </c>
      <c r="L4" s="101" t="s">
        <v>171</v>
      </c>
      <c r="M4" s="101" t="s">
        <v>172</v>
      </c>
      <c r="N4" s="101" t="s">
        <v>173</v>
      </c>
      <c r="O4" s="101" t="s">
        <v>174</v>
      </c>
      <c r="P4" s="263" t="s">
        <v>2</v>
      </c>
      <c r="Q4" s="264"/>
    </row>
    <row r="5" spans="1:17" ht="14.4" customHeight="1" thickBot="1" x14ac:dyDescent="0.3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185</v>
      </c>
    </row>
    <row r="7" spans="1:17" ht="14.4" customHeight="1" x14ac:dyDescent="0.3">
      <c r="A7" s="15" t="s">
        <v>11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185</v>
      </c>
    </row>
    <row r="8" spans="1:17" ht="14.4" customHeight="1" x14ac:dyDescent="0.3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185</v>
      </c>
    </row>
    <row r="9" spans="1:17" ht="14.4" customHeight="1" x14ac:dyDescent="0.3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185</v>
      </c>
    </row>
    <row r="10" spans="1:17" ht="14.4" customHeight="1" x14ac:dyDescent="0.3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185</v>
      </c>
    </row>
    <row r="11" spans="1:17" ht="14.4" customHeight="1" x14ac:dyDescent="0.3">
      <c r="A11" s="15" t="s">
        <v>15</v>
      </c>
      <c r="B11" s="46">
        <v>4.8075692549740001</v>
      </c>
      <c r="C11" s="47">
        <v>0.40063077124699997</v>
      </c>
      <c r="D11" s="47">
        <v>0</v>
      </c>
      <c r="E11" s="47">
        <v>0.41699999999999998</v>
      </c>
      <c r="F11" s="47">
        <v>0.30070000000000002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0.14962</v>
      </c>
      <c r="M11" s="47">
        <v>7.0180000000000006E-2</v>
      </c>
      <c r="N11" s="47">
        <v>0</v>
      </c>
      <c r="O11" s="47">
        <v>0</v>
      </c>
      <c r="P11" s="48">
        <v>0.9375</v>
      </c>
      <c r="Q11" s="70">
        <v>0.234005989375</v>
      </c>
    </row>
    <row r="12" spans="1:17" ht="14.4" customHeight="1" x14ac:dyDescent="0.3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185</v>
      </c>
    </row>
    <row r="13" spans="1:17" ht="14.4" customHeight="1" x14ac:dyDescent="0.3">
      <c r="A13" s="15" t="s">
        <v>17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 t="s">
        <v>185</v>
      </c>
    </row>
    <row r="14" spans="1:17" ht="14.4" customHeight="1" x14ac:dyDescent="0.3">
      <c r="A14" s="15" t="s">
        <v>18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0" t="s">
        <v>185</v>
      </c>
    </row>
    <row r="15" spans="1:17" ht="14.4" customHeight="1" x14ac:dyDescent="0.3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185</v>
      </c>
    </row>
    <row r="16" spans="1:17" ht="14.4" customHeight="1" x14ac:dyDescent="0.3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185</v>
      </c>
    </row>
    <row r="17" spans="1:17" ht="14.4" customHeight="1" x14ac:dyDescent="0.3">
      <c r="A17" s="15" t="s">
        <v>21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 t="s">
        <v>185</v>
      </c>
    </row>
    <row r="18" spans="1:17" ht="14.4" customHeight="1" x14ac:dyDescent="0.3">
      <c r="A18" s="15" t="s">
        <v>22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185</v>
      </c>
    </row>
    <row r="19" spans="1:17" ht="14.4" customHeight="1" x14ac:dyDescent="0.3">
      <c r="A19" s="15" t="s">
        <v>23</v>
      </c>
      <c r="B19" s="46">
        <v>3.5093178678999998E-2</v>
      </c>
      <c r="C19" s="47">
        <v>2.9244315559999999E-3</v>
      </c>
      <c r="D19" s="47">
        <v>-1.5949999999999999E-2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3.0699999999999998E-3</v>
      </c>
      <c r="K19" s="47">
        <v>7.6999999999999996E-4</v>
      </c>
      <c r="L19" s="47">
        <v>7.6999999999999996E-4</v>
      </c>
      <c r="M19" s="47">
        <v>5.1700000000000001E-3</v>
      </c>
      <c r="N19" s="47">
        <v>0</v>
      </c>
      <c r="O19" s="47">
        <v>0</v>
      </c>
      <c r="P19" s="48">
        <v>-6.1700000000000001E-3</v>
      </c>
      <c r="Q19" s="70">
        <v>-0.210981172937</v>
      </c>
    </row>
    <row r="20" spans="1:17" ht="14.4" customHeight="1" x14ac:dyDescent="0.3">
      <c r="A20" s="15" t="s">
        <v>24</v>
      </c>
      <c r="B20" s="46">
        <v>1766.1458638701799</v>
      </c>
      <c r="C20" s="47">
        <v>147.17882198918201</v>
      </c>
      <c r="D20" s="47">
        <v>129.32683</v>
      </c>
      <c r="E20" s="47">
        <v>129.27502999999999</v>
      </c>
      <c r="F20" s="47">
        <v>134.00102999999999</v>
      </c>
      <c r="G20" s="47">
        <v>133.11891</v>
      </c>
      <c r="H20" s="47">
        <v>145.74157</v>
      </c>
      <c r="I20" s="47">
        <v>156.46538000000001</v>
      </c>
      <c r="J20" s="47">
        <v>267.85221000000001</v>
      </c>
      <c r="K20" s="47">
        <v>160.92725999999999</v>
      </c>
      <c r="L20" s="47">
        <v>125.95496</v>
      </c>
      <c r="M20" s="47">
        <v>125.95308</v>
      </c>
      <c r="N20" s="47">
        <v>0</v>
      </c>
      <c r="O20" s="47">
        <v>0</v>
      </c>
      <c r="P20" s="48">
        <v>1508.61626</v>
      </c>
      <c r="Q20" s="70">
        <v>1.025022649054</v>
      </c>
    </row>
    <row r="21" spans="1:17" ht="14.4" customHeight="1" x14ac:dyDescent="0.3">
      <c r="A21" s="16" t="s">
        <v>25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0" t="s">
        <v>185</v>
      </c>
    </row>
    <row r="22" spans="1:17" ht="14.4" customHeight="1" x14ac:dyDescent="0.3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185</v>
      </c>
    </row>
    <row r="23" spans="1:17" ht="14.4" customHeight="1" x14ac:dyDescent="0.3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185</v>
      </c>
    </row>
    <row r="24" spans="1:17" ht="14.4" customHeight="1" x14ac:dyDescent="0.3">
      <c r="A24" s="16" t="s">
        <v>28</v>
      </c>
      <c r="B24" s="46">
        <v>0</v>
      </c>
      <c r="C24" s="47">
        <v>-2.8421709430404001E-14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2.8421709430404001E-14</v>
      </c>
      <c r="L24" s="47">
        <v>3.9999999999989999</v>
      </c>
      <c r="M24" s="47">
        <v>1.4210854715202001E-14</v>
      </c>
      <c r="N24" s="47">
        <v>0</v>
      </c>
      <c r="O24" s="47">
        <v>0</v>
      </c>
      <c r="P24" s="48">
        <v>4</v>
      </c>
      <c r="Q24" s="70"/>
    </row>
    <row r="25" spans="1:17" ht="14.4" customHeight="1" x14ac:dyDescent="0.3">
      <c r="A25" s="17" t="s">
        <v>29</v>
      </c>
      <c r="B25" s="49">
        <v>1770.98852630384</v>
      </c>
      <c r="C25" s="50">
        <v>147.58237719198601</v>
      </c>
      <c r="D25" s="50">
        <v>129.31088</v>
      </c>
      <c r="E25" s="50">
        <v>129.69202999999999</v>
      </c>
      <c r="F25" s="50">
        <v>134.30172999999999</v>
      </c>
      <c r="G25" s="50">
        <v>133.11891</v>
      </c>
      <c r="H25" s="50">
        <v>145.74157</v>
      </c>
      <c r="I25" s="50">
        <v>156.46538000000001</v>
      </c>
      <c r="J25" s="50">
        <v>267.85527999999999</v>
      </c>
      <c r="K25" s="50">
        <v>160.92803000000001</v>
      </c>
      <c r="L25" s="50">
        <v>130.10534999999999</v>
      </c>
      <c r="M25" s="50">
        <v>126.02843</v>
      </c>
      <c r="N25" s="50">
        <v>0</v>
      </c>
      <c r="O25" s="50">
        <v>0</v>
      </c>
      <c r="P25" s="51">
        <v>1513.5475899999999</v>
      </c>
      <c r="Q25" s="71">
        <v>1.025561194227</v>
      </c>
    </row>
    <row r="26" spans="1:17" ht="14.4" customHeight="1" x14ac:dyDescent="0.3">
      <c r="A26" s="15" t="s">
        <v>30</v>
      </c>
      <c r="B26" s="46">
        <v>296.33458124706999</v>
      </c>
      <c r="C26" s="47">
        <v>24.694548437255001</v>
      </c>
      <c r="D26" s="47">
        <v>21.403030000000001</v>
      </c>
      <c r="E26" s="47">
        <v>20.362179999999999</v>
      </c>
      <c r="F26" s="47">
        <v>21.190200000000001</v>
      </c>
      <c r="G26" s="47">
        <v>21.219740000000002</v>
      </c>
      <c r="H26" s="47">
        <v>20.708220000000001</v>
      </c>
      <c r="I26" s="47">
        <v>36.730890000000002</v>
      </c>
      <c r="J26" s="47">
        <v>30.922460000000001</v>
      </c>
      <c r="K26" s="47">
        <v>26.39603</v>
      </c>
      <c r="L26" s="47">
        <v>23.034669999999998</v>
      </c>
      <c r="M26" s="47">
        <v>20.312709999999999</v>
      </c>
      <c r="N26" s="47">
        <v>0</v>
      </c>
      <c r="O26" s="47">
        <v>0</v>
      </c>
      <c r="P26" s="48">
        <v>242.28013000000001</v>
      </c>
      <c r="Q26" s="70">
        <v>0.98110775588999999</v>
      </c>
    </row>
    <row r="27" spans="1:17" ht="14.4" customHeight="1" x14ac:dyDescent="0.3">
      <c r="A27" s="18" t="s">
        <v>31</v>
      </c>
      <c r="B27" s="49">
        <v>2067.3231075509102</v>
      </c>
      <c r="C27" s="50">
        <v>172.27692562924199</v>
      </c>
      <c r="D27" s="50">
        <v>150.71391</v>
      </c>
      <c r="E27" s="50">
        <v>150.05421000000001</v>
      </c>
      <c r="F27" s="50">
        <v>155.49193</v>
      </c>
      <c r="G27" s="50">
        <v>154.33865</v>
      </c>
      <c r="H27" s="50">
        <v>166.44979000000001</v>
      </c>
      <c r="I27" s="50">
        <v>193.19627</v>
      </c>
      <c r="J27" s="50">
        <v>298.77773999999999</v>
      </c>
      <c r="K27" s="50">
        <v>187.32406</v>
      </c>
      <c r="L27" s="50">
        <v>153.14001999999999</v>
      </c>
      <c r="M27" s="50">
        <v>146.34114</v>
      </c>
      <c r="N27" s="50">
        <v>0</v>
      </c>
      <c r="O27" s="50">
        <v>0</v>
      </c>
      <c r="P27" s="51">
        <v>1755.82772</v>
      </c>
      <c r="Q27" s="71">
        <v>1.0191891418920001</v>
      </c>
    </row>
    <row r="28" spans="1:17" ht="14.4" customHeight="1" x14ac:dyDescent="0.3">
      <c r="A28" s="16" t="s">
        <v>32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185</v>
      </c>
    </row>
    <row r="30" spans="1:17" ht="14.4" customHeight="1" x14ac:dyDescent="0.3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185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110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175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36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60" t="s">
        <v>37</v>
      </c>
      <c r="B1" s="260"/>
      <c r="C1" s="260"/>
      <c r="D1" s="260"/>
      <c r="E1" s="260"/>
      <c r="F1" s="260"/>
      <c r="G1" s="260"/>
      <c r="H1" s="265"/>
      <c r="I1" s="265"/>
      <c r="J1" s="265"/>
      <c r="K1" s="265"/>
    </row>
    <row r="2" spans="1:11" s="55" customFormat="1" ht="14.4" customHeight="1" thickBot="1" x14ac:dyDescent="0.35">
      <c r="A2" s="191" t="s">
        <v>184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61" t="s">
        <v>38</v>
      </c>
      <c r="C3" s="262"/>
      <c r="D3" s="262"/>
      <c r="E3" s="262"/>
      <c r="F3" s="268" t="s">
        <v>39</v>
      </c>
      <c r="G3" s="262"/>
      <c r="H3" s="262"/>
      <c r="I3" s="262"/>
      <c r="J3" s="262"/>
      <c r="K3" s="269"/>
    </row>
    <row r="4" spans="1:11" ht="14.4" customHeight="1" x14ac:dyDescent="0.3">
      <c r="A4" s="60"/>
      <c r="B4" s="266"/>
      <c r="C4" s="267"/>
      <c r="D4" s="267"/>
      <c r="E4" s="267"/>
      <c r="F4" s="270" t="s">
        <v>180</v>
      </c>
      <c r="G4" s="272" t="s">
        <v>40</v>
      </c>
      <c r="H4" s="113" t="s">
        <v>102</v>
      </c>
      <c r="I4" s="270" t="s">
        <v>41</v>
      </c>
      <c r="J4" s="272" t="s">
        <v>156</v>
      </c>
      <c r="K4" s="273" t="s">
        <v>182</v>
      </c>
    </row>
    <row r="5" spans="1:11" ht="42" thickBot="1" x14ac:dyDescent="0.35">
      <c r="A5" s="61"/>
      <c r="B5" s="24" t="s">
        <v>176</v>
      </c>
      <c r="C5" s="25" t="s">
        <v>177</v>
      </c>
      <c r="D5" s="26" t="s">
        <v>178</v>
      </c>
      <c r="E5" s="26" t="s">
        <v>179</v>
      </c>
      <c r="F5" s="271"/>
      <c r="G5" s="271"/>
      <c r="H5" s="25" t="s">
        <v>181</v>
      </c>
      <c r="I5" s="271"/>
      <c r="J5" s="271"/>
      <c r="K5" s="274"/>
    </row>
    <row r="6" spans="1:11" ht="14.4" customHeight="1" thickBot="1" x14ac:dyDescent="0.35">
      <c r="A6" s="318" t="s">
        <v>187</v>
      </c>
      <c r="B6" s="300">
        <v>1697.85664223972</v>
      </c>
      <c r="C6" s="300">
        <v>1755.3616999999999</v>
      </c>
      <c r="D6" s="301">
        <v>57.505057760283002</v>
      </c>
      <c r="E6" s="302">
        <v>1.033869206816</v>
      </c>
      <c r="F6" s="300">
        <v>1770.98852630384</v>
      </c>
      <c r="G6" s="301">
        <v>1475.8237719198601</v>
      </c>
      <c r="H6" s="303">
        <v>126.02843</v>
      </c>
      <c r="I6" s="300">
        <v>1513.5475899999999</v>
      </c>
      <c r="J6" s="301">
        <v>37.723818080135999</v>
      </c>
      <c r="K6" s="304">
        <v>0.85463432852300003</v>
      </c>
    </row>
    <row r="7" spans="1:11" ht="14.4" customHeight="1" thickBot="1" x14ac:dyDescent="0.35">
      <c r="A7" s="319" t="s">
        <v>188</v>
      </c>
      <c r="B7" s="300">
        <v>4.3062894542860004</v>
      </c>
      <c r="C7" s="300">
        <v>3.9630899999999998</v>
      </c>
      <c r="D7" s="301">
        <v>-0.34319945428600002</v>
      </c>
      <c r="E7" s="302">
        <v>0.92030274371200005</v>
      </c>
      <c r="F7" s="300">
        <v>4.8075692549740001</v>
      </c>
      <c r="G7" s="301">
        <v>4.0063077124779998</v>
      </c>
      <c r="H7" s="303">
        <v>7.0180000000000006E-2</v>
      </c>
      <c r="I7" s="300">
        <v>0.9375</v>
      </c>
      <c r="J7" s="301">
        <v>-3.0688077124780002</v>
      </c>
      <c r="K7" s="304">
        <v>0.19500499114600001</v>
      </c>
    </row>
    <row r="8" spans="1:11" ht="14.4" customHeight="1" thickBot="1" x14ac:dyDescent="0.35">
      <c r="A8" s="320" t="s">
        <v>189</v>
      </c>
      <c r="B8" s="300">
        <v>4.3062894542860004</v>
      </c>
      <c r="C8" s="300">
        <v>3.9630899999999998</v>
      </c>
      <c r="D8" s="301">
        <v>-0.34319945428600002</v>
      </c>
      <c r="E8" s="302">
        <v>0.92030274371200005</v>
      </c>
      <c r="F8" s="300">
        <v>4.8075692549740001</v>
      </c>
      <c r="G8" s="301">
        <v>4.0063077124779998</v>
      </c>
      <c r="H8" s="303">
        <v>7.0180000000000006E-2</v>
      </c>
      <c r="I8" s="300">
        <v>0.9375</v>
      </c>
      <c r="J8" s="301">
        <v>-3.0688077124780002</v>
      </c>
      <c r="K8" s="304">
        <v>0.19500499114600001</v>
      </c>
    </row>
    <row r="9" spans="1:11" ht="14.4" customHeight="1" thickBot="1" x14ac:dyDescent="0.35">
      <c r="A9" s="321" t="s">
        <v>190</v>
      </c>
      <c r="B9" s="305">
        <v>4.3062894542860004</v>
      </c>
      <c r="C9" s="305">
        <v>2.4614600000000002</v>
      </c>
      <c r="D9" s="306">
        <v>-1.844829454286</v>
      </c>
      <c r="E9" s="307">
        <v>0.57159650463099998</v>
      </c>
      <c r="F9" s="305">
        <v>4.8075692549740001</v>
      </c>
      <c r="G9" s="306">
        <v>4.0063077124779998</v>
      </c>
      <c r="H9" s="308">
        <v>7.0180000000000006E-2</v>
      </c>
      <c r="I9" s="305">
        <v>0.9375</v>
      </c>
      <c r="J9" s="306">
        <v>-3.0688077124780002</v>
      </c>
      <c r="K9" s="309">
        <v>0.19500499114600001</v>
      </c>
    </row>
    <row r="10" spans="1:11" ht="14.4" customHeight="1" thickBot="1" x14ac:dyDescent="0.35">
      <c r="A10" s="322" t="s">
        <v>191</v>
      </c>
      <c r="B10" s="300">
        <v>0.31905168952099999</v>
      </c>
      <c r="C10" s="300">
        <v>0.84599999999999997</v>
      </c>
      <c r="D10" s="301">
        <v>0.52694831047799995</v>
      </c>
      <c r="E10" s="302">
        <v>2.651607961297</v>
      </c>
      <c r="F10" s="300">
        <v>0.78661042967600003</v>
      </c>
      <c r="G10" s="301">
        <v>0.65550869139599999</v>
      </c>
      <c r="H10" s="303">
        <v>0</v>
      </c>
      <c r="I10" s="300">
        <v>0</v>
      </c>
      <c r="J10" s="301">
        <v>-0.65550869139599999</v>
      </c>
      <c r="K10" s="304">
        <v>0</v>
      </c>
    </row>
    <row r="11" spans="1:11" ht="14.4" customHeight="1" thickBot="1" x14ac:dyDescent="0.35">
      <c r="A11" s="322" t="s">
        <v>192</v>
      </c>
      <c r="B11" s="300">
        <v>1</v>
      </c>
      <c r="C11" s="300">
        <v>0</v>
      </c>
      <c r="D11" s="301">
        <v>-1</v>
      </c>
      <c r="E11" s="302">
        <v>0</v>
      </c>
      <c r="F11" s="300">
        <v>0</v>
      </c>
      <c r="G11" s="301">
        <v>0</v>
      </c>
      <c r="H11" s="303">
        <v>0</v>
      </c>
      <c r="I11" s="300">
        <v>0</v>
      </c>
      <c r="J11" s="301">
        <v>0</v>
      </c>
      <c r="K11" s="304">
        <v>0</v>
      </c>
    </row>
    <row r="12" spans="1:11" ht="14.4" customHeight="1" thickBot="1" x14ac:dyDescent="0.35">
      <c r="A12" s="322" t="s">
        <v>193</v>
      </c>
      <c r="B12" s="300">
        <v>1</v>
      </c>
      <c r="C12" s="300">
        <v>0.48196</v>
      </c>
      <c r="D12" s="301">
        <v>-0.51803999999999994</v>
      </c>
      <c r="E12" s="302">
        <v>0.48196</v>
      </c>
      <c r="F12" s="300">
        <v>2.4606536317060002</v>
      </c>
      <c r="G12" s="301">
        <v>2.0505446930879998</v>
      </c>
      <c r="H12" s="303">
        <v>7.0180000000000006E-2</v>
      </c>
      <c r="I12" s="300">
        <v>0.52049999999999996</v>
      </c>
      <c r="J12" s="301">
        <v>-1.5300446930880001</v>
      </c>
      <c r="K12" s="304">
        <v>0.21152916172</v>
      </c>
    </row>
    <row r="13" spans="1:11" ht="14.4" customHeight="1" thickBot="1" x14ac:dyDescent="0.35">
      <c r="A13" s="322" t="s">
        <v>194</v>
      </c>
      <c r="B13" s="300">
        <v>0.98723776476500003</v>
      </c>
      <c r="C13" s="300">
        <v>0.90749999999999997</v>
      </c>
      <c r="D13" s="301">
        <v>-7.9737764764999997E-2</v>
      </c>
      <c r="E13" s="302">
        <v>0.91923144797300005</v>
      </c>
      <c r="F13" s="300">
        <v>1.196238191592</v>
      </c>
      <c r="G13" s="301">
        <v>0.99686515966</v>
      </c>
      <c r="H13" s="303">
        <v>0</v>
      </c>
      <c r="I13" s="300">
        <v>0.41699999999999998</v>
      </c>
      <c r="J13" s="301">
        <v>-0.57986515965999996</v>
      </c>
      <c r="K13" s="304">
        <v>0.348592782717</v>
      </c>
    </row>
    <row r="14" spans="1:11" ht="14.4" customHeight="1" thickBot="1" x14ac:dyDescent="0.35">
      <c r="A14" s="322" t="s">
        <v>195</v>
      </c>
      <c r="B14" s="300">
        <v>1</v>
      </c>
      <c r="C14" s="300">
        <v>0.22600000000000001</v>
      </c>
      <c r="D14" s="301">
        <v>-0.77400000000000002</v>
      </c>
      <c r="E14" s="302">
        <v>0.22600000000000001</v>
      </c>
      <c r="F14" s="300">
        <v>0.364067001999</v>
      </c>
      <c r="G14" s="301">
        <v>0.303389168333</v>
      </c>
      <c r="H14" s="303">
        <v>0</v>
      </c>
      <c r="I14" s="300">
        <v>0</v>
      </c>
      <c r="J14" s="301">
        <v>-0.303389168333</v>
      </c>
      <c r="K14" s="304">
        <v>0</v>
      </c>
    </row>
    <row r="15" spans="1:11" ht="14.4" customHeight="1" thickBot="1" x14ac:dyDescent="0.35">
      <c r="A15" s="321" t="s">
        <v>196</v>
      </c>
      <c r="B15" s="305">
        <v>0</v>
      </c>
      <c r="C15" s="305">
        <v>1.50163</v>
      </c>
      <c r="D15" s="306">
        <v>1.50163</v>
      </c>
      <c r="E15" s="310" t="s">
        <v>197</v>
      </c>
      <c r="F15" s="305">
        <v>0</v>
      </c>
      <c r="G15" s="306">
        <v>0</v>
      </c>
      <c r="H15" s="308">
        <v>0</v>
      </c>
      <c r="I15" s="305">
        <v>0</v>
      </c>
      <c r="J15" s="306">
        <v>0</v>
      </c>
      <c r="K15" s="311" t="s">
        <v>185</v>
      </c>
    </row>
    <row r="16" spans="1:11" ht="14.4" customHeight="1" thickBot="1" x14ac:dyDescent="0.35">
      <c r="A16" s="322" t="s">
        <v>198</v>
      </c>
      <c r="B16" s="300">
        <v>0</v>
      </c>
      <c r="C16" s="300">
        <v>1.50163</v>
      </c>
      <c r="D16" s="301">
        <v>1.50163</v>
      </c>
      <c r="E16" s="312" t="s">
        <v>197</v>
      </c>
      <c r="F16" s="300">
        <v>0</v>
      </c>
      <c r="G16" s="301">
        <v>0</v>
      </c>
      <c r="H16" s="303">
        <v>0</v>
      </c>
      <c r="I16" s="300">
        <v>0</v>
      </c>
      <c r="J16" s="301">
        <v>0</v>
      </c>
      <c r="K16" s="313" t="s">
        <v>185</v>
      </c>
    </row>
    <row r="17" spans="1:11" ht="14.4" customHeight="1" thickBot="1" x14ac:dyDescent="0.35">
      <c r="A17" s="323" t="s">
        <v>199</v>
      </c>
      <c r="B17" s="305">
        <v>6.8329062649999999E-3</v>
      </c>
      <c r="C17" s="305">
        <v>3.1910000000000001E-2</v>
      </c>
      <c r="D17" s="306">
        <v>2.5077093734000001E-2</v>
      </c>
      <c r="E17" s="307">
        <v>4.670047965158</v>
      </c>
      <c r="F17" s="305">
        <v>3.5093178678999998E-2</v>
      </c>
      <c r="G17" s="306">
        <v>2.9244315566E-2</v>
      </c>
      <c r="H17" s="308">
        <v>5.1700000000000001E-3</v>
      </c>
      <c r="I17" s="305">
        <v>-6.1700000000000001E-3</v>
      </c>
      <c r="J17" s="306">
        <v>-3.5414315565999999E-2</v>
      </c>
      <c r="K17" s="309">
        <v>-0.175817644114</v>
      </c>
    </row>
    <row r="18" spans="1:11" ht="14.4" customHeight="1" thickBot="1" x14ac:dyDescent="0.35">
      <c r="A18" s="320" t="s">
        <v>23</v>
      </c>
      <c r="B18" s="300">
        <v>6.8329062649999999E-3</v>
      </c>
      <c r="C18" s="300">
        <v>3.1910000000000001E-2</v>
      </c>
      <c r="D18" s="301">
        <v>2.5077093734000001E-2</v>
      </c>
      <c r="E18" s="302">
        <v>4.670047965158</v>
      </c>
      <c r="F18" s="300">
        <v>3.5093178678999998E-2</v>
      </c>
      <c r="G18" s="301">
        <v>2.9244315566E-2</v>
      </c>
      <c r="H18" s="303">
        <v>5.1700000000000001E-3</v>
      </c>
      <c r="I18" s="300">
        <v>-6.1700000000000001E-3</v>
      </c>
      <c r="J18" s="301">
        <v>-3.5414315565999999E-2</v>
      </c>
      <c r="K18" s="304">
        <v>-0.175817644114</v>
      </c>
    </row>
    <row r="19" spans="1:11" ht="14.4" customHeight="1" thickBot="1" x14ac:dyDescent="0.35">
      <c r="A19" s="321" t="s">
        <v>200</v>
      </c>
      <c r="B19" s="305">
        <v>6.8329062649999999E-3</v>
      </c>
      <c r="C19" s="305">
        <v>3.1910000000000001E-2</v>
      </c>
      <c r="D19" s="306">
        <v>2.5077093734000001E-2</v>
      </c>
      <c r="E19" s="307">
        <v>4.670047965158</v>
      </c>
      <c r="F19" s="305">
        <v>3.5093178678999998E-2</v>
      </c>
      <c r="G19" s="306">
        <v>2.9244315566E-2</v>
      </c>
      <c r="H19" s="308">
        <v>5.1700000000000001E-3</v>
      </c>
      <c r="I19" s="305">
        <v>-6.1700000000000001E-3</v>
      </c>
      <c r="J19" s="306">
        <v>-3.5414315565999999E-2</v>
      </c>
      <c r="K19" s="309">
        <v>-0.175817644114</v>
      </c>
    </row>
    <row r="20" spans="1:11" ht="14.4" customHeight="1" thickBot="1" x14ac:dyDescent="0.35">
      <c r="A20" s="322" t="s">
        <v>201</v>
      </c>
      <c r="B20" s="300">
        <v>6.8329062649999999E-3</v>
      </c>
      <c r="C20" s="300">
        <v>3.1910000000000001E-2</v>
      </c>
      <c r="D20" s="301">
        <v>2.5077093734000001E-2</v>
      </c>
      <c r="E20" s="302">
        <v>4.670047965158</v>
      </c>
      <c r="F20" s="300">
        <v>3.5093178678999998E-2</v>
      </c>
      <c r="G20" s="301">
        <v>2.9244315566E-2</v>
      </c>
      <c r="H20" s="303">
        <v>5.1700000000000001E-3</v>
      </c>
      <c r="I20" s="300">
        <v>-6.1700000000000001E-3</v>
      </c>
      <c r="J20" s="301">
        <v>-3.5414315565999999E-2</v>
      </c>
      <c r="K20" s="304">
        <v>-0.175817644114</v>
      </c>
    </row>
    <row r="21" spans="1:11" ht="14.4" customHeight="1" thickBot="1" x14ac:dyDescent="0.35">
      <c r="A21" s="319" t="s">
        <v>24</v>
      </c>
      <c r="B21" s="300">
        <v>1693.5435198791599</v>
      </c>
      <c r="C21" s="300">
        <v>1751.3667</v>
      </c>
      <c r="D21" s="301">
        <v>57.823180120836</v>
      </c>
      <c r="E21" s="302">
        <v>1.034143309246</v>
      </c>
      <c r="F21" s="300">
        <v>1766.1458638701799</v>
      </c>
      <c r="G21" s="301">
        <v>1471.7882198918201</v>
      </c>
      <c r="H21" s="303">
        <v>125.95308</v>
      </c>
      <c r="I21" s="300">
        <v>1508.61626</v>
      </c>
      <c r="J21" s="301">
        <v>36.828040108181</v>
      </c>
      <c r="K21" s="304">
        <v>0.85418554087800003</v>
      </c>
    </row>
    <row r="22" spans="1:11" ht="14.4" customHeight="1" thickBot="1" x14ac:dyDescent="0.35">
      <c r="A22" s="324" t="s">
        <v>202</v>
      </c>
      <c r="B22" s="305">
        <v>1254.12876931146</v>
      </c>
      <c r="C22" s="305">
        <v>1304.0340000000001</v>
      </c>
      <c r="D22" s="306">
        <v>49.905230688534999</v>
      </c>
      <c r="E22" s="307">
        <v>1.039792748487</v>
      </c>
      <c r="F22" s="305">
        <v>1304.1458221610601</v>
      </c>
      <c r="G22" s="306">
        <v>1086.7881851342099</v>
      </c>
      <c r="H22" s="308">
        <v>93.695999999999998</v>
      </c>
      <c r="I22" s="305">
        <v>1120.482</v>
      </c>
      <c r="J22" s="306">
        <v>33.693814865786003</v>
      </c>
      <c r="K22" s="309">
        <v>0.85916925926499998</v>
      </c>
    </row>
    <row r="23" spans="1:11" ht="14.4" customHeight="1" thickBot="1" x14ac:dyDescent="0.35">
      <c r="A23" s="321" t="s">
        <v>203</v>
      </c>
      <c r="B23" s="305">
        <v>1249.9999606280301</v>
      </c>
      <c r="C23" s="305">
        <v>1303.653</v>
      </c>
      <c r="D23" s="306">
        <v>53.653039371970998</v>
      </c>
      <c r="E23" s="307">
        <v>1.0429224328490001</v>
      </c>
      <c r="F23" s="305">
        <v>1300.00011736334</v>
      </c>
      <c r="G23" s="306">
        <v>1083.33343113612</v>
      </c>
      <c r="H23" s="308">
        <v>93.695999999999998</v>
      </c>
      <c r="I23" s="305">
        <v>1120.482</v>
      </c>
      <c r="J23" s="306">
        <v>37.148568863881998</v>
      </c>
      <c r="K23" s="309">
        <v>0.86190915295600001</v>
      </c>
    </row>
    <row r="24" spans="1:11" ht="14.4" customHeight="1" thickBot="1" x14ac:dyDescent="0.35">
      <c r="A24" s="322" t="s">
        <v>204</v>
      </c>
      <c r="B24" s="300">
        <v>1249.9999606280301</v>
      </c>
      <c r="C24" s="300">
        <v>1303.653</v>
      </c>
      <c r="D24" s="301">
        <v>53.653039371970998</v>
      </c>
      <c r="E24" s="302">
        <v>1.0429224328490001</v>
      </c>
      <c r="F24" s="300">
        <v>1300.00011736334</v>
      </c>
      <c r="G24" s="301">
        <v>1083.33343113612</v>
      </c>
      <c r="H24" s="303">
        <v>93.695999999999998</v>
      </c>
      <c r="I24" s="300">
        <v>1120.482</v>
      </c>
      <c r="J24" s="301">
        <v>37.148568863881998</v>
      </c>
      <c r="K24" s="304">
        <v>0.86190915295600001</v>
      </c>
    </row>
    <row r="25" spans="1:11" ht="14.4" customHeight="1" thickBot="1" x14ac:dyDescent="0.35">
      <c r="A25" s="321" t="s">
        <v>205</v>
      </c>
      <c r="B25" s="305">
        <v>4.1288086834350004</v>
      </c>
      <c r="C25" s="305">
        <v>0.38100000000000001</v>
      </c>
      <c r="D25" s="306">
        <v>-3.7478086834350002</v>
      </c>
      <c r="E25" s="307">
        <v>9.2278434098000003E-2</v>
      </c>
      <c r="F25" s="305">
        <v>4.145704797714</v>
      </c>
      <c r="G25" s="306">
        <v>3.4547539980950002</v>
      </c>
      <c r="H25" s="308">
        <v>0</v>
      </c>
      <c r="I25" s="305">
        <v>0</v>
      </c>
      <c r="J25" s="306">
        <v>-3.4547539980950002</v>
      </c>
      <c r="K25" s="309">
        <v>0</v>
      </c>
    </row>
    <row r="26" spans="1:11" ht="14.4" customHeight="1" thickBot="1" x14ac:dyDescent="0.35">
      <c r="A26" s="322" t="s">
        <v>206</v>
      </c>
      <c r="B26" s="300">
        <v>4.1288086834350004</v>
      </c>
      <c r="C26" s="300">
        <v>0.38100000000000001</v>
      </c>
      <c r="D26" s="301">
        <v>-3.7478086834350002</v>
      </c>
      <c r="E26" s="302">
        <v>9.2278434098000003E-2</v>
      </c>
      <c r="F26" s="300">
        <v>4.145704797714</v>
      </c>
      <c r="G26" s="301">
        <v>3.4547539980950002</v>
      </c>
      <c r="H26" s="303">
        <v>0</v>
      </c>
      <c r="I26" s="300">
        <v>0</v>
      </c>
      <c r="J26" s="301">
        <v>-3.4547539980950002</v>
      </c>
      <c r="K26" s="304">
        <v>0</v>
      </c>
    </row>
    <row r="27" spans="1:11" ht="14.4" customHeight="1" thickBot="1" x14ac:dyDescent="0.35">
      <c r="A27" s="320" t="s">
        <v>207</v>
      </c>
      <c r="B27" s="300">
        <v>425.99998658203202</v>
      </c>
      <c r="C27" s="300">
        <v>434.29374999999999</v>
      </c>
      <c r="D27" s="301">
        <v>8.2937634179669999</v>
      </c>
      <c r="E27" s="302">
        <v>1.019468928824</v>
      </c>
      <c r="F27" s="300">
        <v>442.00003990353599</v>
      </c>
      <c r="G27" s="301">
        <v>368.33336658628002</v>
      </c>
      <c r="H27" s="303">
        <v>30.850999999999999</v>
      </c>
      <c r="I27" s="300">
        <v>371.32850000000002</v>
      </c>
      <c r="J27" s="301">
        <v>2.995133413719</v>
      </c>
      <c r="K27" s="304">
        <v>0.84010965266199999</v>
      </c>
    </row>
    <row r="28" spans="1:11" ht="14.4" customHeight="1" thickBot="1" x14ac:dyDescent="0.35">
      <c r="A28" s="321" t="s">
        <v>208</v>
      </c>
      <c r="B28" s="305">
        <v>112.999996440774</v>
      </c>
      <c r="C28" s="305">
        <v>117.32599999999999</v>
      </c>
      <c r="D28" s="306">
        <v>4.3260035592259998</v>
      </c>
      <c r="E28" s="307">
        <v>1.0382832185440001</v>
      </c>
      <c r="F28" s="305">
        <v>117.00001056270099</v>
      </c>
      <c r="G28" s="306">
        <v>97.500008802249994</v>
      </c>
      <c r="H28" s="308">
        <v>8.4329999999999998</v>
      </c>
      <c r="I28" s="305">
        <v>100.849</v>
      </c>
      <c r="J28" s="306">
        <v>3.3489911977490001</v>
      </c>
      <c r="K28" s="309">
        <v>0.86195718714000003</v>
      </c>
    </row>
    <row r="29" spans="1:11" ht="14.4" customHeight="1" thickBot="1" x14ac:dyDescent="0.35">
      <c r="A29" s="322" t="s">
        <v>209</v>
      </c>
      <c r="B29" s="300">
        <v>112.999996440774</v>
      </c>
      <c r="C29" s="300">
        <v>117.32599999999999</v>
      </c>
      <c r="D29" s="301">
        <v>4.3260035592259998</v>
      </c>
      <c r="E29" s="302">
        <v>1.0382832185440001</v>
      </c>
      <c r="F29" s="300">
        <v>117.00001056270099</v>
      </c>
      <c r="G29" s="301">
        <v>97.500008802249994</v>
      </c>
      <c r="H29" s="303">
        <v>8.4329999999999998</v>
      </c>
      <c r="I29" s="300">
        <v>100.849</v>
      </c>
      <c r="J29" s="301">
        <v>3.3489911977490001</v>
      </c>
      <c r="K29" s="304">
        <v>0.86195718714000003</v>
      </c>
    </row>
    <row r="30" spans="1:11" ht="14.4" customHeight="1" thickBot="1" x14ac:dyDescent="0.35">
      <c r="A30" s="321" t="s">
        <v>210</v>
      </c>
      <c r="B30" s="305">
        <v>312.99999014125899</v>
      </c>
      <c r="C30" s="305">
        <v>316.96775000000002</v>
      </c>
      <c r="D30" s="306">
        <v>3.9677598587410001</v>
      </c>
      <c r="E30" s="307">
        <v>1.0126765494679999</v>
      </c>
      <c r="F30" s="305">
        <v>325.000029340835</v>
      </c>
      <c r="G30" s="306">
        <v>270.83335778402898</v>
      </c>
      <c r="H30" s="308">
        <v>22.417999999999999</v>
      </c>
      <c r="I30" s="305">
        <v>270.47949999999997</v>
      </c>
      <c r="J30" s="306">
        <v>-0.35385778402899998</v>
      </c>
      <c r="K30" s="309">
        <v>0.83224454025000005</v>
      </c>
    </row>
    <row r="31" spans="1:11" ht="14.4" customHeight="1" thickBot="1" x14ac:dyDescent="0.35">
      <c r="A31" s="322" t="s">
        <v>211</v>
      </c>
      <c r="B31" s="300">
        <v>312.99999014125899</v>
      </c>
      <c r="C31" s="300">
        <v>316.96775000000002</v>
      </c>
      <c r="D31" s="301">
        <v>3.9677598587410001</v>
      </c>
      <c r="E31" s="302">
        <v>1.0126765494679999</v>
      </c>
      <c r="F31" s="300">
        <v>325.000029340835</v>
      </c>
      <c r="G31" s="301">
        <v>270.83335778402898</v>
      </c>
      <c r="H31" s="303">
        <v>22.417999999999999</v>
      </c>
      <c r="I31" s="300">
        <v>270.47949999999997</v>
      </c>
      <c r="J31" s="301">
        <v>-0.35385778402899998</v>
      </c>
      <c r="K31" s="304">
        <v>0.83224454025000005</v>
      </c>
    </row>
    <row r="32" spans="1:11" ht="14.4" customHeight="1" thickBot="1" x14ac:dyDescent="0.35">
      <c r="A32" s="320" t="s">
        <v>212</v>
      </c>
      <c r="B32" s="300">
        <v>13.414763985666999</v>
      </c>
      <c r="C32" s="300">
        <v>13.03895</v>
      </c>
      <c r="D32" s="301">
        <v>-0.37581398566699997</v>
      </c>
      <c r="E32" s="302">
        <v>0.97198504676800002</v>
      </c>
      <c r="F32" s="300">
        <v>20.000001805589001</v>
      </c>
      <c r="G32" s="301">
        <v>16.666668171324002</v>
      </c>
      <c r="H32" s="303">
        <v>1.40608</v>
      </c>
      <c r="I32" s="300">
        <v>16.805759999999999</v>
      </c>
      <c r="J32" s="301">
        <v>0.139091828675</v>
      </c>
      <c r="K32" s="304">
        <v>0.840287924139</v>
      </c>
    </row>
    <row r="33" spans="1:11" ht="14.4" customHeight="1" thickBot="1" x14ac:dyDescent="0.35">
      <c r="A33" s="321" t="s">
        <v>213</v>
      </c>
      <c r="B33" s="305">
        <v>13.414763985666999</v>
      </c>
      <c r="C33" s="305">
        <v>13.03895</v>
      </c>
      <c r="D33" s="306">
        <v>-0.37581398566699997</v>
      </c>
      <c r="E33" s="307">
        <v>0.97198504676800002</v>
      </c>
      <c r="F33" s="305">
        <v>20.000001805589001</v>
      </c>
      <c r="G33" s="306">
        <v>16.666668171324002</v>
      </c>
      <c r="H33" s="308">
        <v>1.40608</v>
      </c>
      <c r="I33" s="305">
        <v>16.805759999999999</v>
      </c>
      <c r="J33" s="306">
        <v>0.139091828675</v>
      </c>
      <c r="K33" s="309">
        <v>0.840287924139</v>
      </c>
    </row>
    <row r="34" spans="1:11" ht="14.4" customHeight="1" thickBot="1" x14ac:dyDescent="0.35">
      <c r="A34" s="322" t="s">
        <v>214</v>
      </c>
      <c r="B34" s="300">
        <v>13.414763985666999</v>
      </c>
      <c r="C34" s="300">
        <v>13.03895</v>
      </c>
      <c r="D34" s="301">
        <v>-0.37581398566699997</v>
      </c>
      <c r="E34" s="302">
        <v>0.97198504676800002</v>
      </c>
      <c r="F34" s="300">
        <v>20.000001805589001</v>
      </c>
      <c r="G34" s="301">
        <v>16.666668171324002</v>
      </c>
      <c r="H34" s="303">
        <v>1.40608</v>
      </c>
      <c r="I34" s="300">
        <v>16.805759999999999</v>
      </c>
      <c r="J34" s="301">
        <v>0.139091828675</v>
      </c>
      <c r="K34" s="304">
        <v>0.840287924139</v>
      </c>
    </row>
    <row r="35" spans="1:11" ht="14.4" customHeight="1" thickBot="1" x14ac:dyDescent="0.35">
      <c r="A35" s="319" t="s">
        <v>215</v>
      </c>
      <c r="B35" s="300">
        <v>0</v>
      </c>
      <c r="C35" s="300">
        <v>0</v>
      </c>
      <c r="D35" s="301">
        <v>0</v>
      </c>
      <c r="E35" s="312" t="s">
        <v>185</v>
      </c>
      <c r="F35" s="300">
        <v>0</v>
      </c>
      <c r="G35" s="301">
        <v>0</v>
      </c>
      <c r="H35" s="303">
        <v>0</v>
      </c>
      <c r="I35" s="300">
        <v>4</v>
      </c>
      <c r="J35" s="301">
        <v>4</v>
      </c>
      <c r="K35" s="313" t="s">
        <v>197</v>
      </c>
    </row>
    <row r="36" spans="1:11" ht="14.4" customHeight="1" thickBot="1" x14ac:dyDescent="0.35">
      <c r="A36" s="320" t="s">
        <v>216</v>
      </c>
      <c r="B36" s="300">
        <v>0</v>
      </c>
      <c r="C36" s="300">
        <v>0</v>
      </c>
      <c r="D36" s="301">
        <v>0</v>
      </c>
      <c r="E36" s="312" t="s">
        <v>185</v>
      </c>
      <c r="F36" s="300">
        <v>0</v>
      </c>
      <c r="G36" s="301">
        <v>0</v>
      </c>
      <c r="H36" s="303">
        <v>0</v>
      </c>
      <c r="I36" s="300">
        <v>4</v>
      </c>
      <c r="J36" s="301">
        <v>4</v>
      </c>
      <c r="K36" s="313" t="s">
        <v>197</v>
      </c>
    </row>
    <row r="37" spans="1:11" ht="14.4" customHeight="1" thickBot="1" x14ac:dyDescent="0.35">
      <c r="A37" s="321" t="s">
        <v>217</v>
      </c>
      <c r="B37" s="305">
        <v>0</v>
      </c>
      <c r="C37" s="305">
        <v>0</v>
      </c>
      <c r="D37" s="306">
        <v>0</v>
      </c>
      <c r="E37" s="310" t="s">
        <v>185</v>
      </c>
      <c r="F37" s="305">
        <v>0</v>
      </c>
      <c r="G37" s="306">
        <v>0</v>
      </c>
      <c r="H37" s="308">
        <v>0</v>
      </c>
      <c r="I37" s="305">
        <v>4</v>
      </c>
      <c r="J37" s="306">
        <v>4</v>
      </c>
      <c r="K37" s="311" t="s">
        <v>197</v>
      </c>
    </row>
    <row r="38" spans="1:11" ht="14.4" customHeight="1" thickBot="1" x14ac:dyDescent="0.35">
      <c r="A38" s="322" t="s">
        <v>218</v>
      </c>
      <c r="B38" s="300">
        <v>0</v>
      </c>
      <c r="C38" s="300">
        <v>0</v>
      </c>
      <c r="D38" s="301">
        <v>0</v>
      </c>
      <c r="E38" s="312" t="s">
        <v>185</v>
      </c>
      <c r="F38" s="300">
        <v>0</v>
      </c>
      <c r="G38" s="301">
        <v>0</v>
      </c>
      <c r="H38" s="303">
        <v>0</v>
      </c>
      <c r="I38" s="300">
        <v>4</v>
      </c>
      <c r="J38" s="301">
        <v>4</v>
      </c>
      <c r="K38" s="313" t="s">
        <v>197</v>
      </c>
    </row>
    <row r="39" spans="1:11" ht="14.4" customHeight="1" thickBot="1" x14ac:dyDescent="0.35">
      <c r="A39" s="318" t="s">
        <v>219</v>
      </c>
      <c r="B39" s="300">
        <v>44.000000000010999</v>
      </c>
      <c r="C39" s="300">
        <v>43.926810000000003</v>
      </c>
      <c r="D39" s="301">
        <v>-7.3190000010999998E-2</v>
      </c>
      <c r="E39" s="302">
        <v>0.99833659090799998</v>
      </c>
      <c r="F39" s="300">
        <v>46.162853441007002</v>
      </c>
      <c r="G39" s="301">
        <v>38.469044534171999</v>
      </c>
      <c r="H39" s="303">
        <v>3.63923</v>
      </c>
      <c r="I39" s="300">
        <v>22.833130000000001</v>
      </c>
      <c r="J39" s="301">
        <v>-15.635914534172001</v>
      </c>
      <c r="K39" s="304">
        <v>0.49462128742</v>
      </c>
    </row>
    <row r="40" spans="1:11" ht="14.4" customHeight="1" thickBot="1" x14ac:dyDescent="0.35">
      <c r="A40" s="319" t="s">
        <v>220</v>
      </c>
      <c r="B40" s="300">
        <v>44.000000000010999</v>
      </c>
      <c r="C40" s="300">
        <v>42.480530000000002</v>
      </c>
      <c r="D40" s="301">
        <v>-1.519470000011</v>
      </c>
      <c r="E40" s="302">
        <v>0.96546659090800002</v>
      </c>
      <c r="F40" s="300">
        <v>45.000004512088999</v>
      </c>
      <c r="G40" s="301">
        <v>37.500003760074001</v>
      </c>
      <c r="H40" s="303">
        <v>3.63923</v>
      </c>
      <c r="I40" s="300">
        <v>22.833130000000001</v>
      </c>
      <c r="J40" s="301">
        <v>-14.666873760073999</v>
      </c>
      <c r="K40" s="304">
        <v>0.50740283801200003</v>
      </c>
    </row>
    <row r="41" spans="1:11" ht="14.4" customHeight="1" thickBot="1" x14ac:dyDescent="0.35">
      <c r="A41" s="320" t="s">
        <v>221</v>
      </c>
      <c r="B41" s="300">
        <v>44.000000000010999</v>
      </c>
      <c r="C41" s="300">
        <v>42.480530000000002</v>
      </c>
      <c r="D41" s="301">
        <v>-1.519470000011</v>
      </c>
      <c r="E41" s="302">
        <v>0.96546659090800002</v>
      </c>
      <c r="F41" s="300">
        <v>45.000004512088999</v>
      </c>
      <c r="G41" s="301">
        <v>37.500003760074001</v>
      </c>
      <c r="H41" s="303">
        <v>3.63923</v>
      </c>
      <c r="I41" s="300">
        <v>22.833130000000001</v>
      </c>
      <c r="J41" s="301">
        <v>-14.666873760073999</v>
      </c>
      <c r="K41" s="304">
        <v>0.50740283801200003</v>
      </c>
    </row>
    <row r="42" spans="1:11" ht="14.4" customHeight="1" thickBot="1" x14ac:dyDescent="0.35">
      <c r="A42" s="321" t="s">
        <v>222</v>
      </c>
      <c r="B42" s="305">
        <v>44.000000000010999</v>
      </c>
      <c r="C42" s="305">
        <v>40.50705</v>
      </c>
      <c r="D42" s="306">
        <v>-3.4929500000110001</v>
      </c>
      <c r="E42" s="307">
        <v>0.92061477272699999</v>
      </c>
      <c r="F42" s="305">
        <v>45.000004512088999</v>
      </c>
      <c r="G42" s="306">
        <v>37.500003760074001</v>
      </c>
      <c r="H42" s="308">
        <v>3.63923</v>
      </c>
      <c r="I42" s="305">
        <v>20.77364</v>
      </c>
      <c r="J42" s="306">
        <v>-16.726363760074001</v>
      </c>
      <c r="K42" s="309">
        <v>0.46163639815599999</v>
      </c>
    </row>
    <row r="43" spans="1:11" ht="14.4" customHeight="1" thickBot="1" x14ac:dyDescent="0.35">
      <c r="A43" s="322" t="s">
        <v>223</v>
      </c>
      <c r="B43" s="300">
        <v>23.000000000006001</v>
      </c>
      <c r="C43" s="300">
        <v>18.080410000000001</v>
      </c>
      <c r="D43" s="301">
        <v>-4.919590000006</v>
      </c>
      <c r="E43" s="302">
        <v>0.78610478260799999</v>
      </c>
      <c r="F43" s="300">
        <v>22.00000220591</v>
      </c>
      <c r="G43" s="301">
        <v>18.333335171592001</v>
      </c>
      <c r="H43" s="303">
        <v>1.48746</v>
      </c>
      <c r="I43" s="300">
        <v>9.8640299999999996</v>
      </c>
      <c r="J43" s="301">
        <v>-8.4693051715919996</v>
      </c>
      <c r="K43" s="304">
        <v>0.448364955043</v>
      </c>
    </row>
    <row r="44" spans="1:11" ht="14.4" customHeight="1" thickBot="1" x14ac:dyDescent="0.35">
      <c r="A44" s="322" t="s">
        <v>224</v>
      </c>
      <c r="B44" s="300">
        <v>21.000000000004999</v>
      </c>
      <c r="C44" s="300">
        <v>22.426639999999999</v>
      </c>
      <c r="D44" s="301">
        <v>1.426639999994</v>
      </c>
      <c r="E44" s="302">
        <v>1.0679352380939999</v>
      </c>
      <c r="F44" s="300">
        <v>23.000002306178999</v>
      </c>
      <c r="G44" s="301">
        <v>19.166668588482001</v>
      </c>
      <c r="H44" s="303">
        <v>2.15177</v>
      </c>
      <c r="I44" s="300">
        <v>10.909610000000001</v>
      </c>
      <c r="J44" s="301">
        <v>-8.2570585884819998</v>
      </c>
      <c r="K44" s="304">
        <v>0.47433082200400001</v>
      </c>
    </row>
    <row r="45" spans="1:11" ht="14.4" customHeight="1" thickBot="1" x14ac:dyDescent="0.35">
      <c r="A45" s="321" t="s">
        <v>225</v>
      </c>
      <c r="B45" s="305">
        <v>0</v>
      </c>
      <c r="C45" s="305">
        <v>1.9734799999999999</v>
      </c>
      <c r="D45" s="306">
        <v>1.9734799999999999</v>
      </c>
      <c r="E45" s="310" t="s">
        <v>185</v>
      </c>
      <c r="F45" s="305">
        <v>0</v>
      </c>
      <c r="G45" s="306">
        <v>0</v>
      </c>
      <c r="H45" s="308">
        <v>0</v>
      </c>
      <c r="I45" s="305">
        <v>2.0594899999999998</v>
      </c>
      <c r="J45" s="306">
        <v>2.0594899999999998</v>
      </c>
      <c r="K45" s="311" t="s">
        <v>185</v>
      </c>
    </row>
    <row r="46" spans="1:11" ht="14.4" customHeight="1" thickBot="1" x14ac:dyDescent="0.35">
      <c r="A46" s="322" t="s">
        <v>226</v>
      </c>
      <c r="B46" s="300">
        <v>0</v>
      </c>
      <c r="C46" s="300">
        <v>0.55476000000000003</v>
      </c>
      <c r="D46" s="301">
        <v>0.55476000000000003</v>
      </c>
      <c r="E46" s="312" t="s">
        <v>185</v>
      </c>
      <c r="F46" s="300">
        <v>0</v>
      </c>
      <c r="G46" s="301">
        <v>0</v>
      </c>
      <c r="H46" s="303">
        <v>0</v>
      </c>
      <c r="I46" s="300">
        <v>0.34787000000000001</v>
      </c>
      <c r="J46" s="301">
        <v>0.34787000000000001</v>
      </c>
      <c r="K46" s="313" t="s">
        <v>185</v>
      </c>
    </row>
    <row r="47" spans="1:11" ht="14.4" customHeight="1" thickBot="1" x14ac:dyDescent="0.35">
      <c r="A47" s="322" t="s">
        <v>227</v>
      </c>
      <c r="B47" s="300">
        <v>0</v>
      </c>
      <c r="C47" s="300">
        <v>1.41872</v>
      </c>
      <c r="D47" s="301">
        <v>1.41872</v>
      </c>
      <c r="E47" s="312" t="s">
        <v>185</v>
      </c>
      <c r="F47" s="300">
        <v>0</v>
      </c>
      <c r="G47" s="301">
        <v>0</v>
      </c>
      <c r="H47" s="303">
        <v>0</v>
      </c>
      <c r="I47" s="300">
        <v>1.7116199999999999</v>
      </c>
      <c r="J47" s="301">
        <v>1.7116199999999999</v>
      </c>
      <c r="K47" s="313" t="s">
        <v>185</v>
      </c>
    </row>
    <row r="48" spans="1:11" ht="14.4" customHeight="1" thickBot="1" x14ac:dyDescent="0.35">
      <c r="A48" s="319" t="s">
        <v>228</v>
      </c>
      <c r="B48" s="300">
        <v>0</v>
      </c>
      <c r="C48" s="300">
        <v>1.44628</v>
      </c>
      <c r="D48" s="301">
        <v>1.44628</v>
      </c>
      <c r="E48" s="312" t="s">
        <v>185</v>
      </c>
      <c r="F48" s="300">
        <v>1.1628489289170001</v>
      </c>
      <c r="G48" s="301">
        <v>0.96904077409800005</v>
      </c>
      <c r="H48" s="303">
        <v>0</v>
      </c>
      <c r="I48" s="300">
        <v>0</v>
      </c>
      <c r="J48" s="301">
        <v>-0.96904077409800005</v>
      </c>
      <c r="K48" s="304">
        <v>0</v>
      </c>
    </row>
    <row r="49" spans="1:11" ht="14.4" customHeight="1" thickBot="1" x14ac:dyDescent="0.35">
      <c r="A49" s="324" t="s">
        <v>229</v>
      </c>
      <c r="B49" s="305">
        <v>0</v>
      </c>
      <c r="C49" s="305">
        <v>1.44628</v>
      </c>
      <c r="D49" s="306">
        <v>1.44628</v>
      </c>
      <c r="E49" s="310" t="s">
        <v>185</v>
      </c>
      <c r="F49" s="305">
        <v>1.1628489289170001</v>
      </c>
      <c r="G49" s="306">
        <v>0.96904077409800005</v>
      </c>
      <c r="H49" s="308">
        <v>0</v>
      </c>
      <c r="I49" s="305">
        <v>0</v>
      </c>
      <c r="J49" s="306">
        <v>-0.96904077409800005</v>
      </c>
      <c r="K49" s="309">
        <v>0</v>
      </c>
    </row>
    <row r="50" spans="1:11" ht="14.4" customHeight="1" thickBot="1" x14ac:dyDescent="0.35">
      <c r="A50" s="321" t="s">
        <v>230</v>
      </c>
      <c r="B50" s="305">
        <v>0</v>
      </c>
      <c r="C50" s="305">
        <v>-2.0000000000000002E-5</v>
      </c>
      <c r="D50" s="306">
        <v>-2.0000000000000002E-5</v>
      </c>
      <c r="E50" s="310" t="s">
        <v>185</v>
      </c>
      <c r="F50" s="305">
        <v>0</v>
      </c>
      <c r="G50" s="306">
        <v>0</v>
      </c>
      <c r="H50" s="308">
        <v>0</v>
      </c>
      <c r="I50" s="305">
        <v>0</v>
      </c>
      <c r="J50" s="306">
        <v>0</v>
      </c>
      <c r="K50" s="311" t="s">
        <v>185</v>
      </c>
    </row>
    <row r="51" spans="1:11" ht="14.4" customHeight="1" thickBot="1" x14ac:dyDescent="0.35">
      <c r="A51" s="322" t="s">
        <v>231</v>
      </c>
      <c r="B51" s="300">
        <v>0</v>
      </c>
      <c r="C51" s="300">
        <v>-2.0000000000000002E-5</v>
      </c>
      <c r="D51" s="301">
        <v>-2.0000000000000002E-5</v>
      </c>
      <c r="E51" s="312" t="s">
        <v>197</v>
      </c>
      <c r="F51" s="300">
        <v>0</v>
      </c>
      <c r="G51" s="301">
        <v>0</v>
      </c>
      <c r="H51" s="303">
        <v>0</v>
      </c>
      <c r="I51" s="300">
        <v>0</v>
      </c>
      <c r="J51" s="301">
        <v>0</v>
      </c>
      <c r="K51" s="313" t="s">
        <v>185</v>
      </c>
    </row>
    <row r="52" spans="1:11" ht="14.4" customHeight="1" thickBot="1" x14ac:dyDescent="0.35">
      <c r="A52" s="321" t="s">
        <v>232</v>
      </c>
      <c r="B52" s="305">
        <v>0</v>
      </c>
      <c r="C52" s="305">
        <v>1.4462999999999999</v>
      </c>
      <c r="D52" s="306">
        <v>1.4462999999999999</v>
      </c>
      <c r="E52" s="310" t="s">
        <v>197</v>
      </c>
      <c r="F52" s="305">
        <v>1.1628489289170001</v>
      </c>
      <c r="G52" s="306">
        <v>0.96904077409800005</v>
      </c>
      <c r="H52" s="308">
        <v>0</v>
      </c>
      <c r="I52" s="305">
        <v>0</v>
      </c>
      <c r="J52" s="306">
        <v>-0.96904077409800005</v>
      </c>
      <c r="K52" s="309">
        <v>0</v>
      </c>
    </row>
    <row r="53" spans="1:11" ht="14.4" customHeight="1" thickBot="1" x14ac:dyDescent="0.35">
      <c r="A53" s="322" t="s">
        <v>233</v>
      </c>
      <c r="B53" s="300">
        <v>0</v>
      </c>
      <c r="C53" s="300">
        <v>1.4462999999999999</v>
      </c>
      <c r="D53" s="301">
        <v>1.4462999999999999</v>
      </c>
      <c r="E53" s="312" t="s">
        <v>197</v>
      </c>
      <c r="F53" s="300">
        <v>1.1628489289170001</v>
      </c>
      <c r="G53" s="301">
        <v>0.96904077409800005</v>
      </c>
      <c r="H53" s="303">
        <v>0</v>
      </c>
      <c r="I53" s="300">
        <v>0</v>
      </c>
      <c r="J53" s="301">
        <v>-0.96904077409800005</v>
      </c>
      <c r="K53" s="304">
        <v>0</v>
      </c>
    </row>
    <row r="54" spans="1:11" ht="14.4" customHeight="1" thickBot="1" x14ac:dyDescent="0.35">
      <c r="A54" s="318" t="s">
        <v>234</v>
      </c>
      <c r="B54" s="300">
        <v>290.77654384974602</v>
      </c>
      <c r="C54" s="300">
        <v>299.73736000000002</v>
      </c>
      <c r="D54" s="301">
        <v>8.9608161502530006</v>
      </c>
      <c r="E54" s="302">
        <v>1.030816846612</v>
      </c>
      <c r="F54" s="300">
        <v>296.33458124706999</v>
      </c>
      <c r="G54" s="301">
        <v>246.94548437255901</v>
      </c>
      <c r="H54" s="303">
        <v>20.312709999999999</v>
      </c>
      <c r="I54" s="300">
        <v>242.28013000000001</v>
      </c>
      <c r="J54" s="301">
        <v>-4.6653543725580002</v>
      </c>
      <c r="K54" s="304">
        <v>0.81758979657499997</v>
      </c>
    </row>
    <row r="55" spans="1:11" ht="14.4" customHeight="1" thickBot="1" x14ac:dyDescent="0.35">
      <c r="A55" s="323" t="s">
        <v>235</v>
      </c>
      <c r="B55" s="305">
        <v>290.77654384974602</v>
      </c>
      <c r="C55" s="305">
        <v>299.73736000000002</v>
      </c>
      <c r="D55" s="306">
        <v>8.9608161502530006</v>
      </c>
      <c r="E55" s="307">
        <v>1.030816846612</v>
      </c>
      <c r="F55" s="305">
        <v>296.33458124706999</v>
      </c>
      <c r="G55" s="306">
        <v>246.94548437255901</v>
      </c>
      <c r="H55" s="308">
        <v>20.312709999999999</v>
      </c>
      <c r="I55" s="305">
        <v>242.28013000000001</v>
      </c>
      <c r="J55" s="306">
        <v>-4.6653543725580002</v>
      </c>
      <c r="K55" s="309">
        <v>0.81758979657499997</v>
      </c>
    </row>
    <row r="56" spans="1:11" ht="14.4" customHeight="1" thickBot="1" x14ac:dyDescent="0.35">
      <c r="A56" s="324" t="s">
        <v>30</v>
      </c>
      <c r="B56" s="305">
        <v>290.77654384974602</v>
      </c>
      <c r="C56" s="305">
        <v>299.73736000000002</v>
      </c>
      <c r="D56" s="306">
        <v>8.9608161502530006</v>
      </c>
      <c r="E56" s="307">
        <v>1.030816846612</v>
      </c>
      <c r="F56" s="305">
        <v>296.33458124706999</v>
      </c>
      <c r="G56" s="306">
        <v>246.94548437255901</v>
      </c>
      <c r="H56" s="308">
        <v>20.312709999999999</v>
      </c>
      <c r="I56" s="305">
        <v>242.28013000000001</v>
      </c>
      <c r="J56" s="306">
        <v>-4.6653543725580002</v>
      </c>
      <c r="K56" s="309">
        <v>0.81758979657499997</v>
      </c>
    </row>
    <row r="57" spans="1:11" ht="14.4" customHeight="1" thickBot="1" x14ac:dyDescent="0.35">
      <c r="A57" s="321" t="s">
        <v>236</v>
      </c>
      <c r="B57" s="305">
        <v>125</v>
      </c>
      <c r="C57" s="305">
        <v>114.29792999999999</v>
      </c>
      <c r="D57" s="306">
        <v>-10.702069999999001</v>
      </c>
      <c r="E57" s="307">
        <v>0.91438344000000005</v>
      </c>
      <c r="F57" s="305">
        <v>117.687631564019</v>
      </c>
      <c r="G57" s="306">
        <v>98.073026303348996</v>
      </c>
      <c r="H57" s="308">
        <v>10.03853</v>
      </c>
      <c r="I57" s="305">
        <v>88.922259999999994</v>
      </c>
      <c r="J57" s="306">
        <v>-9.1507663033490001</v>
      </c>
      <c r="K57" s="309">
        <v>0.75557863488499999</v>
      </c>
    </row>
    <row r="58" spans="1:11" ht="14.4" customHeight="1" thickBot="1" x14ac:dyDescent="0.35">
      <c r="A58" s="322" t="s">
        <v>237</v>
      </c>
      <c r="B58" s="300">
        <v>125</v>
      </c>
      <c r="C58" s="300">
        <v>114.29792999999999</v>
      </c>
      <c r="D58" s="301">
        <v>-10.702069999999001</v>
      </c>
      <c r="E58" s="302">
        <v>0.91438344000000005</v>
      </c>
      <c r="F58" s="300">
        <v>117.687631564019</v>
      </c>
      <c r="G58" s="301">
        <v>98.073026303348996</v>
      </c>
      <c r="H58" s="303">
        <v>10.03853</v>
      </c>
      <c r="I58" s="300">
        <v>88.922259999999994</v>
      </c>
      <c r="J58" s="301">
        <v>-9.1507663033490001</v>
      </c>
      <c r="K58" s="304">
        <v>0.75557863488499999</v>
      </c>
    </row>
    <row r="59" spans="1:11" ht="14.4" customHeight="1" thickBot="1" x14ac:dyDescent="0.35">
      <c r="A59" s="321" t="s">
        <v>238</v>
      </c>
      <c r="B59" s="305">
        <v>165.77654384974599</v>
      </c>
      <c r="C59" s="305">
        <v>185.43942999999999</v>
      </c>
      <c r="D59" s="306">
        <v>19.662886150253001</v>
      </c>
      <c r="E59" s="307">
        <v>1.118610785902</v>
      </c>
      <c r="F59" s="305">
        <v>178.64694968305099</v>
      </c>
      <c r="G59" s="306">
        <v>148.87245806920899</v>
      </c>
      <c r="H59" s="308">
        <v>10.274179999999999</v>
      </c>
      <c r="I59" s="305">
        <v>153.35786999999999</v>
      </c>
      <c r="J59" s="306">
        <v>4.4854119307899998</v>
      </c>
      <c r="K59" s="309">
        <v>0.858441021646</v>
      </c>
    </row>
    <row r="60" spans="1:11" ht="14.4" customHeight="1" thickBot="1" x14ac:dyDescent="0.35">
      <c r="A60" s="322" t="s">
        <v>239</v>
      </c>
      <c r="B60" s="300">
        <v>165.77654384974599</v>
      </c>
      <c r="C60" s="300">
        <v>185.43942999999999</v>
      </c>
      <c r="D60" s="301">
        <v>19.662886150253001</v>
      </c>
      <c r="E60" s="302">
        <v>1.118610785902</v>
      </c>
      <c r="F60" s="300">
        <v>178.64694968305099</v>
      </c>
      <c r="G60" s="301">
        <v>148.87245806920899</v>
      </c>
      <c r="H60" s="303">
        <v>10.274179999999999</v>
      </c>
      <c r="I60" s="300">
        <v>153.35786999999999</v>
      </c>
      <c r="J60" s="301">
        <v>4.4854119307899998</v>
      </c>
      <c r="K60" s="304">
        <v>0.858441021646</v>
      </c>
    </row>
    <row r="61" spans="1:11" ht="14.4" customHeight="1" thickBot="1" x14ac:dyDescent="0.35">
      <c r="A61" s="325"/>
      <c r="B61" s="300">
        <v>-1944.63318608945</v>
      </c>
      <c r="C61" s="300">
        <v>-2011.1722500000001</v>
      </c>
      <c r="D61" s="301">
        <v>-66.539063910549004</v>
      </c>
      <c r="E61" s="302">
        <v>1.0342167686870001</v>
      </c>
      <c r="F61" s="300">
        <v>-2021.1602541099001</v>
      </c>
      <c r="G61" s="301">
        <v>-1684.30021175825</v>
      </c>
      <c r="H61" s="303">
        <v>-142.70191</v>
      </c>
      <c r="I61" s="300">
        <v>-1732.99459</v>
      </c>
      <c r="J61" s="301">
        <v>-48.694378241750002</v>
      </c>
      <c r="K61" s="304">
        <v>0.85742562296799996</v>
      </c>
    </row>
    <row r="62" spans="1:11" ht="14.4" customHeight="1" thickBot="1" x14ac:dyDescent="0.35">
      <c r="A62" s="326" t="s">
        <v>42</v>
      </c>
      <c r="B62" s="314">
        <v>-1944.63318608945</v>
      </c>
      <c r="C62" s="314">
        <v>-2011.1722500000001</v>
      </c>
      <c r="D62" s="315">
        <v>-66.539063910549004</v>
      </c>
      <c r="E62" s="316">
        <v>-1.066349462519</v>
      </c>
      <c r="F62" s="314">
        <v>-2021.1602541099001</v>
      </c>
      <c r="G62" s="315">
        <v>-1684.30021175825</v>
      </c>
      <c r="H62" s="314">
        <v>-142.70191</v>
      </c>
      <c r="I62" s="314">
        <v>-1732.99459</v>
      </c>
      <c r="J62" s="315">
        <v>-48.694378241750996</v>
      </c>
      <c r="K62" s="317">
        <v>0.85742562296799996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7" width="13.109375" customWidth="1"/>
  </cols>
  <sheetData>
    <row r="1" spans="1:8" ht="18.600000000000001" thickBot="1" x14ac:dyDescent="0.4">
      <c r="A1" s="278" t="s">
        <v>82</v>
      </c>
      <c r="B1" s="275"/>
      <c r="C1" s="275"/>
      <c r="D1" s="275"/>
      <c r="E1" s="275"/>
      <c r="F1" s="275"/>
      <c r="G1" s="275"/>
    </row>
    <row r="2" spans="1:8" ht="15" thickBot="1" x14ac:dyDescent="0.35">
      <c r="A2" s="191" t="s">
        <v>184</v>
      </c>
      <c r="B2" s="192"/>
      <c r="C2" s="192"/>
      <c r="D2" s="192"/>
      <c r="E2" s="192"/>
      <c r="F2" s="192"/>
    </row>
    <row r="3" spans="1:8" x14ac:dyDescent="0.3">
      <c r="A3" s="208" t="s">
        <v>144</v>
      </c>
      <c r="B3" s="276" t="s">
        <v>127</v>
      </c>
      <c r="C3" s="193">
        <v>99</v>
      </c>
      <c r="D3" s="211">
        <v>101</v>
      </c>
      <c r="E3" s="211">
        <v>302</v>
      </c>
      <c r="F3" s="211">
        <v>526</v>
      </c>
      <c r="G3" s="339">
        <v>930</v>
      </c>
      <c r="H3" s="354"/>
    </row>
    <row r="4" spans="1:8" ht="36.6" outlineLevel="1" thickBot="1" x14ac:dyDescent="0.35">
      <c r="A4" s="209">
        <v>2016</v>
      </c>
      <c r="B4" s="277"/>
      <c r="C4" s="194" t="s">
        <v>128</v>
      </c>
      <c r="D4" s="212" t="s">
        <v>158</v>
      </c>
      <c r="E4" s="212" t="s">
        <v>159</v>
      </c>
      <c r="F4" s="212" t="s">
        <v>152</v>
      </c>
      <c r="G4" s="340" t="s">
        <v>146</v>
      </c>
      <c r="H4" s="354"/>
    </row>
    <row r="5" spans="1:8" x14ac:dyDescent="0.3">
      <c r="A5" s="195" t="s">
        <v>129</v>
      </c>
      <c r="B5" s="225"/>
      <c r="C5" s="226"/>
      <c r="D5" s="226"/>
      <c r="E5" s="226"/>
      <c r="F5" s="226"/>
      <c r="G5" s="341"/>
      <c r="H5" s="354"/>
    </row>
    <row r="6" spans="1:8" ht="15" collapsed="1" thickBot="1" x14ac:dyDescent="0.35">
      <c r="A6" s="196" t="s">
        <v>49</v>
      </c>
      <c r="B6" s="227">
        <f xml:space="preserve">
TRUNC(IF($A$4&lt;=12,SUMIFS('ON Data'!F:F,'ON Data'!$D:$D,$A$4,'ON Data'!$E:$E,1),SUMIFS('ON Data'!F:F,'ON Data'!$E:$E,1)/'ON Data'!$D$3),1)</f>
        <v>3.2</v>
      </c>
      <c r="C6" s="228">
        <f xml:space="preserve">
TRUNC(IF($A$4&lt;=12,SUMIFS('ON Data'!I:I,'ON Data'!$D:$D,$A$4,'ON Data'!$E:$E,1),SUMIFS('ON Data'!I:I,'ON Data'!$E:$E,1)/'ON Data'!$D$3),1)</f>
        <v>1.1000000000000001</v>
      </c>
      <c r="D6" s="228">
        <f xml:space="preserve">
TRUNC(IF($A$4&lt;=12,SUMIFS('ON Data'!K:K,'ON Data'!$D:$D,$A$4,'ON Data'!$E:$E,1),SUMIFS('ON Data'!K:K,'ON Data'!$E:$E,1)/'ON Data'!$D$3),1)</f>
        <v>1.5</v>
      </c>
      <c r="E6" s="228">
        <f xml:space="preserve">
TRUNC(IF($A$4&lt;=12,SUMIFS('ON Data'!O:O,'ON Data'!$D:$D,$A$4,'ON Data'!$E:$E,1),SUMIFS('ON Data'!O:O,'ON Data'!$E:$E,1)/'ON Data'!$D$3),1)</f>
        <v>0</v>
      </c>
      <c r="F6" s="228">
        <f xml:space="preserve">
TRUNC(IF($A$4&lt;=12,SUMIFS('ON Data'!AJ:AJ,'ON Data'!$D:$D,$A$4,'ON Data'!$E:$E,1),SUMIFS('ON Data'!AJ:AJ,'ON Data'!$E:$E,1)/'ON Data'!$D$3),1)</f>
        <v>0</v>
      </c>
      <c r="G6" s="342">
        <f xml:space="preserve">
TRUNC(IF($A$4&lt;=12,SUMIFS('ON Data'!AW:AW,'ON Data'!$D:$D,$A$4,'ON Data'!$E:$E,1),SUMIFS('ON Data'!AW:AW,'ON Data'!$E:$E,1)/'ON Data'!$D$3),1)</f>
        <v>0.6</v>
      </c>
      <c r="H6" s="354"/>
    </row>
    <row r="7" spans="1:8" ht="15" hidden="1" outlineLevel="1" thickBot="1" x14ac:dyDescent="0.35">
      <c r="A7" s="196" t="s">
        <v>83</v>
      </c>
      <c r="B7" s="227"/>
      <c r="C7" s="228"/>
      <c r="D7" s="228"/>
      <c r="E7" s="228"/>
      <c r="F7" s="228"/>
      <c r="G7" s="342"/>
      <c r="H7" s="354"/>
    </row>
    <row r="8" spans="1:8" ht="15" hidden="1" outlineLevel="1" thickBot="1" x14ac:dyDescent="0.35">
      <c r="A8" s="196" t="s">
        <v>51</v>
      </c>
      <c r="B8" s="227"/>
      <c r="C8" s="228"/>
      <c r="D8" s="228"/>
      <c r="E8" s="228"/>
      <c r="F8" s="228"/>
      <c r="G8" s="342"/>
      <c r="H8" s="354"/>
    </row>
    <row r="9" spans="1:8" ht="15" hidden="1" outlineLevel="1" thickBot="1" x14ac:dyDescent="0.35">
      <c r="A9" s="197" t="s">
        <v>44</v>
      </c>
      <c r="B9" s="229"/>
      <c r="C9" s="230"/>
      <c r="D9" s="230"/>
      <c r="E9" s="230"/>
      <c r="F9" s="230"/>
      <c r="G9" s="343"/>
      <c r="H9" s="354"/>
    </row>
    <row r="10" spans="1:8" x14ac:dyDescent="0.3">
      <c r="A10" s="198" t="s">
        <v>130</v>
      </c>
      <c r="B10" s="213"/>
      <c r="C10" s="214"/>
      <c r="D10" s="214"/>
      <c r="E10" s="214"/>
      <c r="F10" s="214"/>
      <c r="G10" s="344"/>
      <c r="H10" s="354"/>
    </row>
    <row r="11" spans="1:8" x14ac:dyDescent="0.3">
      <c r="A11" s="199" t="s">
        <v>131</v>
      </c>
      <c r="B11" s="215">
        <f xml:space="preserve">
IF($A$4&lt;=12,SUMIFS('ON Data'!F:F,'ON Data'!$D:$D,$A$4,'ON Data'!$E:$E,2),SUMIFS('ON Data'!F:F,'ON Data'!$E:$E,2))</f>
        <v>4837.6000000000004</v>
      </c>
      <c r="C11" s="216">
        <f xml:space="preserve">
IF($A$4&lt;=12,SUMIFS('ON Data'!I:I,'ON Data'!$D:$D,$A$4,'ON Data'!$E:$E,2),SUMIFS('ON Data'!I:I,'ON Data'!$E:$E,2))</f>
        <v>1659.2</v>
      </c>
      <c r="D11" s="216">
        <f xml:space="preserve">
IF($A$4&lt;=12,SUMIFS('ON Data'!K:K,'ON Data'!$D:$D,$A$4,'ON Data'!$E:$E,2),SUMIFS('ON Data'!K:K,'ON Data'!$E:$E,2))</f>
        <v>2121.6</v>
      </c>
      <c r="E11" s="216">
        <f xml:space="preserve">
IF($A$4&lt;=12,SUMIFS('ON Data'!O:O,'ON Data'!$D:$D,$A$4,'ON Data'!$E:$E,2),SUMIFS('ON Data'!O:O,'ON Data'!$E:$E,2))</f>
        <v>0</v>
      </c>
      <c r="F11" s="216">
        <f xml:space="preserve">
IF($A$4&lt;=12,SUMIFS('ON Data'!AJ:AJ,'ON Data'!$D:$D,$A$4,'ON Data'!$E:$E,2),SUMIFS('ON Data'!AJ:AJ,'ON Data'!$E:$E,2))</f>
        <v>78.400000000000006</v>
      </c>
      <c r="G11" s="345">
        <f xml:space="preserve">
IF($A$4&lt;=12,SUMIFS('ON Data'!AW:AW,'ON Data'!$D:$D,$A$4,'ON Data'!$E:$E,2),SUMIFS('ON Data'!AW:AW,'ON Data'!$E:$E,2))</f>
        <v>978.4</v>
      </c>
      <c r="H11" s="354"/>
    </row>
    <row r="12" spans="1:8" x14ac:dyDescent="0.3">
      <c r="A12" s="199" t="s">
        <v>132</v>
      </c>
      <c r="B12" s="215">
        <f xml:space="preserve">
IF($A$4&lt;=12,SUMIFS('ON Data'!F:F,'ON Data'!$D:$D,$A$4,'ON Data'!$E:$E,3),SUMIFS('ON Data'!F:F,'ON Data'!$E:$E,3))</f>
        <v>0</v>
      </c>
      <c r="C12" s="216">
        <f xml:space="preserve">
IF($A$4&lt;=12,SUMIFS('ON Data'!I:I,'ON Data'!$D:$D,$A$4,'ON Data'!$E:$E,3),SUMIFS('ON Data'!I:I,'ON Data'!$E:$E,3))</f>
        <v>0</v>
      </c>
      <c r="D12" s="216">
        <f xml:space="preserve">
IF($A$4&lt;=12,SUMIFS('ON Data'!K:K,'ON Data'!$D:$D,$A$4,'ON Data'!$E:$E,3),SUMIFS('ON Data'!K:K,'ON Data'!$E:$E,3))</f>
        <v>0</v>
      </c>
      <c r="E12" s="216">
        <f xml:space="preserve">
IF($A$4&lt;=12,SUMIFS('ON Data'!O:O,'ON Data'!$D:$D,$A$4,'ON Data'!$E:$E,3),SUMIFS('ON Data'!O:O,'ON Data'!$E:$E,3))</f>
        <v>0</v>
      </c>
      <c r="F12" s="216">
        <f xml:space="preserve">
IF($A$4&lt;=12,SUMIFS('ON Data'!AJ:AJ,'ON Data'!$D:$D,$A$4,'ON Data'!$E:$E,3),SUMIFS('ON Data'!AJ:AJ,'ON Data'!$E:$E,3))</f>
        <v>0</v>
      </c>
      <c r="G12" s="345">
        <f xml:space="preserve">
IF($A$4&lt;=12,SUMIFS('ON Data'!AW:AW,'ON Data'!$D:$D,$A$4,'ON Data'!$E:$E,3),SUMIFS('ON Data'!AW:AW,'ON Data'!$E:$E,3))</f>
        <v>0</v>
      </c>
      <c r="H12" s="354"/>
    </row>
    <row r="13" spans="1:8" x14ac:dyDescent="0.3">
      <c r="A13" s="199" t="s">
        <v>139</v>
      </c>
      <c r="B13" s="215">
        <f xml:space="preserve">
IF($A$4&lt;=12,SUMIFS('ON Data'!F:F,'ON Data'!$D:$D,$A$4,'ON Data'!$E:$E,4),SUMIFS('ON Data'!F:F,'ON Data'!$E:$E,4))</f>
        <v>0</v>
      </c>
      <c r="C13" s="216">
        <f xml:space="preserve">
IF($A$4&lt;=12,SUMIFS('ON Data'!I:I,'ON Data'!$D:$D,$A$4,'ON Data'!$E:$E,4),SUMIFS('ON Data'!I:I,'ON Data'!$E:$E,4))</f>
        <v>0</v>
      </c>
      <c r="D13" s="216">
        <f xml:space="preserve">
IF($A$4&lt;=12,SUMIFS('ON Data'!K:K,'ON Data'!$D:$D,$A$4,'ON Data'!$E:$E,4),SUMIFS('ON Data'!K:K,'ON Data'!$E:$E,4))</f>
        <v>0</v>
      </c>
      <c r="E13" s="216">
        <f xml:space="preserve">
IF($A$4&lt;=12,SUMIFS('ON Data'!O:O,'ON Data'!$D:$D,$A$4,'ON Data'!$E:$E,4),SUMIFS('ON Data'!O:O,'ON Data'!$E:$E,4))</f>
        <v>0</v>
      </c>
      <c r="F13" s="216">
        <f xml:space="preserve">
IF($A$4&lt;=12,SUMIFS('ON Data'!AJ:AJ,'ON Data'!$D:$D,$A$4,'ON Data'!$E:$E,4),SUMIFS('ON Data'!AJ:AJ,'ON Data'!$E:$E,4))</f>
        <v>0</v>
      </c>
      <c r="G13" s="345">
        <f xml:space="preserve">
IF($A$4&lt;=12,SUMIFS('ON Data'!AW:AW,'ON Data'!$D:$D,$A$4,'ON Data'!$E:$E,4),SUMIFS('ON Data'!AW:AW,'ON Data'!$E:$E,4))</f>
        <v>0</v>
      </c>
      <c r="H13" s="354"/>
    </row>
    <row r="14" spans="1:8" ht="15" thickBot="1" x14ac:dyDescent="0.35">
      <c r="A14" s="200" t="s">
        <v>133</v>
      </c>
      <c r="B14" s="217">
        <f xml:space="preserve">
IF($A$4&lt;=12,SUMIFS('ON Data'!F:F,'ON Data'!$D:$D,$A$4,'ON Data'!$E:$E,5),SUMIFS('ON Data'!F:F,'ON Data'!$E:$E,5))</f>
        <v>0</v>
      </c>
      <c r="C14" s="218">
        <f xml:space="preserve">
IF($A$4&lt;=12,SUMIFS('ON Data'!I:I,'ON Data'!$D:$D,$A$4,'ON Data'!$E:$E,5),SUMIFS('ON Data'!I:I,'ON Data'!$E:$E,5))</f>
        <v>0</v>
      </c>
      <c r="D14" s="218">
        <f xml:space="preserve">
IF($A$4&lt;=12,SUMIFS('ON Data'!K:K,'ON Data'!$D:$D,$A$4,'ON Data'!$E:$E,5),SUMIFS('ON Data'!K:K,'ON Data'!$E:$E,5))</f>
        <v>0</v>
      </c>
      <c r="E14" s="218">
        <f xml:space="preserve">
IF($A$4&lt;=12,SUMIFS('ON Data'!O:O,'ON Data'!$D:$D,$A$4,'ON Data'!$E:$E,5),SUMIFS('ON Data'!O:O,'ON Data'!$E:$E,5))</f>
        <v>0</v>
      </c>
      <c r="F14" s="218">
        <f xml:space="preserve">
IF($A$4&lt;=12,SUMIFS('ON Data'!AJ:AJ,'ON Data'!$D:$D,$A$4,'ON Data'!$E:$E,5),SUMIFS('ON Data'!AJ:AJ,'ON Data'!$E:$E,5))</f>
        <v>0</v>
      </c>
      <c r="G14" s="346">
        <f xml:space="preserve">
IF($A$4&lt;=12,SUMIFS('ON Data'!AW:AW,'ON Data'!$D:$D,$A$4,'ON Data'!$E:$E,5),SUMIFS('ON Data'!AW:AW,'ON Data'!$E:$E,5))</f>
        <v>0</v>
      </c>
      <c r="H14" s="354"/>
    </row>
    <row r="15" spans="1:8" x14ac:dyDescent="0.3">
      <c r="A15" s="132" t="s">
        <v>143</v>
      </c>
      <c r="B15" s="219"/>
      <c r="C15" s="220"/>
      <c r="D15" s="220"/>
      <c r="E15" s="220"/>
      <c r="F15" s="220"/>
      <c r="G15" s="347"/>
      <c r="H15" s="354"/>
    </row>
    <row r="16" spans="1:8" x14ac:dyDescent="0.3">
      <c r="A16" s="201" t="s">
        <v>134</v>
      </c>
      <c r="B16" s="215">
        <f xml:space="preserve">
IF($A$4&lt;=12,SUMIFS('ON Data'!F:F,'ON Data'!$D:$D,$A$4,'ON Data'!$E:$E,7),SUMIFS('ON Data'!F:F,'ON Data'!$E:$E,7))</f>
        <v>0</v>
      </c>
      <c r="C16" s="216">
        <f xml:space="preserve">
IF($A$4&lt;=12,SUMIFS('ON Data'!I:I,'ON Data'!$D:$D,$A$4,'ON Data'!$E:$E,7),SUMIFS('ON Data'!I:I,'ON Data'!$E:$E,7))</f>
        <v>0</v>
      </c>
      <c r="D16" s="216">
        <f xml:space="preserve">
IF($A$4&lt;=12,SUMIFS('ON Data'!K:K,'ON Data'!$D:$D,$A$4,'ON Data'!$E:$E,7),SUMIFS('ON Data'!K:K,'ON Data'!$E:$E,7))</f>
        <v>0</v>
      </c>
      <c r="E16" s="216">
        <f xml:space="preserve">
IF($A$4&lt;=12,SUMIFS('ON Data'!O:O,'ON Data'!$D:$D,$A$4,'ON Data'!$E:$E,7),SUMIFS('ON Data'!O:O,'ON Data'!$E:$E,7))</f>
        <v>0</v>
      </c>
      <c r="F16" s="216">
        <f xml:space="preserve">
IF($A$4&lt;=12,SUMIFS('ON Data'!AJ:AJ,'ON Data'!$D:$D,$A$4,'ON Data'!$E:$E,7),SUMIFS('ON Data'!AJ:AJ,'ON Data'!$E:$E,7))</f>
        <v>0</v>
      </c>
      <c r="G16" s="345">
        <f xml:space="preserve">
IF($A$4&lt;=12,SUMIFS('ON Data'!AW:AW,'ON Data'!$D:$D,$A$4,'ON Data'!$E:$E,7),SUMIFS('ON Data'!AW:AW,'ON Data'!$E:$E,7))</f>
        <v>0</v>
      </c>
      <c r="H16" s="354"/>
    </row>
    <row r="17" spans="1:8" x14ac:dyDescent="0.3">
      <c r="A17" s="201" t="s">
        <v>135</v>
      </c>
      <c r="B17" s="215">
        <f xml:space="preserve">
IF($A$4&lt;=12,SUMIFS('ON Data'!F:F,'ON Data'!$D:$D,$A$4,'ON Data'!$E:$E,8),SUMIFS('ON Data'!F:F,'ON Data'!$E:$E,8))</f>
        <v>0</v>
      </c>
      <c r="C17" s="216">
        <f xml:space="preserve">
IF($A$4&lt;=12,SUMIFS('ON Data'!I:I,'ON Data'!$D:$D,$A$4,'ON Data'!$E:$E,8),SUMIFS('ON Data'!I:I,'ON Data'!$E:$E,8))</f>
        <v>0</v>
      </c>
      <c r="D17" s="216">
        <f xml:space="preserve">
IF($A$4&lt;=12,SUMIFS('ON Data'!K:K,'ON Data'!$D:$D,$A$4,'ON Data'!$E:$E,8),SUMIFS('ON Data'!K:K,'ON Data'!$E:$E,8))</f>
        <v>0</v>
      </c>
      <c r="E17" s="216">
        <f xml:space="preserve">
IF($A$4&lt;=12,SUMIFS('ON Data'!O:O,'ON Data'!$D:$D,$A$4,'ON Data'!$E:$E,8),SUMIFS('ON Data'!O:O,'ON Data'!$E:$E,8))</f>
        <v>0</v>
      </c>
      <c r="F17" s="216">
        <f xml:space="preserve">
IF($A$4&lt;=12,SUMIFS('ON Data'!AJ:AJ,'ON Data'!$D:$D,$A$4,'ON Data'!$E:$E,8),SUMIFS('ON Data'!AJ:AJ,'ON Data'!$E:$E,8))</f>
        <v>0</v>
      </c>
      <c r="G17" s="345">
        <f xml:space="preserve">
IF($A$4&lt;=12,SUMIFS('ON Data'!AW:AW,'ON Data'!$D:$D,$A$4,'ON Data'!$E:$E,8),SUMIFS('ON Data'!AW:AW,'ON Data'!$E:$E,8))</f>
        <v>0</v>
      </c>
      <c r="H17" s="354"/>
    </row>
    <row r="18" spans="1:8" x14ac:dyDescent="0.3">
      <c r="A18" s="201" t="s">
        <v>136</v>
      </c>
      <c r="B18" s="215">
        <f xml:space="preserve">
B19-B16-B17</f>
        <v>82827</v>
      </c>
      <c r="C18" s="216">
        <f t="shared" ref="C18:D18" si="0" xml:space="preserve">
C19-C16-C17</f>
        <v>18005</v>
      </c>
      <c r="D18" s="216">
        <f t="shared" si="0"/>
        <v>58977</v>
      </c>
      <c r="E18" s="216">
        <f t="shared" ref="E18:F18" si="1" xml:space="preserve">
E19-E16-E17</f>
        <v>0</v>
      </c>
      <c r="F18" s="216">
        <f t="shared" si="1"/>
        <v>2640</v>
      </c>
      <c r="G18" s="345">
        <f t="shared" ref="G18" si="2" xml:space="preserve">
G19-G16-G17</f>
        <v>3205</v>
      </c>
      <c r="H18" s="354"/>
    </row>
    <row r="19" spans="1:8" ht="15" thickBot="1" x14ac:dyDescent="0.35">
      <c r="A19" s="202" t="s">
        <v>137</v>
      </c>
      <c r="B19" s="221">
        <f xml:space="preserve">
IF($A$4&lt;=12,SUMIFS('ON Data'!F:F,'ON Data'!$D:$D,$A$4,'ON Data'!$E:$E,9),SUMIFS('ON Data'!F:F,'ON Data'!$E:$E,9))</f>
        <v>82827</v>
      </c>
      <c r="C19" s="222">
        <f xml:space="preserve">
IF($A$4&lt;=12,SUMIFS('ON Data'!I:I,'ON Data'!$D:$D,$A$4,'ON Data'!$E:$E,9),SUMIFS('ON Data'!I:I,'ON Data'!$E:$E,9))</f>
        <v>18005</v>
      </c>
      <c r="D19" s="222">
        <f xml:space="preserve">
IF($A$4&lt;=12,SUMIFS('ON Data'!K:K,'ON Data'!$D:$D,$A$4,'ON Data'!$E:$E,9),SUMIFS('ON Data'!K:K,'ON Data'!$E:$E,9))</f>
        <v>58977</v>
      </c>
      <c r="E19" s="222">
        <f xml:space="preserve">
IF($A$4&lt;=12,SUMIFS('ON Data'!O:O,'ON Data'!$D:$D,$A$4,'ON Data'!$E:$E,9),SUMIFS('ON Data'!O:O,'ON Data'!$E:$E,9))</f>
        <v>0</v>
      </c>
      <c r="F19" s="222">
        <f xml:space="preserve">
IF($A$4&lt;=12,SUMIFS('ON Data'!AJ:AJ,'ON Data'!$D:$D,$A$4,'ON Data'!$E:$E,9),SUMIFS('ON Data'!AJ:AJ,'ON Data'!$E:$E,9))</f>
        <v>2640</v>
      </c>
      <c r="G19" s="348">
        <f xml:space="preserve">
IF($A$4&lt;=12,SUMIFS('ON Data'!AW:AW,'ON Data'!$D:$D,$A$4,'ON Data'!$E:$E,9),SUMIFS('ON Data'!AW:AW,'ON Data'!$E:$E,9))</f>
        <v>3205</v>
      </c>
      <c r="H19" s="354"/>
    </row>
    <row r="20" spans="1:8" ht="15" collapsed="1" thickBot="1" x14ac:dyDescent="0.35">
      <c r="A20" s="203" t="s">
        <v>49</v>
      </c>
      <c r="B20" s="223">
        <f xml:space="preserve">
IF($A$4&lt;=12,SUMIFS('ON Data'!F:F,'ON Data'!$D:$D,$A$4,'ON Data'!$E:$E,6),SUMIFS('ON Data'!F:F,'ON Data'!$E:$E,6))</f>
        <v>1120482</v>
      </c>
      <c r="C20" s="224">
        <f xml:space="preserve">
IF($A$4&lt;=12,SUMIFS('ON Data'!I:I,'ON Data'!$D:$D,$A$4,'ON Data'!$E:$E,6),SUMIFS('ON Data'!I:I,'ON Data'!$E:$E,6))</f>
        <v>339447</v>
      </c>
      <c r="D20" s="224">
        <f xml:space="preserve">
IF($A$4&lt;=12,SUMIFS('ON Data'!K:K,'ON Data'!$D:$D,$A$4,'ON Data'!$E:$E,6),SUMIFS('ON Data'!K:K,'ON Data'!$E:$E,6))</f>
        <v>633577</v>
      </c>
      <c r="E20" s="224">
        <f xml:space="preserve">
IF($A$4&lt;=12,SUMIFS('ON Data'!O:O,'ON Data'!$D:$D,$A$4,'ON Data'!$E:$E,6),SUMIFS('ON Data'!O:O,'ON Data'!$E:$E,6))</f>
        <v>0</v>
      </c>
      <c r="F20" s="224">
        <f xml:space="preserve">
IF($A$4&lt;=12,SUMIFS('ON Data'!AJ:AJ,'ON Data'!$D:$D,$A$4,'ON Data'!$E:$E,6),SUMIFS('ON Data'!AJ:AJ,'ON Data'!$E:$E,6))</f>
        <v>25164</v>
      </c>
      <c r="G20" s="349">
        <f xml:space="preserve">
IF($A$4&lt;=12,SUMIFS('ON Data'!AW:AW,'ON Data'!$D:$D,$A$4,'ON Data'!$E:$E,6),SUMIFS('ON Data'!AW:AW,'ON Data'!$E:$E,6))</f>
        <v>122294</v>
      </c>
      <c r="H20" s="354"/>
    </row>
    <row r="21" spans="1:8" ht="15" hidden="1" outlineLevel="1" thickBot="1" x14ac:dyDescent="0.35">
      <c r="A21" s="196" t="s">
        <v>83</v>
      </c>
      <c r="B21" s="215">
        <f xml:space="preserve">
IF($A$4&lt;=12,SUMIFS('ON Data'!F:F,'ON Data'!$D:$D,$A$4,'ON Data'!$E:$E,12),SUMIFS('ON Data'!F:F,'ON Data'!$E:$E,12))</f>
        <v>0</v>
      </c>
      <c r="C21" s="216">
        <f xml:space="preserve">
IF($A$4&lt;=12,SUMIFS('ON Data'!I:I,'ON Data'!$D:$D,$A$4,'ON Data'!$E:$E,12),SUMIFS('ON Data'!I:I,'ON Data'!$E:$E,12))</f>
        <v>0</v>
      </c>
      <c r="D21" s="216">
        <f xml:space="preserve">
IF($A$4&lt;=12,SUMIFS('ON Data'!K:K,'ON Data'!$D:$D,$A$4,'ON Data'!$E:$E,12),SUMIFS('ON Data'!K:K,'ON Data'!$E:$E,12))</f>
        <v>0</v>
      </c>
      <c r="E21" s="216">
        <f xml:space="preserve">
IF($A$4&lt;=12,SUMIFS('ON Data'!O:O,'ON Data'!$D:$D,$A$4,'ON Data'!$E:$E,12),SUMIFS('ON Data'!O:O,'ON Data'!$E:$E,12))</f>
        <v>0</v>
      </c>
      <c r="F21" s="216">
        <f xml:space="preserve">
IF($A$4&lt;=12,SUMIFS('ON Data'!AJ:AJ,'ON Data'!$D:$D,$A$4,'ON Data'!$E:$E,12),SUMIFS('ON Data'!AJ:AJ,'ON Data'!$E:$E,12))</f>
        <v>0</v>
      </c>
      <c r="H21" s="354"/>
    </row>
    <row r="22" spans="1:8" ht="15" hidden="1" outlineLevel="1" thickBot="1" x14ac:dyDescent="0.35">
      <c r="A22" s="196" t="s">
        <v>51</v>
      </c>
      <c r="B22" s="244" t="str">
        <f xml:space="preserve">
IF(OR(B21="",B21=0),"",B20/B21)</f>
        <v/>
      </c>
      <c r="C22" s="245" t="str">
        <f t="shared" ref="C22:D22" si="3" xml:space="preserve">
IF(OR(C21="",C21=0),"",C20/C21)</f>
        <v/>
      </c>
      <c r="D22" s="245" t="str">
        <f t="shared" si="3"/>
        <v/>
      </c>
      <c r="E22" s="245" t="str">
        <f t="shared" ref="E22:F22" si="4" xml:space="preserve">
IF(OR(E21="",E21=0),"",E20/E21)</f>
        <v/>
      </c>
      <c r="F22" s="245" t="str">
        <f t="shared" si="4"/>
        <v/>
      </c>
      <c r="H22" s="354"/>
    </row>
    <row r="23" spans="1:8" ht="15" hidden="1" outlineLevel="1" thickBot="1" x14ac:dyDescent="0.35">
      <c r="A23" s="204" t="s">
        <v>44</v>
      </c>
      <c r="B23" s="217">
        <f xml:space="preserve">
IF(B21="","",B20-B21)</f>
        <v>1120482</v>
      </c>
      <c r="C23" s="218">
        <f t="shared" ref="C23:D23" si="5" xml:space="preserve">
IF(C21="","",C20-C21)</f>
        <v>339447</v>
      </c>
      <c r="D23" s="218">
        <f t="shared" si="5"/>
        <v>633577</v>
      </c>
      <c r="E23" s="218">
        <f t="shared" ref="E23:F23" si="6" xml:space="preserve">
IF(E21="","",E20-E21)</f>
        <v>0</v>
      </c>
      <c r="F23" s="218">
        <f t="shared" si="6"/>
        <v>25164</v>
      </c>
      <c r="H23" s="354"/>
    </row>
    <row r="24" spans="1:8" x14ac:dyDescent="0.3">
      <c r="A24" s="198" t="s">
        <v>138</v>
      </c>
      <c r="B24" s="235" t="s">
        <v>2</v>
      </c>
      <c r="C24" s="355"/>
      <c r="D24" s="327"/>
      <c r="E24" s="328" t="s">
        <v>149</v>
      </c>
      <c r="F24" s="329"/>
      <c r="G24" s="350" t="s">
        <v>150</v>
      </c>
      <c r="H24" s="354"/>
    </row>
    <row r="25" spans="1:8" x14ac:dyDescent="0.3">
      <c r="A25" s="199" t="s">
        <v>49</v>
      </c>
      <c r="B25" s="215">
        <f xml:space="preserve">
SUM(C25:G25)</f>
        <v>0</v>
      </c>
      <c r="C25" s="356"/>
      <c r="D25" s="330"/>
      <c r="E25" s="331">
        <f xml:space="preserve">
IF($A$4&lt;=12,SUMIFS('ON Data'!O:O,'ON Data'!$D:$D,$A$4,'ON Data'!$E:$E,10),SUMIFS('ON Data'!O:O,'ON Data'!$E:$E,10))</f>
        <v>0</v>
      </c>
      <c r="F25" s="332"/>
      <c r="G25" s="351">
        <f xml:space="preserve">
IF($A$4&lt;=12,SUMIFS('ON Data'!AW:AW,'ON Data'!$D:$D,$A$4,'ON Data'!$E:$E,10),SUMIFS('ON Data'!AW:AW,'ON Data'!$E:$E,10))</f>
        <v>0</v>
      </c>
      <c r="H25" s="354"/>
    </row>
    <row r="26" spans="1:8" x14ac:dyDescent="0.3">
      <c r="A26" s="205" t="s">
        <v>148</v>
      </c>
      <c r="B26" s="221">
        <f xml:space="preserve">
SUM(C26:G26)</f>
        <v>0</v>
      </c>
      <c r="C26" s="356"/>
      <c r="D26" s="330"/>
      <c r="E26" s="333">
        <f xml:space="preserve">
IF($A$4&lt;=12,SUMIFS('ON Data'!O:O,'ON Data'!$D:$D,$A$4,'ON Data'!$E:$E,11),SUMIFS('ON Data'!O:O,'ON Data'!$E:$E,11))</f>
        <v>0</v>
      </c>
      <c r="F26" s="334"/>
      <c r="G26" s="351">
        <f xml:space="preserve">
IF($A$4&lt;=12,SUMIFS('ON Data'!AW:AW,'ON Data'!$D:$D,$A$4,'ON Data'!$E:$E,11),SUMIFS('ON Data'!AW:AW,'ON Data'!$E:$E,11))</f>
        <v>0</v>
      </c>
      <c r="H26" s="354"/>
    </row>
    <row r="27" spans="1:8" x14ac:dyDescent="0.3">
      <c r="A27" s="205" t="s">
        <v>51</v>
      </c>
      <c r="B27" s="236">
        <f xml:space="preserve">
IF(B26=0,0,B25/B26)</f>
        <v>0</v>
      </c>
      <c r="C27" s="357"/>
      <c r="D27" s="330"/>
      <c r="E27" s="335">
        <f xml:space="preserve">
IF(E26=0,0,E25/E26)</f>
        <v>0</v>
      </c>
      <c r="F27" s="332"/>
      <c r="G27" s="352">
        <f xml:space="preserve">
IF(G26=0,0,G25/G26)</f>
        <v>0</v>
      </c>
      <c r="H27" s="354"/>
    </row>
    <row r="28" spans="1:8" ht="15" thickBot="1" x14ac:dyDescent="0.35">
      <c r="A28" s="205" t="s">
        <v>147</v>
      </c>
      <c r="B28" s="221">
        <f xml:space="preserve">
SUM(C28:G28)</f>
        <v>0</v>
      </c>
      <c r="C28" s="358"/>
      <c r="D28" s="336"/>
      <c r="E28" s="337">
        <f xml:space="preserve">
E26-E25</f>
        <v>0</v>
      </c>
      <c r="F28" s="338"/>
      <c r="G28" s="353">
        <f xml:space="preserve">
G26-G25</f>
        <v>0</v>
      </c>
      <c r="H28" s="354"/>
    </row>
    <row r="29" spans="1:8" x14ac:dyDescent="0.3">
      <c r="A29" s="206"/>
      <c r="B29" s="206"/>
      <c r="C29" s="206"/>
      <c r="D29" s="207"/>
      <c r="E29" s="207"/>
      <c r="F29" s="207"/>
    </row>
    <row r="30" spans="1:8" x14ac:dyDescent="0.3">
      <c r="A30" s="85" t="s">
        <v>110</v>
      </c>
      <c r="B30" s="102"/>
      <c r="C30" s="102"/>
      <c r="D30" s="102"/>
      <c r="E30" s="102"/>
      <c r="F30" s="102"/>
    </row>
    <row r="31" spans="1:8" x14ac:dyDescent="0.3">
      <c r="A31" s="86" t="s">
        <v>145</v>
      </c>
      <c r="B31" s="102"/>
      <c r="C31" s="102"/>
      <c r="D31" s="102"/>
      <c r="E31" s="102"/>
      <c r="F31" s="102"/>
    </row>
    <row r="32" spans="1:8" ht="14.4" customHeight="1" x14ac:dyDescent="0.3">
      <c r="A32" s="232" t="s">
        <v>142</v>
      </c>
      <c r="B32" s="233"/>
      <c r="C32" s="233"/>
      <c r="D32" s="233"/>
      <c r="E32" s="233"/>
      <c r="F32" s="233"/>
    </row>
    <row r="33" spans="1:1" x14ac:dyDescent="0.3">
      <c r="A33" s="234" t="s">
        <v>160</v>
      </c>
    </row>
    <row r="34" spans="1:1" x14ac:dyDescent="0.3">
      <c r="A34" s="234" t="s">
        <v>161</v>
      </c>
    </row>
    <row r="35" spans="1:1" x14ac:dyDescent="0.3">
      <c r="A35" s="234" t="s">
        <v>162</v>
      </c>
    </row>
    <row r="36" spans="1:1" x14ac:dyDescent="0.3">
      <c r="A36" s="234" t="s">
        <v>151</v>
      </c>
    </row>
  </sheetData>
  <mergeCells count="12">
    <mergeCell ref="B3:B4"/>
    <mergeCell ref="A1:G1"/>
    <mergeCell ref="C27:D27"/>
    <mergeCell ref="C28:D28"/>
    <mergeCell ref="E27:F27"/>
    <mergeCell ref="E28:F28"/>
    <mergeCell ref="C24:D24"/>
    <mergeCell ref="C25:D25"/>
    <mergeCell ref="C26:D26"/>
    <mergeCell ref="E24:F24"/>
    <mergeCell ref="E25:F25"/>
    <mergeCell ref="E26:F26"/>
  </mergeCells>
  <conditionalFormatting sqref="B22:F22">
    <cfRule type="cellIs" dxfId="6" priority="6" operator="greaterThan">
      <formula>1</formula>
    </cfRule>
  </conditionalFormatting>
  <conditionalFormatting sqref="B23:F23">
    <cfRule type="cellIs" dxfId="5" priority="5" operator="greaterThan">
      <formula>0</formula>
    </cfRule>
  </conditionalFormatting>
  <conditionalFormatting sqref="G27">
    <cfRule type="cellIs" dxfId="4" priority="4" operator="greaterThan">
      <formula>1</formula>
    </cfRule>
  </conditionalFormatting>
  <conditionalFormatting sqref="G28">
    <cfRule type="cellIs" dxfId="3" priority="3" operator="lessThan">
      <formula>0</formula>
    </cfRule>
  </conditionalFormatting>
  <conditionalFormatting sqref="E28">
    <cfRule type="cellIs" dxfId="2" priority="1" operator="lessThan">
      <formula>0</formula>
    </cfRule>
  </conditionalFormatting>
  <conditionalFormatting sqref="E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6"/>
  <sheetViews>
    <sheetView showGridLines="0" showRowColHeaders="0" workbookViewId="0"/>
  </sheetViews>
  <sheetFormatPr defaultRowHeight="14.4" x14ac:dyDescent="0.3"/>
  <cols>
    <col min="1" max="16384" width="8.88671875" style="187"/>
  </cols>
  <sheetData>
    <row r="1" spans="1:49" x14ac:dyDescent="0.3">
      <c r="A1" s="187" t="s">
        <v>240</v>
      </c>
    </row>
    <row r="2" spans="1:49" x14ac:dyDescent="0.3">
      <c r="A2" s="191" t="s">
        <v>184</v>
      </c>
    </row>
    <row r="3" spans="1:49" x14ac:dyDescent="0.3">
      <c r="A3" s="187" t="s">
        <v>114</v>
      </c>
      <c r="B3" s="210">
        <v>2016</v>
      </c>
      <c r="D3" s="188">
        <f>MAX(D5:D1048576)</f>
        <v>10</v>
      </c>
      <c r="F3" s="188">
        <f>SUMIF($E5:$E1048576,"&lt;10",F5:F1048576)</f>
        <v>1208179.5</v>
      </c>
      <c r="G3" s="188">
        <f t="shared" ref="G3:AW3" si="0">SUMIF($E5:$E1048576,"&lt;10",G5:G1048576)</f>
        <v>0</v>
      </c>
      <c r="H3" s="188">
        <f t="shared" si="0"/>
        <v>0</v>
      </c>
      <c r="I3" s="188">
        <f t="shared" si="0"/>
        <v>359122.2</v>
      </c>
      <c r="J3" s="188">
        <f t="shared" si="0"/>
        <v>0</v>
      </c>
      <c r="K3" s="188">
        <f t="shared" si="0"/>
        <v>694691</v>
      </c>
      <c r="L3" s="188">
        <f t="shared" si="0"/>
        <v>0</v>
      </c>
      <c r="M3" s="188">
        <f t="shared" si="0"/>
        <v>0</v>
      </c>
      <c r="N3" s="188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8">
        <f t="shared" si="0"/>
        <v>0</v>
      </c>
      <c r="T3" s="188">
        <f t="shared" si="0"/>
        <v>0</v>
      </c>
      <c r="U3" s="188">
        <f t="shared" si="0"/>
        <v>0</v>
      </c>
      <c r="V3" s="188">
        <f t="shared" si="0"/>
        <v>0</v>
      </c>
      <c r="W3" s="188">
        <f t="shared" si="0"/>
        <v>0</v>
      </c>
      <c r="X3" s="188">
        <f t="shared" si="0"/>
        <v>0</v>
      </c>
      <c r="Y3" s="188">
        <f t="shared" si="0"/>
        <v>0</v>
      </c>
      <c r="Z3" s="188">
        <f t="shared" si="0"/>
        <v>0</v>
      </c>
      <c r="AA3" s="188">
        <f t="shared" si="0"/>
        <v>0</v>
      </c>
      <c r="AB3" s="188">
        <f t="shared" si="0"/>
        <v>0</v>
      </c>
      <c r="AC3" s="188">
        <f t="shared" si="0"/>
        <v>0</v>
      </c>
      <c r="AD3" s="188">
        <f t="shared" si="0"/>
        <v>0</v>
      </c>
      <c r="AE3" s="188">
        <f t="shared" si="0"/>
        <v>0</v>
      </c>
      <c r="AF3" s="188">
        <f t="shared" si="0"/>
        <v>0</v>
      </c>
      <c r="AG3" s="188">
        <f t="shared" si="0"/>
        <v>0</v>
      </c>
      <c r="AH3" s="188">
        <f t="shared" si="0"/>
        <v>0</v>
      </c>
      <c r="AI3" s="188">
        <f t="shared" si="0"/>
        <v>0</v>
      </c>
      <c r="AJ3" s="188">
        <f t="shared" si="0"/>
        <v>27882.899999999994</v>
      </c>
      <c r="AK3" s="188">
        <f t="shared" si="0"/>
        <v>0</v>
      </c>
      <c r="AL3" s="188">
        <f t="shared" si="0"/>
        <v>0</v>
      </c>
      <c r="AM3" s="188">
        <f t="shared" si="0"/>
        <v>0</v>
      </c>
      <c r="AN3" s="188">
        <f t="shared" si="0"/>
        <v>0</v>
      </c>
      <c r="AO3" s="188">
        <f t="shared" si="0"/>
        <v>0</v>
      </c>
      <c r="AP3" s="188">
        <f t="shared" si="0"/>
        <v>0</v>
      </c>
      <c r="AQ3" s="188">
        <f t="shared" si="0"/>
        <v>0</v>
      </c>
      <c r="AR3" s="188">
        <f t="shared" si="0"/>
        <v>0</v>
      </c>
      <c r="AS3" s="188">
        <f t="shared" si="0"/>
        <v>0</v>
      </c>
      <c r="AT3" s="188">
        <f t="shared" si="0"/>
        <v>0</v>
      </c>
      <c r="AU3" s="188">
        <f t="shared" si="0"/>
        <v>0</v>
      </c>
      <c r="AV3" s="188">
        <f t="shared" si="0"/>
        <v>0</v>
      </c>
      <c r="AW3" s="188">
        <f t="shared" si="0"/>
        <v>126483.40000000002</v>
      </c>
    </row>
    <row r="4" spans="1:49" x14ac:dyDescent="0.3">
      <c r="A4" s="187" t="s">
        <v>115</v>
      </c>
      <c r="B4" s="210">
        <v>1</v>
      </c>
      <c r="C4" s="189" t="s">
        <v>3</v>
      </c>
      <c r="D4" s="190" t="s">
        <v>43</v>
      </c>
      <c r="E4" s="190" t="s">
        <v>113</v>
      </c>
      <c r="F4" s="190" t="s">
        <v>2</v>
      </c>
      <c r="G4" s="190">
        <v>0</v>
      </c>
      <c r="H4" s="190">
        <v>25</v>
      </c>
      <c r="I4" s="190">
        <v>99</v>
      </c>
      <c r="J4" s="190">
        <v>100</v>
      </c>
      <c r="K4" s="190">
        <v>101</v>
      </c>
      <c r="L4" s="190">
        <v>102</v>
      </c>
      <c r="M4" s="190">
        <v>103</v>
      </c>
      <c r="N4" s="190">
        <v>203</v>
      </c>
      <c r="O4" s="190">
        <v>302</v>
      </c>
      <c r="P4" s="190">
        <v>303</v>
      </c>
      <c r="Q4" s="190">
        <v>304</v>
      </c>
      <c r="R4" s="190">
        <v>305</v>
      </c>
      <c r="S4" s="190">
        <v>306</v>
      </c>
      <c r="T4" s="190">
        <v>407</v>
      </c>
      <c r="U4" s="190">
        <v>408</v>
      </c>
      <c r="V4" s="190">
        <v>409</v>
      </c>
      <c r="W4" s="190">
        <v>410</v>
      </c>
      <c r="X4" s="190">
        <v>415</v>
      </c>
      <c r="Y4" s="190">
        <v>416</v>
      </c>
      <c r="Z4" s="190">
        <v>418</v>
      </c>
      <c r="AA4" s="190">
        <v>419</v>
      </c>
      <c r="AB4" s="190">
        <v>420</v>
      </c>
      <c r="AC4" s="190">
        <v>421</v>
      </c>
      <c r="AD4" s="190">
        <v>520</v>
      </c>
      <c r="AE4" s="190">
        <v>521</v>
      </c>
      <c r="AF4" s="190">
        <v>522</v>
      </c>
      <c r="AG4" s="190">
        <v>523</v>
      </c>
      <c r="AH4" s="190">
        <v>524</v>
      </c>
      <c r="AI4" s="190">
        <v>525</v>
      </c>
      <c r="AJ4" s="190">
        <v>526</v>
      </c>
      <c r="AK4" s="190">
        <v>527</v>
      </c>
      <c r="AL4" s="190">
        <v>528</v>
      </c>
      <c r="AM4" s="190">
        <v>629</v>
      </c>
      <c r="AN4" s="190">
        <v>630</v>
      </c>
      <c r="AO4" s="190">
        <v>636</v>
      </c>
      <c r="AP4" s="190">
        <v>637</v>
      </c>
      <c r="AQ4" s="190">
        <v>640</v>
      </c>
      <c r="AR4" s="190">
        <v>642</v>
      </c>
      <c r="AS4" s="190">
        <v>743</v>
      </c>
      <c r="AT4" s="190">
        <v>745</v>
      </c>
      <c r="AU4" s="190">
        <v>746</v>
      </c>
      <c r="AV4" s="190">
        <v>747</v>
      </c>
      <c r="AW4" s="190">
        <v>930</v>
      </c>
    </row>
    <row r="5" spans="1:49" x14ac:dyDescent="0.3">
      <c r="A5" s="187" t="s">
        <v>116</v>
      </c>
      <c r="B5" s="210">
        <v>2</v>
      </c>
      <c r="C5" s="187">
        <v>43</v>
      </c>
      <c r="D5" s="187">
        <v>1</v>
      </c>
      <c r="E5" s="187">
        <v>1</v>
      </c>
      <c r="F5" s="187">
        <v>3.45</v>
      </c>
      <c r="G5" s="187">
        <v>0</v>
      </c>
      <c r="H5" s="187">
        <v>0</v>
      </c>
      <c r="I5" s="187">
        <v>0</v>
      </c>
      <c r="J5" s="187">
        <v>0</v>
      </c>
      <c r="K5" s="187">
        <v>2.8</v>
      </c>
      <c r="L5" s="187">
        <v>0</v>
      </c>
      <c r="M5" s="187">
        <v>0</v>
      </c>
      <c r="N5" s="187">
        <v>0</v>
      </c>
      <c r="O5" s="187">
        <v>0</v>
      </c>
      <c r="P5" s="187">
        <v>0</v>
      </c>
      <c r="Q5" s="187">
        <v>0</v>
      </c>
      <c r="R5" s="187">
        <v>0</v>
      </c>
      <c r="S5" s="187">
        <v>0</v>
      </c>
      <c r="T5" s="187">
        <v>0</v>
      </c>
      <c r="U5" s="187">
        <v>0</v>
      </c>
      <c r="V5" s="187">
        <v>0</v>
      </c>
      <c r="W5" s="187">
        <v>0</v>
      </c>
      <c r="X5" s="187">
        <v>0</v>
      </c>
      <c r="Y5" s="187">
        <v>0</v>
      </c>
      <c r="Z5" s="187">
        <v>0</v>
      </c>
      <c r="AA5" s="187">
        <v>0</v>
      </c>
      <c r="AB5" s="187">
        <v>0</v>
      </c>
      <c r="AC5" s="187">
        <v>0</v>
      </c>
      <c r="AD5" s="187">
        <v>0</v>
      </c>
      <c r="AE5" s="187">
        <v>0</v>
      </c>
      <c r="AF5" s="187">
        <v>0</v>
      </c>
      <c r="AG5" s="187">
        <v>0</v>
      </c>
      <c r="AH5" s="187">
        <v>0</v>
      </c>
      <c r="AI5" s="187">
        <v>0</v>
      </c>
      <c r="AJ5" s="187">
        <v>0.05</v>
      </c>
      <c r="AK5" s="187">
        <v>0</v>
      </c>
      <c r="AL5" s="187">
        <v>0</v>
      </c>
      <c r="AM5" s="187">
        <v>0</v>
      </c>
      <c r="AN5" s="187">
        <v>0</v>
      </c>
      <c r="AO5" s="187">
        <v>0</v>
      </c>
      <c r="AP5" s="187">
        <v>0</v>
      </c>
      <c r="AQ5" s="187">
        <v>0</v>
      </c>
      <c r="AR5" s="187">
        <v>0</v>
      </c>
      <c r="AS5" s="187">
        <v>0</v>
      </c>
      <c r="AT5" s="187">
        <v>0</v>
      </c>
      <c r="AU5" s="187">
        <v>0</v>
      </c>
      <c r="AV5" s="187">
        <v>0</v>
      </c>
      <c r="AW5" s="187">
        <v>0.6</v>
      </c>
    </row>
    <row r="6" spans="1:49" x14ac:dyDescent="0.3">
      <c r="A6" s="187" t="s">
        <v>117</v>
      </c>
      <c r="B6" s="210">
        <v>3</v>
      </c>
      <c r="C6" s="187">
        <v>43</v>
      </c>
      <c r="D6" s="187">
        <v>1</v>
      </c>
      <c r="E6" s="187">
        <v>2</v>
      </c>
      <c r="F6" s="187">
        <v>495.6</v>
      </c>
      <c r="G6" s="187">
        <v>0</v>
      </c>
      <c r="H6" s="187">
        <v>0</v>
      </c>
      <c r="I6" s="187">
        <v>0</v>
      </c>
      <c r="J6" s="187">
        <v>0</v>
      </c>
      <c r="K6" s="187">
        <v>386.4</v>
      </c>
      <c r="L6" s="187">
        <v>0</v>
      </c>
      <c r="M6" s="187">
        <v>0</v>
      </c>
      <c r="N6" s="187">
        <v>0</v>
      </c>
      <c r="O6" s="187">
        <v>0</v>
      </c>
      <c r="P6" s="187">
        <v>0</v>
      </c>
      <c r="Q6" s="187">
        <v>0</v>
      </c>
      <c r="R6" s="187">
        <v>0</v>
      </c>
      <c r="S6" s="187">
        <v>0</v>
      </c>
      <c r="T6" s="187">
        <v>0</v>
      </c>
      <c r="U6" s="187">
        <v>0</v>
      </c>
      <c r="V6" s="187">
        <v>0</v>
      </c>
      <c r="W6" s="187">
        <v>0</v>
      </c>
      <c r="X6" s="187">
        <v>0</v>
      </c>
      <c r="Y6" s="187">
        <v>0</v>
      </c>
      <c r="Z6" s="187">
        <v>0</v>
      </c>
      <c r="AA6" s="187">
        <v>0</v>
      </c>
      <c r="AB6" s="187">
        <v>0</v>
      </c>
      <c r="AC6" s="187">
        <v>0</v>
      </c>
      <c r="AD6" s="187">
        <v>0</v>
      </c>
      <c r="AE6" s="187">
        <v>0</v>
      </c>
      <c r="AF6" s="187">
        <v>0</v>
      </c>
      <c r="AG6" s="187">
        <v>0</v>
      </c>
      <c r="AH6" s="187">
        <v>0</v>
      </c>
      <c r="AI6" s="187">
        <v>0</v>
      </c>
      <c r="AJ6" s="187">
        <v>8.4</v>
      </c>
      <c r="AK6" s="187">
        <v>0</v>
      </c>
      <c r="AL6" s="187">
        <v>0</v>
      </c>
      <c r="AM6" s="187">
        <v>0</v>
      </c>
      <c r="AN6" s="187">
        <v>0</v>
      </c>
      <c r="AO6" s="187">
        <v>0</v>
      </c>
      <c r="AP6" s="187">
        <v>0</v>
      </c>
      <c r="AQ6" s="187">
        <v>0</v>
      </c>
      <c r="AR6" s="187">
        <v>0</v>
      </c>
      <c r="AS6" s="187">
        <v>0</v>
      </c>
      <c r="AT6" s="187">
        <v>0</v>
      </c>
      <c r="AU6" s="187">
        <v>0</v>
      </c>
      <c r="AV6" s="187">
        <v>0</v>
      </c>
      <c r="AW6" s="187">
        <v>100.8</v>
      </c>
    </row>
    <row r="7" spans="1:49" x14ac:dyDescent="0.3">
      <c r="A7" s="187" t="s">
        <v>118</v>
      </c>
      <c r="B7" s="210">
        <v>4</v>
      </c>
      <c r="C7" s="187">
        <v>43</v>
      </c>
      <c r="D7" s="187">
        <v>1</v>
      </c>
      <c r="E7" s="187">
        <v>6</v>
      </c>
      <c r="F7" s="187">
        <v>96187</v>
      </c>
      <c r="G7" s="187">
        <v>0</v>
      </c>
      <c r="H7" s="187">
        <v>0</v>
      </c>
      <c r="I7" s="187">
        <v>0</v>
      </c>
      <c r="J7" s="187">
        <v>0</v>
      </c>
      <c r="K7" s="187">
        <v>82034</v>
      </c>
      <c r="L7" s="187">
        <v>0</v>
      </c>
      <c r="M7" s="187">
        <v>0</v>
      </c>
      <c r="N7" s="187">
        <v>0</v>
      </c>
      <c r="O7" s="187">
        <v>0</v>
      </c>
      <c r="P7" s="187">
        <v>0</v>
      </c>
      <c r="Q7" s="187">
        <v>0</v>
      </c>
      <c r="R7" s="187">
        <v>0</v>
      </c>
      <c r="S7" s="187">
        <v>0</v>
      </c>
      <c r="T7" s="187">
        <v>0</v>
      </c>
      <c r="U7" s="187">
        <v>0</v>
      </c>
      <c r="V7" s="187">
        <v>0</v>
      </c>
      <c r="W7" s="187">
        <v>0</v>
      </c>
      <c r="X7" s="187">
        <v>0</v>
      </c>
      <c r="Y7" s="187">
        <v>0</v>
      </c>
      <c r="Z7" s="187">
        <v>0</v>
      </c>
      <c r="AA7" s="187">
        <v>0</v>
      </c>
      <c r="AB7" s="187">
        <v>0</v>
      </c>
      <c r="AC7" s="187">
        <v>0</v>
      </c>
      <c r="AD7" s="187">
        <v>0</v>
      </c>
      <c r="AE7" s="187">
        <v>0</v>
      </c>
      <c r="AF7" s="187">
        <v>0</v>
      </c>
      <c r="AG7" s="187">
        <v>0</v>
      </c>
      <c r="AH7" s="187">
        <v>0</v>
      </c>
      <c r="AI7" s="187">
        <v>0</v>
      </c>
      <c r="AJ7" s="187">
        <v>2250</v>
      </c>
      <c r="AK7" s="187">
        <v>0</v>
      </c>
      <c r="AL7" s="187">
        <v>0</v>
      </c>
      <c r="AM7" s="187">
        <v>0</v>
      </c>
      <c r="AN7" s="187">
        <v>0</v>
      </c>
      <c r="AO7" s="187">
        <v>0</v>
      </c>
      <c r="AP7" s="187">
        <v>0</v>
      </c>
      <c r="AQ7" s="187">
        <v>0</v>
      </c>
      <c r="AR7" s="187">
        <v>0</v>
      </c>
      <c r="AS7" s="187">
        <v>0</v>
      </c>
      <c r="AT7" s="187">
        <v>0</v>
      </c>
      <c r="AU7" s="187">
        <v>0</v>
      </c>
      <c r="AV7" s="187">
        <v>0</v>
      </c>
      <c r="AW7" s="187">
        <v>11903</v>
      </c>
    </row>
    <row r="8" spans="1:49" x14ac:dyDescent="0.3">
      <c r="A8" s="187" t="s">
        <v>119</v>
      </c>
      <c r="B8" s="210">
        <v>5</v>
      </c>
      <c r="C8" s="187">
        <v>43</v>
      </c>
      <c r="D8" s="187">
        <v>1</v>
      </c>
      <c r="E8" s="187">
        <v>11</v>
      </c>
      <c r="F8" s="187">
        <v>572.51908396946567</v>
      </c>
      <c r="G8" s="187">
        <v>0</v>
      </c>
      <c r="H8" s="187">
        <v>0</v>
      </c>
      <c r="I8" s="187">
        <v>0</v>
      </c>
      <c r="J8" s="187">
        <v>572.51908396946567</v>
      </c>
      <c r="K8" s="187">
        <v>0</v>
      </c>
      <c r="L8" s="187">
        <v>0</v>
      </c>
      <c r="M8" s="187">
        <v>0</v>
      </c>
      <c r="N8" s="187">
        <v>0</v>
      </c>
      <c r="O8" s="187">
        <v>0</v>
      </c>
      <c r="P8" s="187">
        <v>0</v>
      </c>
      <c r="Q8" s="187">
        <v>0</v>
      </c>
      <c r="R8" s="187">
        <v>0</v>
      </c>
      <c r="S8" s="187">
        <v>0</v>
      </c>
      <c r="T8" s="187">
        <v>0</v>
      </c>
      <c r="U8" s="187">
        <v>0</v>
      </c>
      <c r="V8" s="187">
        <v>0</v>
      </c>
      <c r="W8" s="187">
        <v>0</v>
      </c>
      <c r="X8" s="187">
        <v>0</v>
      </c>
      <c r="Y8" s="187">
        <v>0</v>
      </c>
      <c r="Z8" s="187">
        <v>0</v>
      </c>
      <c r="AA8" s="187">
        <v>0</v>
      </c>
      <c r="AB8" s="187">
        <v>0</v>
      </c>
      <c r="AC8" s="187">
        <v>0</v>
      </c>
      <c r="AD8" s="187">
        <v>0</v>
      </c>
      <c r="AE8" s="187">
        <v>0</v>
      </c>
      <c r="AF8" s="187">
        <v>0</v>
      </c>
      <c r="AG8" s="187">
        <v>0</v>
      </c>
      <c r="AH8" s="187">
        <v>0</v>
      </c>
      <c r="AI8" s="187">
        <v>0</v>
      </c>
      <c r="AJ8" s="187">
        <v>0</v>
      </c>
      <c r="AK8" s="187">
        <v>0</v>
      </c>
      <c r="AL8" s="187">
        <v>0</v>
      </c>
      <c r="AM8" s="187">
        <v>0</v>
      </c>
      <c r="AN8" s="187">
        <v>0</v>
      </c>
      <c r="AO8" s="187">
        <v>0</v>
      </c>
      <c r="AP8" s="187">
        <v>0</v>
      </c>
      <c r="AQ8" s="187">
        <v>0</v>
      </c>
      <c r="AR8" s="187">
        <v>0</v>
      </c>
      <c r="AS8" s="187">
        <v>0</v>
      </c>
      <c r="AT8" s="187">
        <v>0</v>
      </c>
      <c r="AU8" s="187">
        <v>0</v>
      </c>
      <c r="AV8" s="187">
        <v>0</v>
      </c>
      <c r="AW8" s="187">
        <v>0</v>
      </c>
    </row>
    <row r="9" spans="1:49" x14ac:dyDescent="0.3">
      <c r="A9" s="187" t="s">
        <v>120</v>
      </c>
      <c r="B9" s="210">
        <v>6</v>
      </c>
      <c r="C9" s="187">
        <v>43</v>
      </c>
      <c r="D9" s="187">
        <v>2</v>
      </c>
      <c r="E9" s="187">
        <v>1</v>
      </c>
      <c r="F9" s="187">
        <v>3.45</v>
      </c>
      <c r="G9" s="187">
        <v>0</v>
      </c>
      <c r="H9" s="187">
        <v>0</v>
      </c>
      <c r="I9" s="187">
        <v>0</v>
      </c>
      <c r="J9" s="187">
        <v>0</v>
      </c>
      <c r="K9" s="187">
        <v>2.8</v>
      </c>
      <c r="L9" s="187">
        <v>0</v>
      </c>
      <c r="M9" s="187">
        <v>0</v>
      </c>
      <c r="N9" s="187">
        <v>0</v>
      </c>
      <c r="O9" s="187">
        <v>0</v>
      </c>
      <c r="P9" s="187">
        <v>0</v>
      </c>
      <c r="Q9" s="187">
        <v>0</v>
      </c>
      <c r="R9" s="187">
        <v>0</v>
      </c>
      <c r="S9" s="187">
        <v>0</v>
      </c>
      <c r="T9" s="187">
        <v>0</v>
      </c>
      <c r="U9" s="187">
        <v>0</v>
      </c>
      <c r="V9" s="187">
        <v>0</v>
      </c>
      <c r="W9" s="187">
        <v>0</v>
      </c>
      <c r="X9" s="187">
        <v>0</v>
      </c>
      <c r="Y9" s="187">
        <v>0</v>
      </c>
      <c r="Z9" s="187">
        <v>0</v>
      </c>
      <c r="AA9" s="187">
        <v>0</v>
      </c>
      <c r="AB9" s="187">
        <v>0</v>
      </c>
      <c r="AC9" s="187">
        <v>0</v>
      </c>
      <c r="AD9" s="187">
        <v>0</v>
      </c>
      <c r="AE9" s="187">
        <v>0</v>
      </c>
      <c r="AF9" s="187">
        <v>0</v>
      </c>
      <c r="AG9" s="187">
        <v>0</v>
      </c>
      <c r="AH9" s="187">
        <v>0</v>
      </c>
      <c r="AI9" s="187">
        <v>0</v>
      </c>
      <c r="AJ9" s="187">
        <v>0.05</v>
      </c>
      <c r="AK9" s="187">
        <v>0</v>
      </c>
      <c r="AL9" s="187">
        <v>0</v>
      </c>
      <c r="AM9" s="187">
        <v>0</v>
      </c>
      <c r="AN9" s="187">
        <v>0</v>
      </c>
      <c r="AO9" s="187">
        <v>0</v>
      </c>
      <c r="AP9" s="187">
        <v>0</v>
      </c>
      <c r="AQ9" s="187">
        <v>0</v>
      </c>
      <c r="AR9" s="187">
        <v>0</v>
      </c>
      <c r="AS9" s="187">
        <v>0</v>
      </c>
      <c r="AT9" s="187">
        <v>0</v>
      </c>
      <c r="AU9" s="187">
        <v>0</v>
      </c>
      <c r="AV9" s="187">
        <v>0</v>
      </c>
      <c r="AW9" s="187">
        <v>0.6</v>
      </c>
    </row>
    <row r="10" spans="1:49" x14ac:dyDescent="0.3">
      <c r="A10" s="187" t="s">
        <v>121</v>
      </c>
      <c r="B10" s="210">
        <v>7</v>
      </c>
      <c r="C10" s="187">
        <v>43</v>
      </c>
      <c r="D10" s="187">
        <v>2</v>
      </c>
      <c r="E10" s="187">
        <v>2</v>
      </c>
      <c r="F10" s="187">
        <v>489.2</v>
      </c>
      <c r="G10" s="187">
        <v>0</v>
      </c>
      <c r="H10" s="187">
        <v>0</v>
      </c>
      <c r="I10" s="187">
        <v>0</v>
      </c>
      <c r="J10" s="187">
        <v>0</v>
      </c>
      <c r="K10" s="187">
        <v>380</v>
      </c>
      <c r="L10" s="187">
        <v>0</v>
      </c>
      <c r="M10" s="187">
        <v>0</v>
      </c>
      <c r="N10" s="187">
        <v>0</v>
      </c>
      <c r="O10" s="187">
        <v>0</v>
      </c>
      <c r="P10" s="187">
        <v>0</v>
      </c>
      <c r="Q10" s="187">
        <v>0</v>
      </c>
      <c r="R10" s="187">
        <v>0</v>
      </c>
      <c r="S10" s="187">
        <v>0</v>
      </c>
      <c r="T10" s="187">
        <v>0</v>
      </c>
      <c r="U10" s="187">
        <v>0</v>
      </c>
      <c r="V10" s="187">
        <v>0</v>
      </c>
      <c r="W10" s="187">
        <v>0</v>
      </c>
      <c r="X10" s="187">
        <v>0</v>
      </c>
      <c r="Y10" s="187">
        <v>0</v>
      </c>
      <c r="Z10" s="187">
        <v>0</v>
      </c>
      <c r="AA10" s="187">
        <v>0</v>
      </c>
      <c r="AB10" s="187">
        <v>0</v>
      </c>
      <c r="AC10" s="187">
        <v>0</v>
      </c>
      <c r="AD10" s="187">
        <v>0</v>
      </c>
      <c r="AE10" s="187">
        <v>0</v>
      </c>
      <c r="AF10" s="187">
        <v>0</v>
      </c>
      <c r="AG10" s="187">
        <v>0</v>
      </c>
      <c r="AH10" s="187">
        <v>0</v>
      </c>
      <c r="AI10" s="187">
        <v>0</v>
      </c>
      <c r="AJ10" s="187">
        <v>8.4</v>
      </c>
      <c r="AK10" s="187">
        <v>0</v>
      </c>
      <c r="AL10" s="187">
        <v>0</v>
      </c>
      <c r="AM10" s="187">
        <v>0</v>
      </c>
      <c r="AN10" s="187">
        <v>0</v>
      </c>
      <c r="AO10" s="187">
        <v>0</v>
      </c>
      <c r="AP10" s="187">
        <v>0</v>
      </c>
      <c r="AQ10" s="187">
        <v>0</v>
      </c>
      <c r="AR10" s="187">
        <v>0</v>
      </c>
      <c r="AS10" s="187">
        <v>0</v>
      </c>
      <c r="AT10" s="187">
        <v>0</v>
      </c>
      <c r="AU10" s="187">
        <v>0</v>
      </c>
      <c r="AV10" s="187">
        <v>0</v>
      </c>
      <c r="AW10" s="187">
        <v>100.8</v>
      </c>
    </row>
    <row r="11" spans="1:49" x14ac:dyDescent="0.3">
      <c r="A11" s="187" t="s">
        <v>122</v>
      </c>
      <c r="B11" s="210">
        <v>8</v>
      </c>
      <c r="C11" s="187">
        <v>43</v>
      </c>
      <c r="D11" s="187">
        <v>2</v>
      </c>
      <c r="E11" s="187">
        <v>6</v>
      </c>
      <c r="F11" s="187">
        <v>96147</v>
      </c>
      <c r="G11" s="187">
        <v>0</v>
      </c>
      <c r="H11" s="187">
        <v>0</v>
      </c>
      <c r="I11" s="187">
        <v>0</v>
      </c>
      <c r="J11" s="187">
        <v>0</v>
      </c>
      <c r="K11" s="187">
        <v>81994</v>
      </c>
      <c r="L11" s="187">
        <v>0</v>
      </c>
      <c r="M11" s="187">
        <v>0</v>
      </c>
      <c r="N11" s="187">
        <v>0</v>
      </c>
      <c r="O11" s="187">
        <v>0</v>
      </c>
      <c r="P11" s="187">
        <v>0</v>
      </c>
      <c r="Q11" s="187">
        <v>0</v>
      </c>
      <c r="R11" s="187">
        <v>0</v>
      </c>
      <c r="S11" s="187">
        <v>0</v>
      </c>
      <c r="T11" s="187">
        <v>0</v>
      </c>
      <c r="U11" s="187">
        <v>0</v>
      </c>
      <c r="V11" s="187">
        <v>0</v>
      </c>
      <c r="W11" s="187">
        <v>0</v>
      </c>
      <c r="X11" s="187">
        <v>0</v>
      </c>
      <c r="Y11" s="187">
        <v>0</v>
      </c>
      <c r="Z11" s="187">
        <v>0</v>
      </c>
      <c r="AA11" s="187">
        <v>0</v>
      </c>
      <c r="AB11" s="187">
        <v>0</v>
      </c>
      <c r="AC11" s="187">
        <v>0</v>
      </c>
      <c r="AD11" s="187">
        <v>0</v>
      </c>
      <c r="AE11" s="187">
        <v>0</v>
      </c>
      <c r="AF11" s="187">
        <v>0</v>
      </c>
      <c r="AG11" s="187">
        <v>0</v>
      </c>
      <c r="AH11" s="187">
        <v>0</v>
      </c>
      <c r="AI11" s="187">
        <v>0</v>
      </c>
      <c r="AJ11" s="187">
        <v>2250</v>
      </c>
      <c r="AK11" s="187">
        <v>0</v>
      </c>
      <c r="AL11" s="187">
        <v>0</v>
      </c>
      <c r="AM11" s="187">
        <v>0</v>
      </c>
      <c r="AN11" s="187">
        <v>0</v>
      </c>
      <c r="AO11" s="187">
        <v>0</v>
      </c>
      <c r="AP11" s="187">
        <v>0</v>
      </c>
      <c r="AQ11" s="187">
        <v>0</v>
      </c>
      <c r="AR11" s="187">
        <v>0</v>
      </c>
      <c r="AS11" s="187">
        <v>0</v>
      </c>
      <c r="AT11" s="187">
        <v>0</v>
      </c>
      <c r="AU11" s="187">
        <v>0</v>
      </c>
      <c r="AV11" s="187">
        <v>0</v>
      </c>
      <c r="AW11" s="187">
        <v>11903</v>
      </c>
    </row>
    <row r="12" spans="1:49" x14ac:dyDescent="0.3">
      <c r="A12" s="187" t="s">
        <v>123</v>
      </c>
      <c r="B12" s="210">
        <v>9</v>
      </c>
      <c r="C12" s="187">
        <v>43</v>
      </c>
      <c r="D12" s="187">
        <v>2</v>
      </c>
      <c r="E12" s="187">
        <v>11</v>
      </c>
      <c r="F12" s="187">
        <v>572.51908396946567</v>
      </c>
      <c r="G12" s="187">
        <v>0</v>
      </c>
      <c r="H12" s="187">
        <v>0</v>
      </c>
      <c r="I12" s="187">
        <v>0</v>
      </c>
      <c r="J12" s="187">
        <v>572.51908396946567</v>
      </c>
      <c r="K12" s="187">
        <v>0</v>
      </c>
      <c r="L12" s="187">
        <v>0</v>
      </c>
      <c r="M12" s="187">
        <v>0</v>
      </c>
      <c r="N12" s="187">
        <v>0</v>
      </c>
      <c r="O12" s="187">
        <v>0</v>
      </c>
      <c r="P12" s="187">
        <v>0</v>
      </c>
      <c r="Q12" s="187">
        <v>0</v>
      </c>
      <c r="R12" s="187">
        <v>0</v>
      </c>
      <c r="S12" s="187">
        <v>0</v>
      </c>
      <c r="T12" s="187">
        <v>0</v>
      </c>
      <c r="U12" s="187">
        <v>0</v>
      </c>
      <c r="V12" s="187">
        <v>0</v>
      </c>
      <c r="W12" s="187">
        <v>0</v>
      </c>
      <c r="X12" s="187">
        <v>0</v>
      </c>
      <c r="Y12" s="187">
        <v>0</v>
      </c>
      <c r="Z12" s="187">
        <v>0</v>
      </c>
      <c r="AA12" s="187">
        <v>0</v>
      </c>
      <c r="AB12" s="187">
        <v>0</v>
      </c>
      <c r="AC12" s="187">
        <v>0</v>
      </c>
      <c r="AD12" s="187">
        <v>0</v>
      </c>
      <c r="AE12" s="187">
        <v>0</v>
      </c>
      <c r="AF12" s="187">
        <v>0</v>
      </c>
      <c r="AG12" s="187">
        <v>0</v>
      </c>
      <c r="AH12" s="187">
        <v>0</v>
      </c>
      <c r="AI12" s="187">
        <v>0</v>
      </c>
      <c r="AJ12" s="187">
        <v>0</v>
      </c>
      <c r="AK12" s="187">
        <v>0</v>
      </c>
      <c r="AL12" s="187">
        <v>0</v>
      </c>
      <c r="AM12" s="187">
        <v>0</v>
      </c>
      <c r="AN12" s="187">
        <v>0</v>
      </c>
      <c r="AO12" s="187">
        <v>0</v>
      </c>
      <c r="AP12" s="187">
        <v>0</v>
      </c>
      <c r="AQ12" s="187">
        <v>0</v>
      </c>
      <c r="AR12" s="187">
        <v>0</v>
      </c>
      <c r="AS12" s="187">
        <v>0</v>
      </c>
      <c r="AT12" s="187">
        <v>0</v>
      </c>
      <c r="AU12" s="187">
        <v>0</v>
      </c>
      <c r="AV12" s="187">
        <v>0</v>
      </c>
      <c r="AW12" s="187">
        <v>0</v>
      </c>
    </row>
    <row r="13" spans="1:49" x14ac:dyDescent="0.3">
      <c r="A13" s="187" t="s">
        <v>124</v>
      </c>
      <c r="B13" s="210">
        <v>10</v>
      </c>
      <c r="C13" s="187">
        <v>43</v>
      </c>
      <c r="D13" s="187">
        <v>3</v>
      </c>
      <c r="E13" s="187">
        <v>1</v>
      </c>
      <c r="F13" s="187">
        <v>3.45</v>
      </c>
      <c r="G13" s="187">
        <v>0</v>
      </c>
      <c r="H13" s="187">
        <v>0</v>
      </c>
      <c r="I13" s="187">
        <v>0</v>
      </c>
      <c r="J13" s="187">
        <v>0</v>
      </c>
      <c r="K13" s="187">
        <v>2.8</v>
      </c>
      <c r="L13" s="187">
        <v>0</v>
      </c>
      <c r="M13" s="187">
        <v>0</v>
      </c>
      <c r="N13" s="187">
        <v>0</v>
      </c>
      <c r="O13" s="187">
        <v>0</v>
      </c>
      <c r="P13" s="187">
        <v>0</v>
      </c>
      <c r="Q13" s="187">
        <v>0</v>
      </c>
      <c r="R13" s="187">
        <v>0</v>
      </c>
      <c r="S13" s="187">
        <v>0</v>
      </c>
      <c r="T13" s="187">
        <v>0</v>
      </c>
      <c r="U13" s="187">
        <v>0</v>
      </c>
      <c r="V13" s="187">
        <v>0</v>
      </c>
      <c r="W13" s="187">
        <v>0</v>
      </c>
      <c r="X13" s="187">
        <v>0</v>
      </c>
      <c r="Y13" s="187">
        <v>0</v>
      </c>
      <c r="Z13" s="187">
        <v>0</v>
      </c>
      <c r="AA13" s="187">
        <v>0</v>
      </c>
      <c r="AB13" s="187">
        <v>0</v>
      </c>
      <c r="AC13" s="187">
        <v>0</v>
      </c>
      <c r="AD13" s="187">
        <v>0</v>
      </c>
      <c r="AE13" s="187">
        <v>0</v>
      </c>
      <c r="AF13" s="187">
        <v>0</v>
      </c>
      <c r="AG13" s="187">
        <v>0</v>
      </c>
      <c r="AH13" s="187">
        <v>0</v>
      </c>
      <c r="AI13" s="187">
        <v>0</v>
      </c>
      <c r="AJ13" s="187">
        <v>0.05</v>
      </c>
      <c r="AK13" s="187">
        <v>0</v>
      </c>
      <c r="AL13" s="187">
        <v>0</v>
      </c>
      <c r="AM13" s="187">
        <v>0</v>
      </c>
      <c r="AN13" s="187">
        <v>0</v>
      </c>
      <c r="AO13" s="187">
        <v>0</v>
      </c>
      <c r="AP13" s="187">
        <v>0</v>
      </c>
      <c r="AQ13" s="187">
        <v>0</v>
      </c>
      <c r="AR13" s="187">
        <v>0</v>
      </c>
      <c r="AS13" s="187">
        <v>0</v>
      </c>
      <c r="AT13" s="187">
        <v>0</v>
      </c>
      <c r="AU13" s="187">
        <v>0</v>
      </c>
      <c r="AV13" s="187">
        <v>0</v>
      </c>
      <c r="AW13" s="187">
        <v>0.6</v>
      </c>
    </row>
    <row r="14" spans="1:49" x14ac:dyDescent="0.3">
      <c r="A14" s="187" t="s">
        <v>125</v>
      </c>
      <c r="B14" s="210">
        <v>11</v>
      </c>
      <c r="C14" s="187">
        <v>43</v>
      </c>
      <c r="D14" s="187">
        <v>3</v>
      </c>
      <c r="E14" s="187">
        <v>2</v>
      </c>
      <c r="F14" s="187">
        <v>534.79999999999995</v>
      </c>
      <c r="G14" s="187">
        <v>0</v>
      </c>
      <c r="H14" s="187">
        <v>0</v>
      </c>
      <c r="I14" s="187">
        <v>0</v>
      </c>
      <c r="J14" s="187">
        <v>0</v>
      </c>
      <c r="K14" s="187">
        <v>419.2</v>
      </c>
      <c r="L14" s="187">
        <v>0</v>
      </c>
      <c r="M14" s="187">
        <v>0</v>
      </c>
      <c r="N14" s="187">
        <v>0</v>
      </c>
      <c r="O14" s="187">
        <v>0</v>
      </c>
      <c r="P14" s="187">
        <v>0</v>
      </c>
      <c r="Q14" s="187">
        <v>0</v>
      </c>
      <c r="R14" s="187">
        <v>0</v>
      </c>
      <c r="S14" s="187">
        <v>0</v>
      </c>
      <c r="T14" s="187">
        <v>0</v>
      </c>
      <c r="U14" s="187">
        <v>0</v>
      </c>
      <c r="V14" s="187">
        <v>0</v>
      </c>
      <c r="W14" s="187">
        <v>0</v>
      </c>
      <c r="X14" s="187">
        <v>0</v>
      </c>
      <c r="Y14" s="187">
        <v>0</v>
      </c>
      <c r="Z14" s="187">
        <v>0</v>
      </c>
      <c r="AA14" s="187">
        <v>0</v>
      </c>
      <c r="AB14" s="187">
        <v>0</v>
      </c>
      <c r="AC14" s="187">
        <v>0</v>
      </c>
      <c r="AD14" s="187">
        <v>0</v>
      </c>
      <c r="AE14" s="187">
        <v>0</v>
      </c>
      <c r="AF14" s="187">
        <v>0</v>
      </c>
      <c r="AG14" s="187">
        <v>0</v>
      </c>
      <c r="AH14" s="187">
        <v>0</v>
      </c>
      <c r="AI14" s="187">
        <v>0</v>
      </c>
      <c r="AJ14" s="187">
        <v>9.1999999999999993</v>
      </c>
      <c r="AK14" s="187">
        <v>0</v>
      </c>
      <c r="AL14" s="187">
        <v>0</v>
      </c>
      <c r="AM14" s="187">
        <v>0</v>
      </c>
      <c r="AN14" s="187">
        <v>0</v>
      </c>
      <c r="AO14" s="187">
        <v>0</v>
      </c>
      <c r="AP14" s="187">
        <v>0</v>
      </c>
      <c r="AQ14" s="187">
        <v>0</v>
      </c>
      <c r="AR14" s="187">
        <v>0</v>
      </c>
      <c r="AS14" s="187">
        <v>0</v>
      </c>
      <c r="AT14" s="187">
        <v>0</v>
      </c>
      <c r="AU14" s="187">
        <v>0</v>
      </c>
      <c r="AV14" s="187">
        <v>0</v>
      </c>
      <c r="AW14" s="187">
        <v>106.4</v>
      </c>
    </row>
    <row r="15" spans="1:49" x14ac:dyDescent="0.3">
      <c r="A15" s="187" t="s">
        <v>126</v>
      </c>
      <c r="B15" s="210">
        <v>12</v>
      </c>
      <c r="C15" s="187">
        <v>43</v>
      </c>
      <c r="D15" s="187">
        <v>3</v>
      </c>
      <c r="E15" s="187">
        <v>6</v>
      </c>
      <c r="F15" s="187">
        <v>99644</v>
      </c>
      <c r="G15" s="187">
        <v>0</v>
      </c>
      <c r="H15" s="187">
        <v>0</v>
      </c>
      <c r="I15" s="187">
        <v>0</v>
      </c>
      <c r="J15" s="187">
        <v>0</v>
      </c>
      <c r="K15" s="187">
        <v>85445</v>
      </c>
      <c r="L15" s="187">
        <v>0</v>
      </c>
      <c r="M15" s="187">
        <v>0</v>
      </c>
      <c r="N15" s="187">
        <v>0</v>
      </c>
      <c r="O15" s="187">
        <v>0</v>
      </c>
      <c r="P15" s="187">
        <v>0</v>
      </c>
      <c r="Q15" s="187">
        <v>0</v>
      </c>
      <c r="R15" s="187">
        <v>0</v>
      </c>
      <c r="S15" s="187">
        <v>0</v>
      </c>
      <c r="T15" s="187">
        <v>0</v>
      </c>
      <c r="U15" s="187">
        <v>0</v>
      </c>
      <c r="V15" s="187">
        <v>0</v>
      </c>
      <c r="W15" s="187">
        <v>0</v>
      </c>
      <c r="X15" s="187">
        <v>0</v>
      </c>
      <c r="Y15" s="187">
        <v>0</v>
      </c>
      <c r="Z15" s="187">
        <v>0</v>
      </c>
      <c r="AA15" s="187">
        <v>0</v>
      </c>
      <c r="AB15" s="187">
        <v>0</v>
      </c>
      <c r="AC15" s="187">
        <v>0</v>
      </c>
      <c r="AD15" s="187">
        <v>0</v>
      </c>
      <c r="AE15" s="187">
        <v>0</v>
      </c>
      <c r="AF15" s="187">
        <v>0</v>
      </c>
      <c r="AG15" s="187">
        <v>0</v>
      </c>
      <c r="AH15" s="187">
        <v>0</v>
      </c>
      <c r="AI15" s="187">
        <v>0</v>
      </c>
      <c r="AJ15" s="187">
        <v>2250</v>
      </c>
      <c r="AK15" s="187">
        <v>0</v>
      </c>
      <c r="AL15" s="187">
        <v>0</v>
      </c>
      <c r="AM15" s="187">
        <v>0</v>
      </c>
      <c r="AN15" s="187">
        <v>0</v>
      </c>
      <c r="AO15" s="187">
        <v>0</v>
      </c>
      <c r="AP15" s="187">
        <v>0</v>
      </c>
      <c r="AQ15" s="187">
        <v>0</v>
      </c>
      <c r="AR15" s="187">
        <v>0</v>
      </c>
      <c r="AS15" s="187">
        <v>0</v>
      </c>
      <c r="AT15" s="187">
        <v>0</v>
      </c>
      <c r="AU15" s="187">
        <v>0</v>
      </c>
      <c r="AV15" s="187">
        <v>0</v>
      </c>
      <c r="AW15" s="187">
        <v>11949</v>
      </c>
    </row>
    <row r="16" spans="1:49" x14ac:dyDescent="0.3">
      <c r="A16" s="187" t="s">
        <v>114</v>
      </c>
      <c r="B16" s="210">
        <v>2016</v>
      </c>
      <c r="C16" s="187">
        <v>43</v>
      </c>
      <c r="D16" s="187">
        <v>3</v>
      </c>
      <c r="E16" s="187">
        <v>11</v>
      </c>
      <c r="F16" s="187">
        <v>572.51908396946567</v>
      </c>
      <c r="G16" s="187">
        <v>0</v>
      </c>
      <c r="H16" s="187">
        <v>0</v>
      </c>
      <c r="I16" s="187">
        <v>0</v>
      </c>
      <c r="J16" s="187">
        <v>572.51908396946567</v>
      </c>
      <c r="K16" s="187">
        <v>0</v>
      </c>
      <c r="L16" s="187">
        <v>0</v>
      </c>
      <c r="M16" s="187">
        <v>0</v>
      </c>
      <c r="N16" s="187">
        <v>0</v>
      </c>
      <c r="O16" s="187">
        <v>0</v>
      </c>
      <c r="P16" s="187">
        <v>0</v>
      </c>
      <c r="Q16" s="187">
        <v>0</v>
      </c>
      <c r="R16" s="187">
        <v>0</v>
      </c>
      <c r="S16" s="187">
        <v>0</v>
      </c>
      <c r="T16" s="187">
        <v>0</v>
      </c>
      <c r="U16" s="187">
        <v>0</v>
      </c>
      <c r="V16" s="187">
        <v>0</v>
      </c>
      <c r="W16" s="187">
        <v>0</v>
      </c>
      <c r="X16" s="187">
        <v>0</v>
      </c>
      <c r="Y16" s="187">
        <v>0</v>
      </c>
      <c r="Z16" s="187">
        <v>0</v>
      </c>
      <c r="AA16" s="187">
        <v>0</v>
      </c>
      <c r="AB16" s="187">
        <v>0</v>
      </c>
      <c r="AC16" s="187">
        <v>0</v>
      </c>
      <c r="AD16" s="187">
        <v>0</v>
      </c>
      <c r="AE16" s="187">
        <v>0</v>
      </c>
      <c r="AF16" s="187">
        <v>0</v>
      </c>
      <c r="AG16" s="187">
        <v>0</v>
      </c>
      <c r="AH16" s="187">
        <v>0</v>
      </c>
      <c r="AI16" s="187">
        <v>0</v>
      </c>
      <c r="AJ16" s="187">
        <v>0</v>
      </c>
      <c r="AK16" s="187">
        <v>0</v>
      </c>
      <c r="AL16" s="187">
        <v>0</v>
      </c>
      <c r="AM16" s="187">
        <v>0</v>
      </c>
      <c r="AN16" s="187">
        <v>0</v>
      </c>
      <c r="AO16" s="187">
        <v>0</v>
      </c>
      <c r="AP16" s="187">
        <v>0</v>
      </c>
      <c r="AQ16" s="187">
        <v>0</v>
      </c>
      <c r="AR16" s="187">
        <v>0</v>
      </c>
      <c r="AS16" s="187">
        <v>0</v>
      </c>
      <c r="AT16" s="187">
        <v>0</v>
      </c>
      <c r="AU16" s="187">
        <v>0</v>
      </c>
      <c r="AV16" s="187">
        <v>0</v>
      </c>
      <c r="AW16" s="187">
        <v>0</v>
      </c>
    </row>
    <row r="17" spans="3:49" x14ac:dyDescent="0.3">
      <c r="C17" s="187">
        <v>43</v>
      </c>
      <c r="D17" s="187">
        <v>4</v>
      </c>
      <c r="E17" s="187">
        <v>1</v>
      </c>
      <c r="F17" s="187">
        <v>3.45</v>
      </c>
      <c r="G17" s="187">
        <v>0</v>
      </c>
      <c r="H17" s="187">
        <v>0</v>
      </c>
      <c r="I17" s="187">
        <v>1.8</v>
      </c>
      <c r="J17" s="187">
        <v>0</v>
      </c>
      <c r="K17" s="187">
        <v>1</v>
      </c>
      <c r="L17" s="187">
        <v>0</v>
      </c>
      <c r="M17" s="187">
        <v>0</v>
      </c>
      <c r="N17" s="187">
        <v>0</v>
      </c>
      <c r="O17" s="187">
        <v>0</v>
      </c>
      <c r="P17" s="187">
        <v>0</v>
      </c>
      <c r="Q17" s="187">
        <v>0</v>
      </c>
      <c r="R17" s="187">
        <v>0</v>
      </c>
      <c r="S17" s="187">
        <v>0</v>
      </c>
      <c r="T17" s="187">
        <v>0</v>
      </c>
      <c r="U17" s="187">
        <v>0</v>
      </c>
      <c r="V17" s="187">
        <v>0</v>
      </c>
      <c r="W17" s="187">
        <v>0</v>
      </c>
      <c r="X17" s="187">
        <v>0</v>
      </c>
      <c r="Y17" s="187">
        <v>0</v>
      </c>
      <c r="Z17" s="187">
        <v>0</v>
      </c>
      <c r="AA17" s="187">
        <v>0</v>
      </c>
      <c r="AB17" s="187">
        <v>0</v>
      </c>
      <c r="AC17" s="187">
        <v>0</v>
      </c>
      <c r="AD17" s="187">
        <v>0</v>
      </c>
      <c r="AE17" s="187">
        <v>0</v>
      </c>
      <c r="AF17" s="187">
        <v>0</v>
      </c>
      <c r="AG17" s="187">
        <v>0</v>
      </c>
      <c r="AH17" s="187">
        <v>0</v>
      </c>
      <c r="AI17" s="187">
        <v>0</v>
      </c>
      <c r="AJ17" s="187">
        <v>0.05</v>
      </c>
      <c r="AK17" s="187">
        <v>0</v>
      </c>
      <c r="AL17" s="187">
        <v>0</v>
      </c>
      <c r="AM17" s="187">
        <v>0</v>
      </c>
      <c r="AN17" s="187">
        <v>0</v>
      </c>
      <c r="AO17" s="187">
        <v>0</v>
      </c>
      <c r="AP17" s="187">
        <v>0</v>
      </c>
      <c r="AQ17" s="187">
        <v>0</v>
      </c>
      <c r="AR17" s="187">
        <v>0</v>
      </c>
      <c r="AS17" s="187">
        <v>0</v>
      </c>
      <c r="AT17" s="187">
        <v>0</v>
      </c>
      <c r="AU17" s="187">
        <v>0</v>
      </c>
      <c r="AV17" s="187">
        <v>0</v>
      </c>
      <c r="AW17" s="187">
        <v>0.6</v>
      </c>
    </row>
    <row r="18" spans="3:49" x14ac:dyDescent="0.3">
      <c r="C18" s="187">
        <v>43</v>
      </c>
      <c r="D18" s="187">
        <v>4</v>
      </c>
      <c r="E18" s="187">
        <v>2</v>
      </c>
      <c r="F18" s="187">
        <v>454</v>
      </c>
      <c r="G18" s="187">
        <v>0</v>
      </c>
      <c r="H18" s="187">
        <v>0</v>
      </c>
      <c r="I18" s="187">
        <v>262.39999999999998</v>
      </c>
      <c r="J18" s="187">
        <v>0</v>
      </c>
      <c r="K18" s="187">
        <v>84</v>
      </c>
      <c r="L18" s="187">
        <v>0</v>
      </c>
      <c r="M18" s="187">
        <v>0</v>
      </c>
      <c r="N18" s="187">
        <v>0</v>
      </c>
      <c r="O18" s="187">
        <v>0</v>
      </c>
      <c r="P18" s="187">
        <v>0</v>
      </c>
      <c r="Q18" s="187">
        <v>0</v>
      </c>
      <c r="R18" s="187">
        <v>0</v>
      </c>
      <c r="S18" s="187">
        <v>0</v>
      </c>
      <c r="T18" s="187">
        <v>0</v>
      </c>
      <c r="U18" s="187">
        <v>0</v>
      </c>
      <c r="V18" s="187">
        <v>0</v>
      </c>
      <c r="W18" s="187">
        <v>0</v>
      </c>
      <c r="X18" s="187">
        <v>0</v>
      </c>
      <c r="Y18" s="187">
        <v>0</v>
      </c>
      <c r="Z18" s="187">
        <v>0</v>
      </c>
      <c r="AA18" s="187">
        <v>0</v>
      </c>
      <c r="AB18" s="187">
        <v>0</v>
      </c>
      <c r="AC18" s="187">
        <v>0</v>
      </c>
      <c r="AD18" s="187">
        <v>0</v>
      </c>
      <c r="AE18" s="187">
        <v>0</v>
      </c>
      <c r="AF18" s="187">
        <v>0</v>
      </c>
      <c r="AG18" s="187">
        <v>0</v>
      </c>
      <c r="AH18" s="187">
        <v>0</v>
      </c>
      <c r="AI18" s="187">
        <v>0</v>
      </c>
      <c r="AJ18" s="187">
        <v>8.4</v>
      </c>
      <c r="AK18" s="187">
        <v>0</v>
      </c>
      <c r="AL18" s="187">
        <v>0</v>
      </c>
      <c r="AM18" s="187">
        <v>0</v>
      </c>
      <c r="AN18" s="187">
        <v>0</v>
      </c>
      <c r="AO18" s="187">
        <v>0</v>
      </c>
      <c r="AP18" s="187">
        <v>0</v>
      </c>
      <c r="AQ18" s="187">
        <v>0</v>
      </c>
      <c r="AR18" s="187">
        <v>0</v>
      </c>
      <c r="AS18" s="187">
        <v>0</v>
      </c>
      <c r="AT18" s="187">
        <v>0</v>
      </c>
      <c r="AU18" s="187">
        <v>0</v>
      </c>
      <c r="AV18" s="187">
        <v>0</v>
      </c>
      <c r="AW18" s="187">
        <v>99.2</v>
      </c>
    </row>
    <row r="19" spans="3:49" x14ac:dyDescent="0.3">
      <c r="C19" s="187">
        <v>43</v>
      </c>
      <c r="D19" s="187">
        <v>4</v>
      </c>
      <c r="E19" s="187">
        <v>6</v>
      </c>
      <c r="F19" s="187">
        <v>98985</v>
      </c>
      <c r="G19" s="187">
        <v>0</v>
      </c>
      <c r="H19" s="187">
        <v>0</v>
      </c>
      <c r="I19" s="187">
        <v>52439</v>
      </c>
      <c r="J19" s="187">
        <v>0</v>
      </c>
      <c r="K19" s="187">
        <v>32390</v>
      </c>
      <c r="L19" s="187">
        <v>0</v>
      </c>
      <c r="M19" s="187">
        <v>0</v>
      </c>
      <c r="N19" s="187">
        <v>0</v>
      </c>
      <c r="O19" s="187">
        <v>0</v>
      </c>
      <c r="P19" s="187">
        <v>0</v>
      </c>
      <c r="Q19" s="187">
        <v>0</v>
      </c>
      <c r="R19" s="187">
        <v>0</v>
      </c>
      <c r="S19" s="187">
        <v>0</v>
      </c>
      <c r="T19" s="187">
        <v>0</v>
      </c>
      <c r="U19" s="187">
        <v>0</v>
      </c>
      <c r="V19" s="187">
        <v>0</v>
      </c>
      <c r="W19" s="187">
        <v>0</v>
      </c>
      <c r="X19" s="187">
        <v>0</v>
      </c>
      <c r="Y19" s="187">
        <v>0</v>
      </c>
      <c r="Z19" s="187">
        <v>0</v>
      </c>
      <c r="AA19" s="187">
        <v>0</v>
      </c>
      <c r="AB19" s="187">
        <v>0</v>
      </c>
      <c r="AC19" s="187">
        <v>0</v>
      </c>
      <c r="AD19" s="187">
        <v>0</v>
      </c>
      <c r="AE19" s="187">
        <v>0</v>
      </c>
      <c r="AF19" s="187">
        <v>0</v>
      </c>
      <c r="AG19" s="187">
        <v>0</v>
      </c>
      <c r="AH19" s="187">
        <v>0</v>
      </c>
      <c r="AI19" s="187">
        <v>0</v>
      </c>
      <c r="AJ19" s="187">
        <v>2250</v>
      </c>
      <c r="AK19" s="187">
        <v>0</v>
      </c>
      <c r="AL19" s="187">
        <v>0</v>
      </c>
      <c r="AM19" s="187">
        <v>0</v>
      </c>
      <c r="AN19" s="187">
        <v>0</v>
      </c>
      <c r="AO19" s="187">
        <v>0</v>
      </c>
      <c r="AP19" s="187">
        <v>0</v>
      </c>
      <c r="AQ19" s="187">
        <v>0</v>
      </c>
      <c r="AR19" s="187">
        <v>0</v>
      </c>
      <c r="AS19" s="187">
        <v>0</v>
      </c>
      <c r="AT19" s="187">
        <v>0</v>
      </c>
      <c r="AU19" s="187">
        <v>0</v>
      </c>
      <c r="AV19" s="187">
        <v>0</v>
      </c>
      <c r="AW19" s="187">
        <v>11906</v>
      </c>
    </row>
    <row r="20" spans="3:49" x14ac:dyDescent="0.3">
      <c r="C20" s="187">
        <v>43</v>
      </c>
      <c r="D20" s="187">
        <v>4</v>
      </c>
      <c r="E20" s="187">
        <v>11</v>
      </c>
      <c r="F20" s="187">
        <v>572.51908396946567</v>
      </c>
      <c r="G20" s="187">
        <v>0</v>
      </c>
      <c r="H20" s="187">
        <v>0</v>
      </c>
      <c r="I20" s="187">
        <v>0</v>
      </c>
      <c r="J20" s="187">
        <v>572.51908396946567</v>
      </c>
      <c r="K20" s="187">
        <v>0</v>
      </c>
      <c r="L20" s="187">
        <v>0</v>
      </c>
      <c r="M20" s="187">
        <v>0</v>
      </c>
      <c r="N20" s="187">
        <v>0</v>
      </c>
      <c r="O20" s="187">
        <v>0</v>
      </c>
      <c r="P20" s="187">
        <v>0</v>
      </c>
      <c r="Q20" s="187">
        <v>0</v>
      </c>
      <c r="R20" s="187">
        <v>0</v>
      </c>
      <c r="S20" s="187">
        <v>0</v>
      </c>
      <c r="T20" s="187">
        <v>0</v>
      </c>
      <c r="U20" s="187">
        <v>0</v>
      </c>
      <c r="V20" s="187">
        <v>0</v>
      </c>
      <c r="W20" s="187">
        <v>0</v>
      </c>
      <c r="X20" s="187">
        <v>0</v>
      </c>
      <c r="Y20" s="187">
        <v>0</v>
      </c>
      <c r="Z20" s="187">
        <v>0</v>
      </c>
      <c r="AA20" s="187">
        <v>0</v>
      </c>
      <c r="AB20" s="187">
        <v>0</v>
      </c>
      <c r="AC20" s="187">
        <v>0</v>
      </c>
      <c r="AD20" s="187">
        <v>0</v>
      </c>
      <c r="AE20" s="187">
        <v>0</v>
      </c>
      <c r="AF20" s="187">
        <v>0</v>
      </c>
      <c r="AG20" s="187">
        <v>0</v>
      </c>
      <c r="AH20" s="187">
        <v>0</v>
      </c>
      <c r="AI20" s="187">
        <v>0</v>
      </c>
      <c r="AJ20" s="187">
        <v>0</v>
      </c>
      <c r="AK20" s="187">
        <v>0</v>
      </c>
      <c r="AL20" s="187">
        <v>0</v>
      </c>
      <c r="AM20" s="187">
        <v>0</v>
      </c>
      <c r="AN20" s="187">
        <v>0</v>
      </c>
      <c r="AO20" s="187">
        <v>0</v>
      </c>
      <c r="AP20" s="187">
        <v>0</v>
      </c>
      <c r="AQ20" s="187">
        <v>0</v>
      </c>
      <c r="AR20" s="187">
        <v>0</v>
      </c>
      <c r="AS20" s="187">
        <v>0</v>
      </c>
      <c r="AT20" s="187">
        <v>0</v>
      </c>
      <c r="AU20" s="187">
        <v>0</v>
      </c>
      <c r="AV20" s="187">
        <v>0</v>
      </c>
      <c r="AW20" s="187">
        <v>0</v>
      </c>
    </row>
    <row r="21" spans="3:49" x14ac:dyDescent="0.3">
      <c r="C21" s="187">
        <v>43</v>
      </c>
      <c r="D21" s="187">
        <v>5</v>
      </c>
      <c r="E21" s="187">
        <v>1</v>
      </c>
      <c r="F21" s="187">
        <v>3.45</v>
      </c>
      <c r="G21" s="187">
        <v>0</v>
      </c>
      <c r="H21" s="187">
        <v>0</v>
      </c>
      <c r="I21" s="187">
        <v>1.8</v>
      </c>
      <c r="J21" s="187">
        <v>0</v>
      </c>
      <c r="K21" s="187">
        <v>1</v>
      </c>
      <c r="L21" s="187">
        <v>0</v>
      </c>
      <c r="M21" s="187">
        <v>0</v>
      </c>
      <c r="N21" s="187">
        <v>0</v>
      </c>
      <c r="O21" s="187">
        <v>0</v>
      </c>
      <c r="P21" s="187">
        <v>0</v>
      </c>
      <c r="Q21" s="187">
        <v>0</v>
      </c>
      <c r="R21" s="187">
        <v>0</v>
      </c>
      <c r="S21" s="187">
        <v>0</v>
      </c>
      <c r="T21" s="187">
        <v>0</v>
      </c>
      <c r="U21" s="187">
        <v>0</v>
      </c>
      <c r="V21" s="187">
        <v>0</v>
      </c>
      <c r="W21" s="187">
        <v>0</v>
      </c>
      <c r="X21" s="187">
        <v>0</v>
      </c>
      <c r="Y21" s="187">
        <v>0</v>
      </c>
      <c r="Z21" s="187">
        <v>0</v>
      </c>
      <c r="AA21" s="187">
        <v>0</v>
      </c>
      <c r="AB21" s="187">
        <v>0</v>
      </c>
      <c r="AC21" s="187">
        <v>0</v>
      </c>
      <c r="AD21" s="187">
        <v>0</v>
      </c>
      <c r="AE21" s="187">
        <v>0</v>
      </c>
      <c r="AF21" s="187">
        <v>0</v>
      </c>
      <c r="AG21" s="187">
        <v>0</v>
      </c>
      <c r="AH21" s="187">
        <v>0</v>
      </c>
      <c r="AI21" s="187">
        <v>0</v>
      </c>
      <c r="AJ21" s="187">
        <v>0.05</v>
      </c>
      <c r="AK21" s="187">
        <v>0</v>
      </c>
      <c r="AL21" s="187">
        <v>0</v>
      </c>
      <c r="AM21" s="187">
        <v>0</v>
      </c>
      <c r="AN21" s="187">
        <v>0</v>
      </c>
      <c r="AO21" s="187">
        <v>0</v>
      </c>
      <c r="AP21" s="187">
        <v>0</v>
      </c>
      <c r="AQ21" s="187">
        <v>0</v>
      </c>
      <c r="AR21" s="187">
        <v>0</v>
      </c>
      <c r="AS21" s="187">
        <v>0</v>
      </c>
      <c r="AT21" s="187">
        <v>0</v>
      </c>
      <c r="AU21" s="187">
        <v>0</v>
      </c>
      <c r="AV21" s="187">
        <v>0</v>
      </c>
      <c r="AW21" s="187">
        <v>0.6</v>
      </c>
    </row>
    <row r="22" spans="3:49" x14ac:dyDescent="0.3">
      <c r="C22" s="187">
        <v>43</v>
      </c>
      <c r="D22" s="187">
        <v>5</v>
      </c>
      <c r="E22" s="187">
        <v>2</v>
      </c>
      <c r="F22" s="187">
        <v>527.20000000000005</v>
      </c>
      <c r="G22" s="187">
        <v>0</v>
      </c>
      <c r="H22" s="187">
        <v>0</v>
      </c>
      <c r="I22" s="187">
        <v>316.8</v>
      </c>
      <c r="J22" s="187">
        <v>0</v>
      </c>
      <c r="K22" s="187">
        <v>96</v>
      </c>
      <c r="L22" s="187">
        <v>0</v>
      </c>
      <c r="M22" s="187">
        <v>0</v>
      </c>
      <c r="N22" s="187">
        <v>0</v>
      </c>
      <c r="O22" s="187">
        <v>0</v>
      </c>
      <c r="P22" s="187">
        <v>0</v>
      </c>
      <c r="Q22" s="187">
        <v>0</v>
      </c>
      <c r="R22" s="187">
        <v>0</v>
      </c>
      <c r="S22" s="187">
        <v>0</v>
      </c>
      <c r="T22" s="187">
        <v>0</v>
      </c>
      <c r="U22" s="187">
        <v>0</v>
      </c>
      <c r="V22" s="187">
        <v>0</v>
      </c>
      <c r="W22" s="187">
        <v>0</v>
      </c>
      <c r="X22" s="187">
        <v>0</v>
      </c>
      <c r="Y22" s="187">
        <v>0</v>
      </c>
      <c r="Z22" s="187">
        <v>0</v>
      </c>
      <c r="AA22" s="187">
        <v>0</v>
      </c>
      <c r="AB22" s="187">
        <v>0</v>
      </c>
      <c r="AC22" s="187">
        <v>0</v>
      </c>
      <c r="AD22" s="187">
        <v>0</v>
      </c>
      <c r="AE22" s="187">
        <v>0</v>
      </c>
      <c r="AF22" s="187">
        <v>0</v>
      </c>
      <c r="AG22" s="187">
        <v>0</v>
      </c>
      <c r="AH22" s="187">
        <v>0</v>
      </c>
      <c r="AI22" s="187">
        <v>0</v>
      </c>
      <c r="AJ22" s="187">
        <v>8.8000000000000007</v>
      </c>
      <c r="AK22" s="187">
        <v>0</v>
      </c>
      <c r="AL22" s="187">
        <v>0</v>
      </c>
      <c r="AM22" s="187">
        <v>0</v>
      </c>
      <c r="AN22" s="187">
        <v>0</v>
      </c>
      <c r="AO22" s="187">
        <v>0</v>
      </c>
      <c r="AP22" s="187">
        <v>0</v>
      </c>
      <c r="AQ22" s="187">
        <v>0</v>
      </c>
      <c r="AR22" s="187">
        <v>0</v>
      </c>
      <c r="AS22" s="187">
        <v>0</v>
      </c>
      <c r="AT22" s="187">
        <v>0</v>
      </c>
      <c r="AU22" s="187">
        <v>0</v>
      </c>
      <c r="AV22" s="187">
        <v>0</v>
      </c>
      <c r="AW22" s="187">
        <v>105.6</v>
      </c>
    </row>
    <row r="23" spans="3:49" x14ac:dyDescent="0.3">
      <c r="C23" s="187">
        <v>43</v>
      </c>
      <c r="D23" s="187">
        <v>5</v>
      </c>
      <c r="E23" s="187">
        <v>6</v>
      </c>
      <c r="F23" s="187">
        <v>108300</v>
      </c>
      <c r="G23" s="187">
        <v>0</v>
      </c>
      <c r="H23" s="187">
        <v>0</v>
      </c>
      <c r="I23" s="187">
        <v>52144</v>
      </c>
      <c r="J23" s="187">
        <v>0</v>
      </c>
      <c r="K23" s="187">
        <v>42003</v>
      </c>
      <c r="L23" s="187">
        <v>0</v>
      </c>
      <c r="M23" s="187">
        <v>0</v>
      </c>
      <c r="N23" s="187">
        <v>0</v>
      </c>
      <c r="O23" s="187">
        <v>0</v>
      </c>
      <c r="P23" s="187">
        <v>0</v>
      </c>
      <c r="Q23" s="187">
        <v>0</v>
      </c>
      <c r="R23" s="187">
        <v>0</v>
      </c>
      <c r="S23" s="187">
        <v>0</v>
      </c>
      <c r="T23" s="187">
        <v>0</v>
      </c>
      <c r="U23" s="187">
        <v>0</v>
      </c>
      <c r="V23" s="187">
        <v>0</v>
      </c>
      <c r="W23" s="187">
        <v>0</v>
      </c>
      <c r="X23" s="187">
        <v>0</v>
      </c>
      <c r="Y23" s="187">
        <v>0</v>
      </c>
      <c r="Z23" s="187">
        <v>0</v>
      </c>
      <c r="AA23" s="187">
        <v>0</v>
      </c>
      <c r="AB23" s="187">
        <v>0</v>
      </c>
      <c r="AC23" s="187">
        <v>0</v>
      </c>
      <c r="AD23" s="187">
        <v>0</v>
      </c>
      <c r="AE23" s="187">
        <v>0</v>
      </c>
      <c r="AF23" s="187">
        <v>0</v>
      </c>
      <c r="AG23" s="187">
        <v>0</v>
      </c>
      <c r="AH23" s="187">
        <v>0</v>
      </c>
      <c r="AI23" s="187">
        <v>0</v>
      </c>
      <c r="AJ23" s="187">
        <v>2250</v>
      </c>
      <c r="AK23" s="187">
        <v>0</v>
      </c>
      <c r="AL23" s="187">
        <v>0</v>
      </c>
      <c r="AM23" s="187">
        <v>0</v>
      </c>
      <c r="AN23" s="187">
        <v>0</v>
      </c>
      <c r="AO23" s="187">
        <v>0</v>
      </c>
      <c r="AP23" s="187">
        <v>0</v>
      </c>
      <c r="AQ23" s="187">
        <v>0</v>
      </c>
      <c r="AR23" s="187">
        <v>0</v>
      </c>
      <c r="AS23" s="187">
        <v>0</v>
      </c>
      <c r="AT23" s="187">
        <v>0</v>
      </c>
      <c r="AU23" s="187">
        <v>0</v>
      </c>
      <c r="AV23" s="187">
        <v>0</v>
      </c>
      <c r="AW23" s="187">
        <v>11903</v>
      </c>
    </row>
    <row r="24" spans="3:49" x14ac:dyDescent="0.3">
      <c r="C24" s="187">
        <v>43</v>
      </c>
      <c r="D24" s="187">
        <v>5</v>
      </c>
      <c r="E24" s="187">
        <v>11</v>
      </c>
      <c r="F24" s="187">
        <v>572.51908396946567</v>
      </c>
      <c r="G24" s="187">
        <v>0</v>
      </c>
      <c r="H24" s="187">
        <v>0</v>
      </c>
      <c r="I24" s="187">
        <v>0</v>
      </c>
      <c r="J24" s="187">
        <v>572.51908396946567</v>
      </c>
      <c r="K24" s="187">
        <v>0</v>
      </c>
      <c r="L24" s="187">
        <v>0</v>
      </c>
      <c r="M24" s="187">
        <v>0</v>
      </c>
      <c r="N24" s="187">
        <v>0</v>
      </c>
      <c r="O24" s="187">
        <v>0</v>
      </c>
      <c r="P24" s="187">
        <v>0</v>
      </c>
      <c r="Q24" s="187">
        <v>0</v>
      </c>
      <c r="R24" s="187">
        <v>0</v>
      </c>
      <c r="S24" s="187">
        <v>0</v>
      </c>
      <c r="T24" s="187">
        <v>0</v>
      </c>
      <c r="U24" s="187">
        <v>0</v>
      </c>
      <c r="V24" s="187">
        <v>0</v>
      </c>
      <c r="W24" s="187">
        <v>0</v>
      </c>
      <c r="X24" s="187">
        <v>0</v>
      </c>
      <c r="Y24" s="187">
        <v>0</v>
      </c>
      <c r="Z24" s="187">
        <v>0</v>
      </c>
      <c r="AA24" s="187">
        <v>0</v>
      </c>
      <c r="AB24" s="187">
        <v>0</v>
      </c>
      <c r="AC24" s="187">
        <v>0</v>
      </c>
      <c r="AD24" s="187">
        <v>0</v>
      </c>
      <c r="AE24" s="187">
        <v>0</v>
      </c>
      <c r="AF24" s="187">
        <v>0</v>
      </c>
      <c r="AG24" s="187">
        <v>0</v>
      </c>
      <c r="AH24" s="187">
        <v>0</v>
      </c>
      <c r="AI24" s="187">
        <v>0</v>
      </c>
      <c r="AJ24" s="187">
        <v>0</v>
      </c>
      <c r="AK24" s="187">
        <v>0</v>
      </c>
      <c r="AL24" s="187">
        <v>0</v>
      </c>
      <c r="AM24" s="187">
        <v>0</v>
      </c>
      <c r="AN24" s="187">
        <v>0</v>
      </c>
      <c r="AO24" s="187">
        <v>0</v>
      </c>
      <c r="AP24" s="187">
        <v>0</v>
      </c>
      <c r="AQ24" s="187">
        <v>0</v>
      </c>
      <c r="AR24" s="187">
        <v>0</v>
      </c>
      <c r="AS24" s="187">
        <v>0</v>
      </c>
      <c r="AT24" s="187">
        <v>0</v>
      </c>
      <c r="AU24" s="187">
        <v>0</v>
      </c>
      <c r="AV24" s="187">
        <v>0</v>
      </c>
      <c r="AW24" s="187">
        <v>0</v>
      </c>
    </row>
    <row r="25" spans="3:49" x14ac:dyDescent="0.3">
      <c r="C25" s="187">
        <v>43</v>
      </c>
      <c r="D25" s="187">
        <v>6</v>
      </c>
      <c r="E25" s="187">
        <v>1</v>
      </c>
      <c r="F25" s="187">
        <v>3.45</v>
      </c>
      <c r="G25" s="187">
        <v>0</v>
      </c>
      <c r="H25" s="187">
        <v>0</v>
      </c>
      <c r="I25" s="187">
        <v>1.8</v>
      </c>
      <c r="J25" s="187">
        <v>0</v>
      </c>
      <c r="K25" s="187">
        <v>1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0</v>
      </c>
      <c r="T25" s="187">
        <v>0</v>
      </c>
      <c r="U25" s="187">
        <v>0</v>
      </c>
      <c r="V25" s="187">
        <v>0</v>
      </c>
      <c r="W25" s="187">
        <v>0</v>
      </c>
      <c r="X25" s="187">
        <v>0</v>
      </c>
      <c r="Y25" s="187">
        <v>0</v>
      </c>
      <c r="Z25" s="187">
        <v>0</v>
      </c>
      <c r="AA25" s="187">
        <v>0</v>
      </c>
      <c r="AB25" s="187">
        <v>0</v>
      </c>
      <c r="AC25" s="187">
        <v>0</v>
      </c>
      <c r="AD25" s="187">
        <v>0</v>
      </c>
      <c r="AE25" s="187">
        <v>0</v>
      </c>
      <c r="AF25" s="187">
        <v>0</v>
      </c>
      <c r="AG25" s="187">
        <v>0</v>
      </c>
      <c r="AH25" s="187">
        <v>0</v>
      </c>
      <c r="AI25" s="187">
        <v>0</v>
      </c>
      <c r="AJ25" s="187">
        <v>0.05</v>
      </c>
      <c r="AK25" s="187">
        <v>0</v>
      </c>
      <c r="AL25" s="187">
        <v>0</v>
      </c>
      <c r="AM25" s="187">
        <v>0</v>
      </c>
      <c r="AN25" s="187">
        <v>0</v>
      </c>
      <c r="AO25" s="187">
        <v>0</v>
      </c>
      <c r="AP25" s="187">
        <v>0</v>
      </c>
      <c r="AQ25" s="187">
        <v>0</v>
      </c>
      <c r="AR25" s="187">
        <v>0</v>
      </c>
      <c r="AS25" s="187">
        <v>0</v>
      </c>
      <c r="AT25" s="187">
        <v>0</v>
      </c>
      <c r="AU25" s="187">
        <v>0</v>
      </c>
      <c r="AV25" s="187">
        <v>0</v>
      </c>
      <c r="AW25" s="187">
        <v>0.6</v>
      </c>
    </row>
    <row r="26" spans="3:49" x14ac:dyDescent="0.3">
      <c r="C26" s="187">
        <v>43</v>
      </c>
      <c r="D26" s="187">
        <v>6</v>
      </c>
      <c r="E26" s="187">
        <v>2</v>
      </c>
      <c r="F26" s="187">
        <v>556</v>
      </c>
      <c r="G26" s="187">
        <v>0</v>
      </c>
      <c r="H26" s="187">
        <v>0</v>
      </c>
      <c r="I26" s="187">
        <v>265.60000000000002</v>
      </c>
      <c r="J26" s="187">
        <v>0</v>
      </c>
      <c r="K26" s="187">
        <v>176</v>
      </c>
      <c r="L26" s="187">
        <v>0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0</v>
      </c>
      <c r="T26" s="187">
        <v>0</v>
      </c>
      <c r="U26" s="187">
        <v>0</v>
      </c>
      <c r="V26" s="187">
        <v>0</v>
      </c>
      <c r="W26" s="187">
        <v>0</v>
      </c>
      <c r="X26" s="187">
        <v>0</v>
      </c>
      <c r="Y26" s="187">
        <v>0</v>
      </c>
      <c r="Z26" s="187">
        <v>0</v>
      </c>
      <c r="AA26" s="187">
        <v>0</v>
      </c>
      <c r="AB26" s="187">
        <v>0</v>
      </c>
      <c r="AC26" s="187">
        <v>0</v>
      </c>
      <c r="AD26" s="187">
        <v>0</v>
      </c>
      <c r="AE26" s="187">
        <v>0</v>
      </c>
      <c r="AF26" s="187">
        <v>0</v>
      </c>
      <c r="AG26" s="187">
        <v>0</v>
      </c>
      <c r="AH26" s="187">
        <v>0</v>
      </c>
      <c r="AI26" s="187">
        <v>0</v>
      </c>
      <c r="AJ26" s="187">
        <v>8.8000000000000007</v>
      </c>
      <c r="AK26" s="187">
        <v>0</v>
      </c>
      <c r="AL26" s="187">
        <v>0</v>
      </c>
      <c r="AM26" s="187">
        <v>0</v>
      </c>
      <c r="AN26" s="187">
        <v>0</v>
      </c>
      <c r="AO26" s="187">
        <v>0</v>
      </c>
      <c r="AP26" s="187">
        <v>0</v>
      </c>
      <c r="AQ26" s="187">
        <v>0</v>
      </c>
      <c r="AR26" s="187">
        <v>0</v>
      </c>
      <c r="AS26" s="187">
        <v>0</v>
      </c>
      <c r="AT26" s="187">
        <v>0</v>
      </c>
      <c r="AU26" s="187">
        <v>0</v>
      </c>
      <c r="AV26" s="187">
        <v>0</v>
      </c>
      <c r="AW26" s="187">
        <v>105.6</v>
      </c>
    </row>
    <row r="27" spans="3:49" x14ac:dyDescent="0.3">
      <c r="C27" s="187">
        <v>43</v>
      </c>
      <c r="D27" s="187">
        <v>6</v>
      </c>
      <c r="E27" s="187">
        <v>6</v>
      </c>
      <c r="F27" s="187">
        <v>116213</v>
      </c>
      <c r="G27" s="187">
        <v>0</v>
      </c>
      <c r="H27" s="187">
        <v>0</v>
      </c>
      <c r="I27" s="187">
        <v>52055</v>
      </c>
      <c r="J27" s="187">
        <v>0</v>
      </c>
      <c r="K27" s="187">
        <v>50005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0</v>
      </c>
      <c r="T27" s="187">
        <v>0</v>
      </c>
      <c r="U27" s="187">
        <v>0</v>
      </c>
      <c r="V27" s="187">
        <v>0</v>
      </c>
      <c r="W27" s="187">
        <v>0</v>
      </c>
      <c r="X27" s="187">
        <v>0</v>
      </c>
      <c r="Y27" s="187">
        <v>0</v>
      </c>
      <c r="Z27" s="187">
        <v>0</v>
      </c>
      <c r="AA27" s="187">
        <v>0</v>
      </c>
      <c r="AB27" s="187">
        <v>0</v>
      </c>
      <c r="AC27" s="187">
        <v>0</v>
      </c>
      <c r="AD27" s="187">
        <v>0</v>
      </c>
      <c r="AE27" s="187">
        <v>0</v>
      </c>
      <c r="AF27" s="187">
        <v>0</v>
      </c>
      <c r="AG27" s="187">
        <v>0</v>
      </c>
      <c r="AH27" s="187">
        <v>0</v>
      </c>
      <c r="AI27" s="187">
        <v>0</v>
      </c>
      <c r="AJ27" s="187">
        <v>2250</v>
      </c>
      <c r="AK27" s="187">
        <v>0</v>
      </c>
      <c r="AL27" s="187">
        <v>0</v>
      </c>
      <c r="AM27" s="187">
        <v>0</v>
      </c>
      <c r="AN27" s="187">
        <v>0</v>
      </c>
      <c r="AO27" s="187">
        <v>0</v>
      </c>
      <c r="AP27" s="187">
        <v>0</v>
      </c>
      <c r="AQ27" s="187">
        <v>0</v>
      </c>
      <c r="AR27" s="187">
        <v>0</v>
      </c>
      <c r="AS27" s="187">
        <v>0</v>
      </c>
      <c r="AT27" s="187">
        <v>0</v>
      </c>
      <c r="AU27" s="187">
        <v>0</v>
      </c>
      <c r="AV27" s="187">
        <v>0</v>
      </c>
      <c r="AW27" s="187">
        <v>11903</v>
      </c>
    </row>
    <row r="28" spans="3:49" x14ac:dyDescent="0.3">
      <c r="C28" s="187">
        <v>43</v>
      </c>
      <c r="D28" s="187">
        <v>6</v>
      </c>
      <c r="E28" s="187">
        <v>11</v>
      </c>
      <c r="F28" s="187">
        <v>572.51908396946567</v>
      </c>
      <c r="G28" s="187">
        <v>0</v>
      </c>
      <c r="H28" s="187">
        <v>0</v>
      </c>
      <c r="I28" s="187">
        <v>0</v>
      </c>
      <c r="J28" s="187">
        <v>572.51908396946567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7">
        <v>0</v>
      </c>
      <c r="Q28" s="187">
        <v>0</v>
      </c>
      <c r="R28" s="187">
        <v>0</v>
      </c>
      <c r="S28" s="187">
        <v>0</v>
      </c>
      <c r="T28" s="187">
        <v>0</v>
      </c>
      <c r="U28" s="187">
        <v>0</v>
      </c>
      <c r="V28" s="187">
        <v>0</v>
      </c>
      <c r="W28" s="187">
        <v>0</v>
      </c>
      <c r="X28" s="187">
        <v>0</v>
      </c>
      <c r="Y28" s="187">
        <v>0</v>
      </c>
      <c r="Z28" s="187">
        <v>0</v>
      </c>
      <c r="AA28" s="187">
        <v>0</v>
      </c>
      <c r="AB28" s="187">
        <v>0</v>
      </c>
      <c r="AC28" s="187">
        <v>0</v>
      </c>
      <c r="AD28" s="187">
        <v>0</v>
      </c>
      <c r="AE28" s="187">
        <v>0</v>
      </c>
      <c r="AF28" s="187">
        <v>0</v>
      </c>
      <c r="AG28" s="187">
        <v>0</v>
      </c>
      <c r="AH28" s="187">
        <v>0</v>
      </c>
      <c r="AI28" s="187">
        <v>0</v>
      </c>
      <c r="AJ28" s="187">
        <v>0</v>
      </c>
      <c r="AK28" s="187">
        <v>0</v>
      </c>
      <c r="AL28" s="187">
        <v>0</v>
      </c>
      <c r="AM28" s="187">
        <v>0</v>
      </c>
      <c r="AN28" s="187">
        <v>0</v>
      </c>
      <c r="AO28" s="187">
        <v>0</v>
      </c>
      <c r="AP28" s="187">
        <v>0</v>
      </c>
      <c r="AQ28" s="187">
        <v>0</v>
      </c>
      <c r="AR28" s="187">
        <v>0</v>
      </c>
      <c r="AS28" s="187">
        <v>0</v>
      </c>
      <c r="AT28" s="187">
        <v>0</v>
      </c>
      <c r="AU28" s="187">
        <v>0</v>
      </c>
      <c r="AV28" s="187">
        <v>0</v>
      </c>
      <c r="AW28" s="187">
        <v>0</v>
      </c>
    </row>
    <row r="29" spans="3:49" x14ac:dyDescent="0.3">
      <c r="C29" s="187">
        <v>43</v>
      </c>
      <c r="D29" s="187">
        <v>7</v>
      </c>
      <c r="E29" s="187">
        <v>1</v>
      </c>
      <c r="F29" s="187">
        <v>3.45</v>
      </c>
      <c r="G29" s="187">
        <v>0</v>
      </c>
      <c r="H29" s="187">
        <v>0</v>
      </c>
      <c r="I29" s="187">
        <v>1.8</v>
      </c>
      <c r="J29" s="187">
        <v>0</v>
      </c>
      <c r="K29" s="187">
        <v>1</v>
      </c>
      <c r="L29" s="187">
        <v>0</v>
      </c>
      <c r="M29" s="187">
        <v>0</v>
      </c>
      <c r="N29" s="187">
        <v>0</v>
      </c>
      <c r="O29" s="187">
        <v>0</v>
      </c>
      <c r="P29" s="187">
        <v>0</v>
      </c>
      <c r="Q29" s="187">
        <v>0</v>
      </c>
      <c r="R29" s="187">
        <v>0</v>
      </c>
      <c r="S29" s="187">
        <v>0</v>
      </c>
      <c r="T29" s="187">
        <v>0</v>
      </c>
      <c r="U29" s="187">
        <v>0</v>
      </c>
      <c r="V29" s="187">
        <v>0</v>
      </c>
      <c r="W29" s="187">
        <v>0</v>
      </c>
      <c r="X29" s="187">
        <v>0</v>
      </c>
      <c r="Y29" s="187">
        <v>0</v>
      </c>
      <c r="Z29" s="187">
        <v>0</v>
      </c>
      <c r="AA29" s="187">
        <v>0</v>
      </c>
      <c r="AB29" s="187">
        <v>0</v>
      </c>
      <c r="AC29" s="187">
        <v>0</v>
      </c>
      <c r="AD29" s="187">
        <v>0</v>
      </c>
      <c r="AE29" s="187">
        <v>0</v>
      </c>
      <c r="AF29" s="187">
        <v>0</v>
      </c>
      <c r="AG29" s="187">
        <v>0</v>
      </c>
      <c r="AH29" s="187">
        <v>0</v>
      </c>
      <c r="AI29" s="187">
        <v>0</v>
      </c>
      <c r="AJ29" s="187">
        <v>0.05</v>
      </c>
      <c r="AK29" s="187">
        <v>0</v>
      </c>
      <c r="AL29" s="187">
        <v>0</v>
      </c>
      <c r="AM29" s="187">
        <v>0</v>
      </c>
      <c r="AN29" s="187">
        <v>0</v>
      </c>
      <c r="AO29" s="187">
        <v>0</v>
      </c>
      <c r="AP29" s="187">
        <v>0</v>
      </c>
      <c r="AQ29" s="187">
        <v>0</v>
      </c>
      <c r="AR29" s="187">
        <v>0</v>
      </c>
      <c r="AS29" s="187">
        <v>0</v>
      </c>
      <c r="AT29" s="187">
        <v>0</v>
      </c>
      <c r="AU29" s="187">
        <v>0</v>
      </c>
      <c r="AV29" s="187">
        <v>0</v>
      </c>
      <c r="AW29" s="187">
        <v>0.6</v>
      </c>
    </row>
    <row r="30" spans="3:49" x14ac:dyDescent="0.3">
      <c r="C30" s="187">
        <v>43</v>
      </c>
      <c r="D30" s="187">
        <v>7</v>
      </c>
      <c r="E30" s="187">
        <v>2</v>
      </c>
      <c r="F30" s="187">
        <v>420</v>
      </c>
      <c r="G30" s="187">
        <v>0</v>
      </c>
      <c r="H30" s="187">
        <v>0</v>
      </c>
      <c r="I30" s="187">
        <v>219.2</v>
      </c>
      <c r="J30" s="187">
        <v>0</v>
      </c>
      <c r="K30" s="187">
        <v>128</v>
      </c>
      <c r="L30" s="187">
        <v>0</v>
      </c>
      <c r="M30" s="187">
        <v>0</v>
      </c>
      <c r="N30" s="187">
        <v>0</v>
      </c>
      <c r="O30" s="187">
        <v>0</v>
      </c>
      <c r="P30" s="187">
        <v>0</v>
      </c>
      <c r="Q30" s="187">
        <v>0</v>
      </c>
      <c r="R30" s="187">
        <v>0</v>
      </c>
      <c r="S30" s="187">
        <v>0</v>
      </c>
      <c r="T30" s="187">
        <v>0</v>
      </c>
      <c r="U30" s="187">
        <v>0</v>
      </c>
      <c r="V30" s="187">
        <v>0</v>
      </c>
      <c r="W30" s="187">
        <v>0</v>
      </c>
      <c r="X30" s="187">
        <v>0</v>
      </c>
      <c r="Y30" s="187">
        <v>0</v>
      </c>
      <c r="Z30" s="187">
        <v>0</v>
      </c>
      <c r="AA30" s="187">
        <v>0</v>
      </c>
      <c r="AB30" s="187">
        <v>0</v>
      </c>
      <c r="AC30" s="187">
        <v>0</v>
      </c>
      <c r="AD30" s="187">
        <v>0</v>
      </c>
      <c r="AE30" s="187">
        <v>0</v>
      </c>
      <c r="AF30" s="187">
        <v>0</v>
      </c>
      <c r="AG30" s="187">
        <v>0</v>
      </c>
      <c r="AH30" s="187">
        <v>0</v>
      </c>
      <c r="AI30" s="187">
        <v>0</v>
      </c>
      <c r="AJ30" s="187">
        <v>4</v>
      </c>
      <c r="AK30" s="187">
        <v>0</v>
      </c>
      <c r="AL30" s="187">
        <v>0</v>
      </c>
      <c r="AM30" s="187">
        <v>0</v>
      </c>
      <c r="AN30" s="187">
        <v>0</v>
      </c>
      <c r="AO30" s="187">
        <v>0</v>
      </c>
      <c r="AP30" s="187">
        <v>0</v>
      </c>
      <c r="AQ30" s="187">
        <v>0</v>
      </c>
      <c r="AR30" s="187">
        <v>0</v>
      </c>
      <c r="AS30" s="187">
        <v>0</v>
      </c>
      <c r="AT30" s="187">
        <v>0</v>
      </c>
      <c r="AU30" s="187">
        <v>0</v>
      </c>
      <c r="AV30" s="187">
        <v>0</v>
      </c>
      <c r="AW30" s="187">
        <v>68.8</v>
      </c>
    </row>
    <row r="31" spans="3:49" x14ac:dyDescent="0.3">
      <c r="C31" s="187">
        <v>43</v>
      </c>
      <c r="D31" s="187">
        <v>7</v>
      </c>
      <c r="E31" s="187">
        <v>6</v>
      </c>
      <c r="F31" s="187">
        <v>198084</v>
      </c>
      <c r="G31" s="187">
        <v>0</v>
      </c>
      <c r="H31" s="187">
        <v>0</v>
      </c>
      <c r="I31" s="187">
        <v>69732</v>
      </c>
      <c r="J31" s="187">
        <v>0</v>
      </c>
      <c r="K31" s="187">
        <v>108508</v>
      </c>
      <c r="L31" s="187">
        <v>0</v>
      </c>
      <c r="M31" s="187">
        <v>0</v>
      </c>
      <c r="N31" s="187">
        <v>0</v>
      </c>
      <c r="O31" s="187">
        <v>0</v>
      </c>
      <c r="P31" s="187">
        <v>0</v>
      </c>
      <c r="Q31" s="187">
        <v>0</v>
      </c>
      <c r="R31" s="187">
        <v>0</v>
      </c>
      <c r="S31" s="187">
        <v>0</v>
      </c>
      <c r="T31" s="187">
        <v>0</v>
      </c>
      <c r="U31" s="187">
        <v>0</v>
      </c>
      <c r="V31" s="187">
        <v>0</v>
      </c>
      <c r="W31" s="187">
        <v>0</v>
      </c>
      <c r="X31" s="187">
        <v>0</v>
      </c>
      <c r="Y31" s="187">
        <v>0</v>
      </c>
      <c r="Z31" s="187">
        <v>0</v>
      </c>
      <c r="AA31" s="187">
        <v>0</v>
      </c>
      <c r="AB31" s="187">
        <v>0</v>
      </c>
      <c r="AC31" s="187">
        <v>0</v>
      </c>
      <c r="AD31" s="187">
        <v>0</v>
      </c>
      <c r="AE31" s="187">
        <v>0</v>
      </c>
      <c r="AF31" s="187">
        <v>0</v>
      </c>
      <c r="AG31" s="187">
        <v>0</v>
      </c>
      <c r="AH31" s="187">
        <v>0</v>
      </c>
      <c r="AI31" s="187">
        <v>0</v>
      </c>
      <c r="AJ31" s="187">
        <v>4854</v>
      </c>
      <c r="AK31" s="187">
        <v>0</v>
      </c>
      <c r="AL31" s="187">
        <v>0</v>
      </c>
      <c r="AM31" s="187">
        <v>0</v>
      </c>
      <c r="AN31" s="187">
        <v>0</v>
      </c>
      <c r="AO31" s="187">
        <v>0</v>
      </c>
      <c r="AP31" s="187">
        <v>0</v>
      </c>
      <c r="AQ31" s="187">
        <v>0</v>
      </c>
      <c r="AR31" s="187">
        <v>0</v>
      </c>
      <c r="AS31" s="187">
        <v>0</v>
      </c>
      <c r="AT31" s="187">
        <v>0</v>
      </c>
      <c r="AU31" s="187">
        <v>0</v>
      </c>
      <c r="AV31" s="187">
        <v>0</v>
      </c>
      <c r="AW31" s="187">
        <v>14990</v>
      </c>
    </row>
    <row r="32" spans="3:49" x14ac:dyDescent="0.3">
      <c r="C32" s="187">
        <v>43</v>
      </c>
      <c r="D32" s="187">
        <v>7</v>
      </c>
      <c r="E32" s="187">
        <v>9</v>
      </c>
      <c r="F32" s="187">
        <v>82827</v>
      </c>
      <c r="G32" s="187">
        <v>0</v>
      </c>
      <c r="H32" s="187">
        <v>0</v>
      </c>
      <c r="I32" s="187">
        <v>18005</v>
      </c>
      <c r="J32" s="187">
        <v>0</v>
      </c>
      <c r="K32" s="187">
        <v>58977</v>
      </c>
      <c r="L32" s="187">
        <v>0</v>
      </c>
      <c r="M32" s="187">
        <v>0</v>
      </c>
      <c r="N32" s="187">
        <v>0</v>
      </c>
      <c r="O32" s="187">
        <v>0</v>
      </c>
      <c r="P32" s="187">
        <v>0</v>
      </c>
      <c r="Q32" s="187">
        <v>0</v>
      </c>
      <c r="R32" s="187">
        <v>0</v>
      </c>
      <c r="S32" s="187">
        <v>0</v>
      </c>
      <c r="T32" s="187">
        <v>0</v>
      </c>
      <c r="U32" s="187">
        <v>0</v>
      </c>
      <c r="V32" s="187">
        <v>0</v>
      </c>
      <c r="W32" s="187">
        <v>0</v>
      </c>
      <c r="X32" s="187">
        <v>0</v>
      </c>
      <c r="Y32" s="187">
        <v>0</v>
      </c>
      <c r="Z32" s="187">
        <v>0</v>
      </c>
      <c r="AA32" s="187">
        <v>0</v>
      </c>
      <c r="AB32" s="187">
        <v>0</v>
      </c>
      <c r="AC32" s="187">
        <v>0</v>
      </c>
      <c r="AD32" s="187">
        <v>0</v>
      </c>
      <c r="AE32" s="187">
        <v>0</v>
      </c>
      <c r="AF32" s="187">
        <v>0</v>
      </c>
      <c r="AG32" s="187">
        <v>0</v>
      </c>
      <c r="AH32" s="187">
        <v>0</v>
      </c>
      <c r="AI32" s="187">
        <v>0</v>
      </c>
      <c r="AJ32" s="187">
        <v>2640</v>
      </c>
      <c r="AK32" s="187">
        <v>0</v>
      </c>
      <c r="AL32" s="187">
        <v>0</v>
      </c>
      <c r="AM32" s="187">
        <v>0</v>
      </c>
      <c r="AN32" s="187">
        <v>0</v>
      </c>
      <c r="AO32" s="187">
        <v>0</v>
      </c>
      <c r="AP32" s="187">
        <v>0</v>
      </c>
      <c r="AQ32" s="187">
        <v>0</v>
      </c>
      <c r="AR32" s="187">
        <v>0</v>
      </c>
      <c r="AS32" s="187">
        <v>0</v>
      </c>
      <c r="AT32" s="187">
        <v>0</v>
      </c>
      <c r="AU32" s="187">
        <v>0</v>
      </c>
      <c r="AV32" s="187">
        <v>0</v>
      </c>
      <c r="AW32" s="187">
        <v>3205</v>
      </c>
    </row>
    <row r="33" spans="3:49" x14ac:dyDescent="0.3">
      <c r="C33" s="187">
        <v>43</v>
      </c>
      <c r="D33" s="187">
        <v>7</v>
      </c>
      <c r="E33" s="187">
        <v>11</v>
      </c>
      <c r="F33" s="187">
        <v>572.51908396946567</v>
      </c>
      <c r="G33" s="187">
        <v>0</v>
      </c>
      <c r="H33" s="187">
        <v>0</v>
      </c>
      <c r="I33" s="187">
        <v>0</v>
      </c>
      <c r="J33" s="187">
        <v>572.51908396946567</v>
      </c>
      <c r="K33" s="187">
        <v>0</v>
      </c>
      <c r="L33" s="187">
        <v>0</v>
      </c>
      <c r="M33" s="187">
        <v>0</v>
      </c>
      <c r="N33" s="187">
        <v>0</v>
      </c>
      <c r="O33" s="187">
        <v>0</v>
      </c>
      <c r="P33" s="187">
        <v>0</v>
      </c>
      <c r="Q33" s="187">
        <v>0</v>
      </c>
      <c r="R33" s="187">
        <v>0</v>
      </c>
      <c r="S33" s="187">
        <v>0</v>
      </c>
      <c r="T33" s="187">
        <v>0</v>
      </c>
      <c r="U33" s="187">
        <v>0</v>
      </c>
      <c r="V33" s="187">
        <v>0</v>
      </c>
      <c r="W33" s="187">
        <v>0</v>
      </c>
      <c r="X33" s="187">
        <v>0</v>
      </c>
      <c r="Y33" s="187">
        <v>0</v>
      </c>
      <c r="Z33" s="187">
        <v>0</v>
      </c>
      <c r="AA33" s="187">
        <v>0</v>
      </c>
      <c r="AB33" s="187">
        <v>0</v>
      </c>
      <c r="AC33" s="187">
        <v>0</v>
      </c>
      <c r="AD33" s="187">
        <v>0</v>
      </c>
      <c r="AE33" s="187">
        <v>0</v>
      </c>
      <c r="AF33" s="187">
        <v>0</v>
      </c>
      <c r="AG33" s="187">
        <v>0</v>
      </c>
      <c r="AH33" s="187">
        <v>0</v>
      </c>
      <c r="AI33" s="187">
        <v>0</v>
      </c>
      <c r="AJ33" s="187">
        <v>0</v>
      </c>
      <c r="AK33" s="187">
        <v>0</v>
      </c>
      <c r="AL33" s="187">
        <v>0</v>
      </c>
      <c r="AM33" s="187">
        <v>0</v>
      </c>
      <c r="AN33" s="187">
        <v>0</v>
      </c>
      <c r="AO33" s="187">
        <v>0</v>
      </c>
      <c r="AP33" s="187">
        <v>0</v>
      </c>
      <c r="AQ33" s="187">
        <v>0</v>
      </c>
      <c r="AR33" s="187">
        <v>0</v>
      </c>
      <c r="AS33" s="187">
        <v>0</v>
      </c>
      <c r="AT33" s="187">
        <v>0</v>
      </c>
      <c r="AU33" s="187">
        <v>0</v>
      </c>
      <c r="AV33" s="187">
        <v>0</v>
      </c>
      <c r="AW33" s="187">
        <v>0</v>
      </c>
    </row>
    <row r="34" spans="3:49" x14ac:dyDescent="0.3">
      <c r="C34" s="187">
        <v>43</v>
      </c>
      <c r="D34" s="187">
        <v>8</v>
      </c>
      <c r="E34" s="187">
        <v>1</v>
      </c>
      <c r="F34" s="187">
        <v>3.45</v>
      </c>
      <c r="G34" s="187">
        <v>0</v>
      </c>
      <c r="H34" s="187">
        <v>0</v>
      </c>
      <c r="I34" s="187">
        <v>1.8</v>
      </c>
      <c r="J34" s="187">
        <v>0</v>
      </c>
      <c r="K34" s="187">
        <v>1</v>
      </c>
      <c r="L34" s="187">
        <v>0</v>
      </c>
      <c r="M34" s="187">
        <v>0</v>
      </c>
      <c r="N34" s="187">
        <v>0</v>
      </c>
      <c r="O34" s="187">
        <v>0</v>
      </c>
      <c r="P34" s="187">
        <v>0</v>
      </c>
      <c r="Q34" s="187">
        <v>0</v>
      </c>
      <c r="R34" s="187">
        <v>0</v>
      </c>
      <c r="S34" s="187">
        <v>0</v>
      </c>
      <c r="T34" s="187">
        <v>0</v>
      </c>
      <c r="U34" s="187">
        <v>0</v>
      </c>
      <c r="V34" s="187">
        <v>0</v>
      </c>
      <c r="W34" s="187">
        <v>0</v>
      </c>
      <c r="X34" s="187">
        <v>0</v>
      </c>
      <c r="Y34" s="187">
        <v>0</v>
      </c>
      <c r="Z34" s="187">
        <v>0</v>
      </c>
      <c r="AA34" s="187">
        <v>0</v>
      </c>
      <c r="AB34" s="187">
        <v>0</v>
      </c>
      <c r="AC34" s="187">
        <v>0</v>
      </c>
      <c r="AD34" s="187">
        <v>0</v>
      </c>
      <c r="AE34" s="187">
        <v>0</v>
      </c>
      <c r="AF34" s="187">
        <v>0</v>
      </c>
      <c r="AG34" s="187">
        <v>0</v>
      </c>
      <c r="AH34" s="187">
        <v>0</v>
      </c>
      <c r="AI34" s="187">
        <v>0</v>
      </c>
      <c r="AJ34" s="187">
        <v>0.05</v>
      </c>
      <c r="AK34" s="187">
        <v>0</v>
      </c>
      <c r="AL34" s="187">
        <v>0</v>
      </c>
      <c r="AM34" s="187">
        <v>0</v>
      </c>
      <c r="AN34" s="187">
        <v>0</v>
      </c>
      <c r="AO34" s="187">
        <v>0</v>
      </c>
      <c r="AP34" s="187">
        <v>0</v>
      </c>
      <c r="AQ34" s="187">
        <v>0</v>
      </c>
      <c r="AR34" s="187">
        <v>0</v>
      </c>
      <c r="AS34" s="187">
        <v>0</v>
      </c>
      <c r="AT34" s="187">
        <v>0</v>
      </c>
      <c r="AU34" s="187">
        <v>0</v>
      </c>
      <c r="AV34" s="187">
        <v>0</v>
      </c>
      <c r="AW34" s="187">
        <v>0.6</v>
      </c>
    </row>
    <row r="35" spans="3:49" x14ac:dyDescent="0.3">
      <c r="C35" s="187">
        <v>43</v>
      </c>
      <c r="D35" s="187">
        <v>8</v>
      </c>
      <c r="E35" s="187">
        <v>2</v>
      </c>
      <c r="F35" s="187">
        <v>454.8</v>
      </c>
      <c r="G35" s="187">
        <v>0</v>
      </c>
      <c r="H35" s="187">
        <v>0</v>
      </c>
      <c r="I35" s="187">
        <v>251.2</v>
      </c>
      <c r="J35" s="187">
        <v>0</v>
      </c>
      <c r="K35" s="187">
        <v>108</v>
      </c>
      <c r="L35" s="187">
        <v>0</v>
      </c>
      <c r="M35" s="187">
        <v>0</v>
      </c>
      <c r="N35" s="187">
        <v>0</v>
      </c>
      <c r="O35" s="187">
        <v>0</v>
      </c>
      <c r="P35" s="187">
        <v>0</v>
      </c>
      <c r="Q35" s="187">
        <v>0</v>
      </c>
      <c r="R35" s="187">
        <v>0</v>
      </c>
      <c r="S35" s="187">
        <v>0</v>
      </c>
      <c r="T35" s="187">
        <v>0</v>
      </c>
      <c r="U35" s="187">
        <v>0</v>
      </c>
      <c r="V35" s="187">
        <v>0</v>
      </c>
      <c r="W35" s="187">
        <v>0</v>
      </c>
      <c r="X35" s="187">
        <v>0</v>
      </c>
      <c r="Y35" s="187">
        <v>0</v>
      </c>
      <c r="Z35" s="187">
        <v>0</v>
      </c>
      <c r="AA35" s="187">
        <v>0</v>
      </c>
      <c r="AB35" s="187">
        <v>0</v>
      </c>
      <c r="AC35" s="187">
        <v>0</v>
      </c>
      <c r="AD35" s="187">
        <v>0</v>
      </c>
      <c r="AE35" s="187">
        <v>0</v>
      </c>
      <c r="AF35" s="187">
        <v>0</v>
      </c>
      <c r="AG35" s="187">
        <v>0</v>
      </c>
      <c r="AH35" s="187">
        <v>0</v>
      </c>
      <c r="AI35" s="187">
        <v>0</v>
      </c>
      <c r="AJ35" s="187">
        <v>5.2</v>
      </c>
      <c r="AK35" s="187">
        <v>0</v>
      </c>
      <c r="AL35" s="187">
        <v>0</v>
      </c>
      <c r="AM35" s="187">
        <v>0</v>
      </c>
      <c r="AN35" s="187">
        <v>0</v>
      </c>
      <c r="AO35" s="187">
        <v>0</v>
      </c>
      <c r="AP35" s="187">
        <v>0</v>
      </c>
      <c r="AQ35" s="187">
        <v>0</v>
      </c>
      <c r="AR35" s="187">
        <v>0</v>
      </c>
      <c r="AS35" s="187">
        <v>0</v>
      </c>
      <c r="AT35" s="187">
        <v>0</v>
      </c>
      <c r="AU35" s="187">
        <v>0</v>
      </c>
      <c r="AV35" s="187">
        <v>0</v>
      </c>
      <c r="AW35" s="187">
        <v>90.4</v>
      </c>
    </row>
    <row r="36" spans="3:49" x14ac:dyDescent="0.3">
      <c r="C36" s="187">
        <v>43</v>
      </c>
      <c r="D36" s="187">
        <v>8</v>
      </c>
      <c r="E36" s="187">
        <v>6</v>
      </c>
      <c r="F36" s="187">
        <v>119528</v>
      </c>
      <c r="G36" s="187">
        <v>0</v>
      </c>
      <c r="H36" s="187">
        <v>0</v>
      </c>
      <c r="I36" s="187">
        <v>53997</v>
      </c>
      <c r="J36" s="187">
        <v>0</v>
      </c>
      <c r="K36" s="187">
        <v>51188</v>
      </c>
      <c r="L36" s="187">
        <v>0</v>
      </c>
      <c r="M36" s="187">
        <v>0</v>
      </c>
      <c r="N36" s="187">
        <v>0</v>
      </c>
      <c r="O36" s="187">
        <v>0</v>
      </c>
      <c r="P36" s="187">
        <v>0</v>
      </c>
      <c r="Q36" s="187">
        <v>0</v>
      </c>
      <c r="R36" s="187">
        <v>0</v>
      </c>
      <c r="S36" s="187">
        <v>0</v>
      </c>
      <c r="T36" s="187">
        <v>0</v>
      </c>
      <c r="U36" s="187">
        <v>0</v>
      </c>
      <c r="V36" s="187">
        <v>0</v>
      </c>
      <c r="W36" s="187">
        <v>0</v>
      </c>
      <c r="X36" s="187">
        <v>0</v>
      </c>
      <c r="Y36" s="187">
        <v>0</v>
      </c>
      <c r="Z36" s="187">
        <v>0</v>
      </c>
      <c r="AA36" s="187">
        <v>0</v>
      </c>
      <c r="AB36" s="187">
        <v>0</v>
      </c>
      <c r="AC36" s="187">
        <v>0</v>
      </c>
      <c r="AD36" s="187">
        <v>0</v>
      </c>
      <c r="AE36" s="187">
        <v>0</v>
      </c>
      <c r="AF36" s="187">
        <v>0</v>
      </c>
      <c r="AG36" s="187">
        <v>0</v>
      </c>
      <c r="AH36" s="187">
        <v>0</v>
      </c>
      <c r="AI36" s="187">
        <v>0</v>
      </c>
      <c r="AJ36" s="187">
        <v>2310</v>
      </c>
      <c r="AK36" s="187">
        <v>0</v>
      </c>
      <c r="AL36" s="187">
        <v>0</v>
      </c>
      <c r="AM36" s="187">
        <v>0</v>
      </c>
      <c r="AN36" s="187">
        <v>0</v>
      </c>
      <c r="AO36" s="187">
        <v>0</v>
      </c>
      <c r="AP36" s="187">
        <v>0</v>
      </c>
      <c r="AQ36" s="187">
        <v>0</v>
      </c>
      <c r="AR36" s="187">
        <v>0</v>
      </c>
      <c r="AS36" s="187">
        <v>0</v>
      </c>
      <c r="AT36" s="187">
        <v>0</v>
      </c>
      <c r="AU36" s="187">
        <v>0</v>
      </c>
      <c r="AV36" s="187">
        <v>0</v>
      </c>
      <c r="AW36" s="187">
        <v>12033</v>
      </c>
    </row>
    <row r="37" spans="3:49" x14ac:dyDescent="0.3">
      <c r="C37" s="187">
        <v>43</v>
      </c>
      <c r="D37" s="187">
        <v>8</v>
      </c>
      <c r="E37" s="187">
        <v>11</v>
      </c>
      <c r="F37" s="187">
        <v>572.51908396946567</v>
      </c>
      <c r="G37" s="187">
        <v>0</v>
      </c>
      <c r="H37" s="187">
        <v>0</v>
      </c>
      <c r="I37" s="187">
        <v>0</v>
      </c>
      <c r="J37" s="187">
        <v>572.51908396946567</v>
      </c>
      <c r="K37" s="187">
        <v>0</v>
      </c>
      <c r="L37" s="187">
        <v>0</v>
      </c>
      <c r="M37" s="187">
        <v>0</v>
      </c>
      <c r="N37" s="187">
        <v>0</v>
      </c>
      <c r="O37" s="187">
        <v>0</v>
      </c>
      <c r="P37" s="187">
        <v>0</v>
      </c>
      <c r="Q37" s="187">
        <v>0</v>
      </c>
      <c r="R37" s="187">
        <v>0</v>
      </c>
      <c r="S37" s="187">
        <v>0</v>
      </c>
      <c r="T37" s="187">
        <v>0</v>
      </c>
      <c r="U37" s="187">
        <v>0</v>
      </c>
      <c r="V37" s="187">
        <v>0</v>
      </c>
      <c r="W37" s="187">
        <v>0</v>
      </c>
      <c r="X37" s="187">
        <v>0</v>
      </c>
      <c r="Y37" s="187">
        <v>0</v>
      </c>
      <c r="Z37" s="187">
        <v>0</v>
      </c>
      <c r="AA37" s="187">
        <v>0</v>
      </c>
      <c r="AB37" s="187">
        <v>0</v>
      </c>
      <c r="AC37" s="187">
        <v>0</v>
      </c>
      <c r="AD37" s="187">
        <v>0</v>
      </c>
      <c r="AE37" s="187">
        <v>0</v>
      </c>
      <c r="AF37" s="187">
        <v>0</v>
      </c>
      <c r="AG37" s="187">
        <v>0</v>
      </c>
      <c r="AH37" s="187">
        <v>0</v>
      </c>
      <c r="AI37" s="187">
        <v>0</v>
      </c>
      <c r="AJ37" s="187">
        <v>0</v>
      </c>
      <c r="AK37" s="187">
        <v>0</v>
      </c>
      <c r="AL37" s="187">
        <v>0</v>
      </c>
      <c r="AM37" s="187">
        <v>0</v>
      </c>
      <c r="AN37" s="187">
        <v>0</v>
      </c>
      <c r="AO37" s="187">
        <v>0</v>
      </c>
      <c r="AP37" s="187">
        <v>0</v>
      </c>
      <c r="AQ37" s="187">
        <v>0</v>
      </c>
      <c r="AR37" s="187">
        <v>0</v>
      </c>
      <c r="AS37" s="187">
        <v>0</v>
      </c>
      <c r="AT37" s="187">
        <v>0</v>
      </c>
      <c r="AU37" s="187">
        <v>0</v>
      </c>
      <c r="AV37" s="187">
        <v>0</v>
      </c>
      <c r="AW37" s="187">
        <v>0</v>
      </c>
    </row>
    <row r="38" spans="3:49" x14ac:dyDescent="0.3">
      <c r="C38" s="187">
        <v>43</v>
      </c>
      <c r="D38" s="187">
        <v>9</v>
      </c>
      <c r="E38" s="187">
        <v>1</v>
      </c>
      <c r="F38" s="187">
        <v>2.65</v>
      </c>
      <c r="G38" s="187">
        <v>0</v>
      </c>
      <c r="H38" s="187">
        <v>0</v>
      </c>
      <c r="I38" s="187">
        <v>1</v>
      </c>
      <c r="J38" s="187">
        <v>0</v>
      </c>
      <c r="K38" s="187">
        <v>1</v>
      </c>
      <c r="L38" s="187">
        <v>0</v>
      </c>
      <c r="M38" s="187">
        <v>0</v>
      </c>
      <c r="N38" s="187">
        <v>0</v>
      </c>
      <c r="O38" s="187">
        <v>0</v>
      </c>
      <c r="P38" s="187">
        <v>0</v>
      </c>
      <c r="Q38" s="187">
        <v>0</v>
      </c>
      <c r="R38" s="187">
        <v>0</v>
      </c>
      <c r="S38" s="187">
        <v>0</v>
      </c>
      <c r="T38" s="187">
        <v>0</v>
      </c>
      <c r="U38" s="187">
        <v>0</v>
      </c>
      <c r="V38" s="187">
        <v>0</v>
      </c>
      <c r="W38" s="187">
        <v>0</v>
      </c>
      <c r="X38" s="187">
        <v>0</v>
      </c>
      <c r="Y38" s="187">
        <v>0</v>
      </c>
      <c r="Z38" s="187">
        <v>0</v>
      </c>
      <c r="AA38" s="187">
        <v>0</v>
      </c>
      <c r="AB38" s="187">
        <v>0</v>
      </c>
      <c r="AC38" s="187">
        <v>0</v>
      </c>
      <c r="AD38" s="187">
        <v>0</v>
      </c>
      <c r="AE38" s="187">
        <v>0</v>
      </c>
      <c r="AF38" s="187">
        <v>0</v>
      </c>
      <c r="AG38" s="187">
        <v>0</v>
      </c>
      <c r="AH38" s="187">
        <v>0</v>
      </c>
      <c r="AI38" s="187">
        <v>0</v>
      </c>
      <c r="AJ38" s="187">
        <v>0.05</v>
      </c>
      <c r="AK38" s="187">
        <v>0</v>
      </c>
      <c r="AL38" s="187">
        <v>0</v>
      </c>
      <c r="AM38" s="187">
        <v>0</v>
      </c>
      <c r="AN38" s="187">
        <v>0</v>
      </c>
      <c r="AO38" s="187">
        <v>0</v>
      </c>
      <c r="AP38" s="187">
        <v>0</v>
      </c>
      <c r="AQ38" s="187">
        <v>0</v>
      </c>
      <c r="AR38" s="187">
        <v>0</v>
      </c>
      <c r="AS38" s="187">
        <v>0</v>
      </c>
      <c r="AT38" s="187">
        <v>0</v>
      </c>
      <c r="AU38" s="187">
        <v>0</v>
      </c>
      <c r="AV38" s="187">
        <v>0</v>
      </c>
      <c r="AW38" s="187">
        <v>0.6</v>
      </c>
    </row>
    <row r="39" spans="3:49" x14ac:dyDescent="0.3">
      <c r="C39" s="187">
        <v>43</v>
      </c>
      <c r="D39" s="187">
        <v>9</v>
      </c>
      <c r="E39" s="187">
        <v>2</v>
      </c>
      <c r="F39" s="187">
        <v>466.4</v>
      </c>
      <c r="G39" s="187">
        <v>0</v>
      </c>
      <c r="H39" s="187">
        <v>0</v>
      </c>
      <c r="I39" s="187">
        <v>176</v>
      </c>
      <c r="J39" s="187">
        <v>0</v>
      </c>
      <c r="K39" s="187">
        <v>176</v>
      </c>
      <c r="L39" s="187">
        <v>0</v>
      </c>
      <c r="M39" s="187">
        <v>0</v>
      </c>
      <c r="N39" s="187">
        <v>0</v>
      </c>
      <c r="O39" s="187">
        <v>0</v>
      </c>
      <c r="P39" s="187">
        <v>0</v>
      </c>
      <c r="Q39" s="187">
        <v>0</v>
      </c>
      <c r="R39" s="187">
        <v>0</v>
      </c>
      <c r="S39" s="187">
        <v>0</v>
      </c>
      <c r="T39" s="187">
        <v>0</v>
      </c>
      <c r="U39" s="187">
        <v>0</v>
      </c>
      <c r="V39" s="187">
        <v>0</v>
      </c>
      <c r="W39" s="187">
        <v>0</v>
      </c>
      <c r="X39" s="187">
        <v>0</v>
      </c>
      <c r="Y39" s="187">
        <v>0</v>
      </c>
      <c r="Z39" s="187">
        <v>0</v>
      </c>
      <c r="AA39" s="187">
        <v>0</v>
      </c>
      <c r="AB39" s="187">
        <v>0</v>
      </c>
      <c r="AC39" s="187">
        <v>0</v>
      </c>
      <c r="AD39" s="187">
        <v>0</v>
      </c>
      <c r="AE39" s="187">
        <v>0</v>
      </c>
      <c r="AF39" s="187">
        <v>0</v>
      </c>
      <c r="AG39" s="187">
        <v>0</v>
      </c>
      <c r="AH39" s="187">
        <v>0</v>
      </c>
      <c r="AI39" s="187">
        <v>0</v>
      </c>
      <c r="AJ39" s="187">
        <v>8.8000000000000007</v>
      </c>
      <c r="AK39" s="187">
        <v>0</v>
      </c>
      <c r="AL39" s="187">
        <v>0</v>
      </c>
      <c r="AM39" s="187">
        <v>0</v>
      </c>
      <c r="AN39" s="187">
        <v>0</v>
      </c>
      <c r="AO39" s="187">
        <v>0</v>
      </c>
      <c r="AP39" s="187">
        <v>0</v>
      </c>
      <c r="AQ39" s="187">
        <v>0</v>
      </c>
      <c r="AR39" s="187">
        <v>0</v>
      </c>
      <c r="AS39" s="187">
        <v>0</v>
      </c>
      <c r="AT39" s="187">
        <v>0</v>
      </c>
      <c r="AU39" s="187">
        <v>0</v>
      </c>
      <c r="AV39" s="187">
        <v>0</v>
      </c>
      <c r="AW39" s="187">
        <v>105.6</v>
      </c>
    </row>
    <row r="40" spans="3:49" x14ac:dyDescent="0.3">
      <c r="C40" s="187">
        <v>43</v>
      </c>
      <c r="D40" s="187">
        <v>9</v>
      </c>
      <c r="E40" s="187">
        <v>6</v>
      </c>
      <c r="F40" s="187">
        <v>93698</v>
      </c>
      <c r="G40" s="187">
        <v>0</v>
      </c>
      <c r="H40" s="187">
        <v>0</v>
      </c>
      <c r="I40" s="187">
        <v>29540</v>
      </c>
      <c r="J40" s="187">
        <v>0</v>
      </c>
      <c r="K40" s="187">
        <v>50005</v>
      </c>
      <c r="L40" s="187">
        <v>0</v>
      </c>
      <c r="M40" s="187">
        <v>0</v>
      </c>
      <c r="N40" s="187">
        <v>0</v>
      </c>
      <c r="O40" s="187">
        <v>0</v>
      </c>
      <c r="P40" s="187">
        <v>0</v>
      </c>
      <c r="Q40" s="187">
        <v>0</v>
      </c>
      <c r="R40" s="187">
        <v>0</v>
      </c>
      <c r="S40" s="187">
        <v>0</v>
      </c>
      <c r="T40" s="187">
        <v>0</v>
      </c>
      <c r="U40" s="187">
        <v>0</v>
      </c>
      <c r="V40" s="187">
        <v>0</v>
      </c>
      <c r="W40" s="187">
        <v>0</v>
      </c>
      <c r="X40" s="187">
        <v>0</v>
      </c>
      <c r="Y40" s="187">
        <v>0</v>
      </c>
      <c r="Z40" s="187">
        <v>0</v>
      </c>
      <c r="AA40" s="187">
        <v>0</v>
      </c>
      <c r="AB40" s="187">
        <v>0</v>
      </c>
      <c r="AC40" s="187">
        <v>0</v>
      </c>
      <c r="AD40" s="187">
        <v>0</v>
      </c>
      <c r="AE40" s="187">
        <v>0</v>
      </c>
      <c r="AF40" s="187">
        <v>0</v>
      </c>
      <c r="AG40" s="187">
        <v>0</v>
      </c>
      <c r="AH40" s="187">
        <v>0</v>
      </c>
      <c r="AI40" s="187">
        <v>0</v>
      </c>
      <c r="AJ40" s="187">
        <v>2250</v>
      </c>
      <c r="AK40" s="187">
        <v>0</v>
      </c>
      <c r="AL40" s="187">
        <v>0</v>
      </c>
      <c r="AM40" s="187">
        <v>0</v>
      </c>
      <c r="AN40" s="187">
        <v>0</v>
      </c>
      <c r="AO40" s="187">
        <v>0</v>
      </c>
      <c r="AP40" s="187">
        <v>0</v>
      </c>
      <c r="AQ40" s="187">
        <v>0</v>
      </c>
      <c r="AR40" s="187">
        <v>0</v>
      </c>
      <c r="AS40" s="187">
        <v>0</v>
      </c>
      <c r="AT40" s="187">
        <v>0</v>
      </c>
      <c r="AU40" s="187">
        <v>0</v>
      </c>
      <c r="AV40" s="187">
        <v>0</v>
      </c>
      <c r="AW40" s="187">
        <v>11903</v>
      </c>
    </row>
    <row r="41" spans="3:49" x14ac:dyDescent="0.3">
      <c r="C41" s="187">
        <v>43</v>
      </c>
      <c r="D41" s="187">
        <v>9</v>
      </c>
      <c r="E41" s="187">
        <v>10</v>
      </c>
      <c r="F41" s="187">
        <v>4000</v>
      </c>
      <c r="G41" s="187">
        <v>0</v>
      </c>
      <c r="H41" s="187">
        <v>0</v>
      </c>
      <c r="I41" s="187">
        <v>0</v>
      </c>
      <c r="J41" s="187">
        <v>4000</v>
      </c>
      <c r="K41" s="187">
        <v>0</v>
      </c>
      <c r="L41" s="187">
        <v>0</v>
      </c>
      <c r="M41" s="187">
        <v>0</v>
      </c>
      <c r="N41" s="187">
        <v>0</v>
      </c>
      <c r="O41" s="187">
        <v>0</v>
      </c>
      <c r="P41" s="187">
        <v>0</v>
      </c>
      <c r="Q41" s="187">
        <v>0</v>
      </c>
      <c r="R41" s="187">
        <v>0</v>
      </c>
      <c r="S41" s="187">
        <v>0</v>
      </c>
      <c r="T41" s="187">
        <v>0</v>
      </c>
      <c r="U41" s="187">
        <v>0</v>
      </c>
      <c r="V41" s="187">
        <v>0</v>
      </c>
      <c r="W41" s="187">
        <v>0</v>
      </c>
      <c r="X41" s="187">
        <v>0</v>
      </c>
      <c r="Y41" s="187">
        <v>0</v>
      </c>
      <c r="Z41" s="187">
        <v>0</v>
      </c>
      <c r="AA41" s="187">
        <v>0</v>
      </c>
      <c r="AB41" s="187">
        <v>0</v>
      </c>
      <c r="AC41" s="187">
        <v>0</v>
      </c>
      <c r="AD41" s="187">
        <v>0</v>
      </c>
      <c r="AE41" s="187">
        <v>0</v>
      </c>
      <c r="AF41" s="187">
        <v>0</v>
      </c>
      <c r="AG41" s="187">
        <v>0</v>
      </c>
      <c r="AH41" s="187">
        <v>0</v>
      </c>
      <c r="AI41" s="187">
        <v>0</v>
      </c>
      <c r="AJ41" s="187">
        <v>0</v>
      </c>
      <c r="AK41" s="187">
        <v>0</v>
      </c>
      <c r="AL41" s="187">
        <v>0</v>
      </c>
      <c r="AM41" s="187">
        <v>0</v>
      </c>
      <c r="AN41" s="187">
        <v>0</v>
      </c>
      <c r="AO41" s="187">
        <v>0</v>
      </c>
      <c r="AP41" s="187">
        <v>0</v>
      </c>
      <c r="AQ41" s="187">
        <v>0</v>
      </c>
      <c r="AR41" s="187">
        <v>0</v>
      </c>
      <c r="AS41" s="187">
        <v>0</v>
      </c>
      <c r="AT41" s="187">
        <v>0</v>
      </c>
      <c r="AU41" s="187">
        <v>0</v>
      </c>
      <c r="AV41" s="187">
        <v>0</v>
      </c>
      <c r="AW41" s="187">
        <v>0</v>
      </c>
    </row>
    <row r="42" spans="3:49" x14ac:dyDescent="0.3">
      <c r="C42" s="187">
        <v>43</v>
      </c>
      <c r="D42" s="187">
        <v>9</v>
      </c>
      <c r="E42" s="187">
        <v>11</v>
      </c>
      <c r="F42" s="187">
        <v>572.51908396946567</v>
      </c>
      <c r="G42" s="187">
        <v>0</v>
      </c>
      <c r="H42" s="187">
        <v>0</v>
      </c>
      <c r="I42" s="187">
        <v>0</v>
      </c>
      <c r="J42" s="187">
        <v>572.51908396946567</v>
      </c>
      <c r="K42" s="187">
        <v>0</v>
      </c>
      <c r="L42" s="187">
        <v>0</v>
      </c>
      <c r="M42" s="187">
        <v>0</v>
      </c>
      <c r="N42" s="187">
        <v>0</v>
      </c>
      <c r="O42" s="187">
        <v>0</v>
      </c>
      <c r="P42" s="187">
        <v>0</v>
      </c>
      <c r="Q42" s="187">
        <v>0</v>
      </c>
      <c r="R42" s="187">
        <v>0</v>
      </c>
      <c r="S42" s="187">
        <v>0</v>
      </c>
      <c r="T42" s="187">
        <v>0</v>
      </c>
      <c r="U42" s="187">
        <v>0</v>
      </c>
      <c r="V42" s="187">
        <v>0</v>
      </c>
      <c r="W42" s="187">
        <v>0</v>
      </c>
      <c r="X42" s="187">
        <v>0</v>
      </c>
      <c r="Y42" s="187">
        <v>0</v>
      </c>
      <c r="Z42" s="187">
        <v>0</v>
      </c>
      <c r="AA42" s="187">
        <v>0</v>
      </c>
      <c r="AB42" s="187">
        <v>0</v>
      </c>
      <c r="AC42" s="187">
        <v>0</v>
      </c>
      <c r="AD42" s="187">
        <v>0</v>
      </c>
      <c r="AE42" s="187">
        <v>0</v>
      </c>
      <c r="AF42" s="187">
        <v>0</v>
      </c>
      <c r="AG42" s="187">
        <v>0</v>
      </c>
      <c r="AH42" s="187">
        <v>0</v>
      </c>
      <c r="AI42" s="187">
        <v>0</v>
      </c>
      <c r="AJ42" s="187">
        <v>0</v>
      </c>
      <c r="AK42" s="187">
        <v>0</v>
      </c>
      <c r="AL42" s="187">
        <v>0</v>
      </c>
      <c r="AM42" s="187">
        <v>0</v>
      </c>
      <c r="AN42" s="187">
        <v>0</v>
      </c>
      <c r="AO42" s="187">
        <v>0</v>
      </c>
      <c r="AP42" s="187">
        <v>0</v>
      </c>
      <c r="AQ42" s="187">
        <v>0</v>
      </c>
      <c r="AR42" s="187">
        <v>0</v>
      </c>
      <c r="AS42" s="187">
        <v>0</v>
      </c>
      <c r="AT42" s="187">
        <v>0</v>
      </c>
      <c r="AU42" s="187">
        <v>0</v>
      </c>
      <c r="AV42" s="187">
        <v>0</v>
      </c>
      <c r="AW42" s="187">
        <v>0</v>
      </c>
    </row>
    <row r="43" spans="3:49" x14ac:dyDescent="0.3">
      <c r="C43" s="187">
        <v>43</v>
      </c>
      <c r="D43" s="187">
        <v>10</v>
      </c>
      <c r="E43" s="187">
        <v>1</v>
      </c>
      <c r="F43" s="187">
        <v>2.65</v>
      </c>
      <c r="G43" s="187">
        <v>0</v>
      </c>
      <c r="H43" s="187">
        <v>0</v>
      </c>
      <c r="I43" s="187">
        <v>1</v>
      </c>
      <c r="J43" s="187">
        <v>0</v>
      </c>
      <c r="K43" s="187">
        <v>1</v>
      </c>
      <c r="L43" s="187">
        <v>0</v>
      </c>
      <c r="M43" s="187">
        <v>0</v>
      </c>
      <c r="N43" s="187">
        <v>0</v>
      </c>
      <c r="O43" s="187">
        <v>0</v>
      </c>
      <c r="P43" s="187">
        <v>0</v>
      </c>
      <c r="Q43" s="187">
        <v>0</v>
      </c>
      <c r="R43" s="187">
        <v>0</v>
      </c>
      <c r="S43" s="187">
        <v>0</v>
      </c>
      <c r="T43" s="187">
        <v>0</v>
      </c>
      <c r="U43" s="187">
        <v>0</v>
      </c>
      <c r="V43" s="187">
        <v>0</v>
      </c>
      <c r="W43" s="187">
        <v>0</v>
      </c>
      <c r="X43" s="187">
        <v>0</v>
      </c>
      <c r="Y43" s="187">
        <v>0</v>
      </c>
      <c r="Z43" s="187">
        <v>0</v>
      </c>
      <c r="AA43" s="187">
        <v>0</v>
      </c>
      <c r="AB43" s="187">
        <v>0</v>
      </c>
      <c r="AC43" s="187">
        <v>0</v>
      </c>
      <c r="AD43" s="187">
        <v>0</v>
      </c>
      <c r="AE43" s="187">
        <v>0</v>
      </c>
      <c r="AF43" s="187">
        <v>0</v>
      </c>
      <c r="AG43" s="187">
        <v>0</v>
      </c>
      <c r="AH43" s="187">
        <v>0</v>
      </c>
      <c r="AI43" s="187">
        <v>0</v>
      </c>
      <c r="AJ43" s="187">
        <v>0.05</v>
      </c>
      <c r="AK43" s="187">
        <v>0</v>
      </c>
      <c r="AL43" s="187">
        <v>0</v>
      </c>
      <c r="AM43" s="187">
        <v>0</v>
      </c>
      <c r="AN43" s="187">
        <v>0</v>
      </c>
      <c r="AO43" s="187">
        <v>0</v>
      </c>
      <c r="AP43" s="187">
        <v>0</v>
      </c>
      <c r="AQ43" s="187">
        <v>0</v>
      </c>
      <c r="AR43" s="187">
        <v>0</v>
      </c>
      <c r="AS43" s="187">
        <v>0</v>
      </c>
      <c r="AT43" s="187">
        <v>0</v>
      </c>
      <c r="AU43" s="187">
        <v>0</v>
      </c>
      <c r="AV43" s="187">
        <v>0</v>
      </c>
      <c r="AW43" s="187">
        <v>0.6</v>
      </c>
    </row>
    <row r="44" spans="3:49" x14ac:dyDescent="0.3">
      <c r="C44" s="187">
        <v>43</v>
      </c>
      <c r="D44" s="187">
        <v>10</v>
      </c>
      <c r="E44" s="187">
        <v>2</v>
      </c>
      <c r="F44" s="187">
        <v>439.6</v>
      </c>
      <c r="G44" s="187">
        <v>0</v>
      </c>
      <c r="H44" s="187">
        <v>0</v>
      </c>
      <c r="I44" s="187">
        <v>168</v>
      </c>
      <c r="J44" s="187">
        <v>0</v>
      </c>
      <c r="K44" s="187">
        <v>168</v>
      </c>
      <c r="L44" s="187">
        <v>0</v>
      </c>
      <c r="M44" s="187">
        <v>0</v>
      </c>
      <c r="N44" s="187">
        <v>0</v>
      </c>
      <c r="O44" s="187">
        <v>0</v>
      </c>
      <c r="P44" s="187">
        <v>0</v>
      </c>
      <c r="Q44" s="187">
        <v>0</v>
      </c>
      <c r="R44" s="187">
        <v>0</v>
      </c>
      <c r="S44" s="187">
        <v>0</v>
      </c>
      <c r="T44" s="187">
        <v>0</v>
      </c>
      <c r="U44" s="187">
        <v>0</v>
      </c>
      <c r="V44" s="187">
        <v>0</v>
      </c>
      <c r="W44" s="187">
        <v>0</v>
      </c>
      <c r="X44" s="187">
        <v>0</v>
      </c>
      <c r="Y44" s="187">
        <v>0</v>
      </c>
      <c r="Z44" s="187">
        <v>0</v>
      </c>
      <c r="AA44" s="187">
        <v>0</v>
      </c>
      <c r="AB44" s="187">
        <v>0</v>
      </c>
      <c r="AC44" s="187">
        <v>0</v>
      </c>
      <c r="AD44" s="187">
        <v>0</v>
      </c>
      <c r="AE44" s="187">
        <v>0</v>
      </c>
      <c r="AF44" s="187">
        <v>0</v>
      </c>
      <c r="AG44" s="187">
        <v>0</v>
      </c>
      <c r="AH44" s="187">
        <v>0</v>
      </c>
      <c r="AI44" s="187">
        <v>0</v>
      </c>
      <c r="AJ44" s="187">
        <v>8.4</v>
      </c>
      <c r="AK44" s="187">
        <v>0</v>
      </c>
      <c r="AL44" s="187">
        <v>0</v>
      </c>
      <c r="AM44" s="187">
        <v>0</v>
      </c>
      <c r="AN44" s="187">
        <v>0</v>
      </c>
      <c r="AO44" s="187">
        <v>0</v>
      </c>
      <c r="AP44" s="187">
        <v>0</v>
      </c>
      <c r="AQ44" s="187">
        <v>0</v>
      </c>
      <c r="AR44" s="187">
        <v>0</v>
      </c>
      <c r="AS44" s="187">
        <v>0</v>
      </c>
      <c r="AT44" s="187">
        <v>0</v>
      </c>
      <c r="AU44" s="187">
        <v>0</v>
      </c>
      <c r="AV44" s="187">
        <v>0</v>
      </c>
      <c r="AW44" s="187">
        <v>95.2</v>
      </c>
    </row>
    <row r="45" spans="3:49" x14ac:dyDescent="0.3">
      <c r="C45" s="187">
        <v>43</v>
      </c>
      <c r="D45" s="187">
        <v>10</v>
      </c>
      <c r="E45" s="187">
        <v>6</v>
      </c>
      <c r="F45" s="187">
        <v>93696</v>
      </c>
      <c r="G45" s="187">
        <v>0</v>
      </c>
      <c r="H45" s="187">
        <v>0</v>
      </c>
      <c r="I45" s="187">
        <v>29540</v>
      </c>
      <c r="J45" s="187">
        <v>0</v>
      </c>
      <c r="K45" s="187">
        <v>50005</v>
      </c>
      <c r="L45" s="187">
        <v>0</v>
      </c>
      <c r="M45" s="187">
        <v>0</v>
      </c>
      <c r="N45" s="187">
        <v>0</v>
      </c>
      <c r="O45" s="187">
        <v>0</v>
      </c>
      <c r="P45" s="187">
        <v>0</v>
      </c>
      <c r="Q45" s="187">
        <v>0</v>
      </c>
      <c r="R45" s="187">
        <v>0</v>
      </c>
      <c r="S45" s="187">
        <v>0</v>
      </c>
      <c r="T45" s="187">
        <v>0</v>
      </c>
      <c r="U45" s="187">
        <v>0</v>
      </c>
      <c r="V45" s="187">
        <v>0</v>
      </c>
      <c r="W45" s="187">
        <v>0</v>
      </c>
      <c r="X45" s="187">
        <v>0</v>
      </c>
      <c r="Y45" s="187">
        <v>0</v>
      </c>
      <c r="Z45" s="187">
        <v>0</v>
      </c>
      <c r="AA45" s="187">
        <v>0</v>
      </c>
      <c r="AB45" s="187">
        <v>0</v>
      </c>
      <c r="AC45" s="187">
        <v>0</v>
      </c>
      <c r="AD45" s="187">
        <v>0</v>
      </c>
      <c r="AE45" s="187">
        <v>0</v>
      </c>
      <c r="AF45" s="187">
        <v>0</v>
      </c>
      <c r="AG45" s="187">
        <v>0</v>
      </c>
      <c r="AH45" s="187">
        <v>0</v>
      </c>
      <c r="AI45" s="187">
        <v>0</v>
      </c>
      <c r="AJ45" s="187">
        <v>2250</v>
      </c>
      <c r="AK45" s="187">
        <v>0</v>
      </c>
      <c r="AL45" s="187">
        <v>0</v>
      </c>
      <c r="AM45" s="187">
        <v>0</v>
      </c>
      <c r="AN45" s="187">
        <v>0</v>
      </c>
      <c r="AO45" s="187">
        <v>0</v>
      </c>
      <c r="AP45" s="187">
        <v>0</v>
      </c>
      <c r="AQ45" s="187">
        <v>0</v>
      </c>
      <c r="AR45" s="187">
        <v>0</v>
      </c>
      <c r="AS45" s="187">
        <v>0</v>
      </c>
      <c r="AT45" s="187">
        <v>0</v>
      </c>
      <c r="AU45" s="187">
        <v>0</v>
      </c>
      <c r="AV45" s="187">
        <v>0</v>
      </c>
      <c r="AW45" s="187">
        <v>11901</v>
      </c>
    </row>
    <row r="46" spans="3:49" x14ac:dyDescent="0.3">
      <c r="C46" s="187">
        <v>43</v>
      </c>
      <c r="D46" s="187">
        <v>10</v>
      </c>
      <c r="E46" s="187">
        <v>11</v>
      </c>
      <c r="F46" s="187">
        <v>572.51908396946567</v>
      </c>
      <c r="G46" s="187">
        <v>0</v>
      </c>
      <c r="H46" s="187">
        <v>0</v>
      </c>
      <c r="I46" s="187">
        <v>0</v>
      </c>
      <c r="J46" s="187">
        <v>572.51908396946567</v>
      </c>
      <c r="K46" s="187">
        <v>0</v>
      </c>
      <c r="L46" s="187">
        <v>0</v>
      </c>
      <c r="M46" s="187">
        <v>0</v>
      </c>
      <c r="N46" s="187">
        <v>0</v>
      </c>
      <c r="O46" s="187">
        <v>0</v>
      </c>
      <c r="P46" s="187">
        <v>0</v>
      </c>
      <c r="Q46" s="187">
        <v>0</v>
      </c>
      <c r="R46" s="187">
        <v>0</v>
      </c>
      <c r="S46" s="187">
        <v>0</v>
      </c>
      <c r="T46" s="187">
        <v>0</v>
      </c>
      <c r="U46" s="187">
        <v>0</v>
      </c>
      <c r="V46" s="187">
        <v>0</v>
      </c>
      <c r="W46" s="187">
        <v>0</v>
      </c>
      <c r="X46" s="187">
        <v>0</v>
      </c>
      <c r="Y46" s="187">
        <v>0</v>
      </c>
      <c r="Z46" s="187">
        <v>0</v>
      </c>
      <c r="AA46" s="187">
        <v>0</v>
      </c>
      <c r="AB46" s="187">
        <v>0</v>
      </c>
      <c r="AC46" s="187">
        <v>0</v>
      </c>
      <c r="AD46" s="187">
        <v>0</v>
      </c>
      <c r="AE46" s="187">
        <v>0</v>
      </c>
      <c r="AF46" s="187">
        <v>0</v>
      </c>
      <c r="AG46" s="187">
        <v>0</v>
      </c>
      <c r="AH46" s="187">
        <v>0</v>
      </c>
      <c r="AI46" s="187">
        <v>0</v>
      </c>
      <c r="AJ46" s="187">
        <v>0</v>
      </c>
      <c r="AK46" s="187">
        <v>0</v>
      </c>
      <c r="AL46" s="187">
        <v>0</v>
      </c>
      <c r="AM46" s="187">
        <v>0</v>
      </c>
      <c r="AN46" s="187">
        <v>0</v>
      </c>
      <c r="AO46" s="187">
        <v>0</v>
      </c>
      <c r="AP46" s="187">
        <v>0</v>
      </c>
      <c r="AQ46" s="187">
        <v>0</v>
      </c>
      <c r="AR46" s="187">
        <v>0</v>
      </c>
      <c r="AS46" s="187">
        <v>0</v>
      </c>
      <c r="AT46" s="187">
        <v>0</v>
      </c>
      <c r="AU46" s="187">
        <v>0</v>
      </c>
      <c r="AV46" s="187">
        <v>0</v>
      </c>
      <c r="AW46" s="18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79" t="s">
        <v>242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</row>
    <row r="2" spans="1:19" ht="14.4" customHeight="1" thickBot="1" x14ac:dyDescent="0.35">
      <c r="A2" s="191" t="s">
        <v>184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77" t="s">
        <v>98</v>
      </c>
      <c r="B3" s="178">
        <f>SUBTOTAL(9,B6:B1048576)/2</f>
        <v>327</v>
      </c>
      <c r="C3" s="179">
        <f t="shared" ref="C3:R3" si="0">SUBTOTAL(9,C6:C1048576)</f>
        <v>2</v>
      </c>
      <c r="D3" s="179">
        <f>SUBTOTAL(9,D6:D1048576)/2</f>
        <v>0</v>
      </c>
      <c r="E3" s="179">
        <f t="shared" si="0"/>
        <v>0</v>
      </c>
      <c r="F3" s="179">
        <f>SUBTOTAL(9,F6:F1048576)/2</f>
        <v>0</v>
      </c>
      <c r="G3" s="180">
        <f>IF(B3&lt;&gt;0,F3/B3,"")</f>
        <v>0</v>
      </c>
      <c r="H3" s="181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2" t="str">
        <f>IF(H3&lt;&gt;0,L3/H3,"")</f>
        <v/>
      </c>
      <c r="N3" s="178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80" t="s">
        <v>157</v>
      </c>
      <c r="B4" s="281" t="s">
        <v>75</v>
      </c>
      <c r="C4" s="282"/>
      <c r="D4" s="282"/>
      <c r="E4" s="282"/>
      <c r="F4" s="282"/>
      <c r="G4" s="283"/>
      <c r="H4" s="281" t="s">
        <v>76</v>
      </c>
      <c r="I4" s="282"/>
      <c r="J4" s="282"/>
      <c r="K4" s="282"/>
      <c r="L4" s="282"/>
      <c r="M4" s="283"/>
      <c r="N4" s="281" t="s">
        <v>77</v>
      </c>
      <c r="O4" s="282"/>
      <c r="P4" s="282"/>
      <c r="Q4" s="282"/>
      <c r="R4" s="282"/>
      <c r="S4" s="283"/>
    </row>
    <row r="5" spans="1:19" ht="14.4" customHeight="1" thickBot="1" x14ac:dyDescent="0.35">
      <c r="A5" s="359"/>
      <c r="B5" s="360">
        <v>2014</v>
      </c>
      <c r="C5" s="361"/>
      <c r="D5" s="361">
        <v>2015</v>
      </c>
      <c r="E5" s="361"/>
      <c r="F5" s="361">
        <v>2016</v>
      </c>
      <c r="G5" s="362" t="s">
        <v>1</v>
      </c>
      <c r="H5" s="360">
        <v>2014</v>
      </c>
      <c r="I5" s="361"/>
      <c r="J5" s="361">
        <v>2015</v>
      </c>
      <c r="K5" s="361"/>
      <c r="L5" s="361">
        <v>2016</v>
      </c>
      <c r="M5" s="362" t="s">
        <v>1</v>
      </c>
      <c r="N5" s="360">
        <v>2014</v>
      </c>
      <c r="O5" s="361"/>
      <c r="P5" s="361">
        <v>2015</v>
      </c>
      <c r="Q5" s="361"/>
      <c r="R5" s="361">
        <v>2016</v>
      </c>
      <c r="S5" s="362" t="s">
        <v>1</v>
      </c>
    </row>
    <row r="6" spans="1:19" ht="14.4" customHeight="1" thickBot="1" x14ac:dyDescent="0.35">
      <c r="A6" s="366" t="s">
        <v>241</v>
      </c>
      <c r="B6" s="364">
        <v>327</v>
      </c>
      <c r="C6" s="365">
        <v>1</v>
      </c>
      <c r="D6" s="364"/>
      <c r="E6" s="365"/>
      <c r="F6" s="364"/>
      <c r="G6" s="237"/>
      <c r="H6" s="364"/>
      <c r="I6" s="365"/>
      <c r="J6" s="364"/>
      <c r="K6" s="365"/>
      <c r="L6" s="364"/>
      <c r="M6" s="237"/>
      <c r="N6" s="364"/>
      <c r="O6" s="365"/>
      <c r="P6" s="364"/>
      <c r="Q6" s="365"/>
      <c r="R6" s="364"/>
      <c r="S6" s="238"/>
    </row>
    <row r="7" spans="1:19" ht="14.4" customHeight="1" thickBot="1" x14ac:dyDescent="0.35"/>
    <row r="8" spans="1:19" ht="14.4" customHeight="1" thickBot="1" x14ac:dyDescent="0.35">
      <c r="A8" s="366" t="s">
        <v>243</v>
      </c>
      <c r="B8" s="364">
        <v>327</v>
      </c>
      <c r="C8" s="365">
        <v>1</v>
      </c>
      <c r="D8" s="364"/>
      <c r="E8" s="365"/>
      <c r="F8" s="364"/>
      <c r="G8" s="237"/>
      <c r="H8" s="364"/>
      <c r="I8" s="365"/>
      <c r="J8" s="364"/>
      <c r="K8" s="365"/>
      <c r="L8" s="364"/>
      <c r="M8" s="237"/>
      <c r="N8" s="364"/>
      <c r="O8" s="365"/>
      <c r="P8" s="364"/>
      <c r="Q8" s="365"/>
      <c r="R8" s="364"/>
      <c r="S8" s="238"/>
    </row>
    <row r="9" spans="1:19" ht="14.4" customHeight="1" x14ac:dyDescent="0.3">
      <c r="A9" s="367" t="s">
        <v>244</v>
      </c>
    </row>
    <row r="10" spans="1:19" ht="14.4" customHeight="1" x14ac:dyDescent="0.3">
      <c r="A10" s="368" t="s">
        <v>245</v>
      </c>
    </row>
    <row r="11" spans="1:19" ht="14.4" customHeight="1" x14ac:dyDescent="0.3">
      <c r="A11" s="367" t="s">
        <v>246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2016-11-26T15:15:46Z</dcterms:modified>
</cp:coreProperties>
</file>